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3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70" tabRatio="710"/>
  </bookViews>
  <sheets>
    <sheet name="Cargo" sheetId="16" r:id="rId1"/>
    <sheet name="Resumen" sheetId="23" r:id="rId2"/>
    <sheet name="x Macro actividad" sheetId="28" r:id="rId3"/>
    <sheet name="Combos" sheetId="22" r:id="rId4"/>
    <sheet name="x tarea" sheetId="27" r:id="rId5"/>
    <sheet name="Mas Datos" sheetId="26" r:id="rId6"/>
    <sheet name="BD" sheetId="25" state="hidden" r:id="rId7"/>
  </sheets>
  <definedNames>
    <definedName name="_xlnm._FilterDatabase" localSheetId="0" hidden="1">Cargo!$A$14:$R$189</definedName>
    <definedName name="SegmentaciónDeDatos_Ciclo_PHVA">#N/A</definedName>
    <definedName name="Seguimiento">Combos!$H$2:$H$3</definedName>
  </definedNames>
  <calcPr calcId="191028"/>
  <pivotCaches>
    <pivotCache cacheId="1" r:id="rId8"/>
  </pivotCaches>
  <extLst>
    <ext xmlns:x14="http://schemas.microsoft.com/office/spreadsheetml/2009/9/main" uri="{BBE1A952-AA13-448e-AADC-164F8A28A991}">
      <x14:slicerCaches>
        <x14:slicerCache r:id="rId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23" l="1"/>
  <c r="C26" i="28"/>
  <c r="C4" i="28"/>
  <c r="J3" i="23"/>
  <c r="J11" i="23"/>
  <c r="N8" i="16"/>
  <c r="I5" i="16"/>
  <c r="H5" i="16" s="1"/>
  <c r="I6" i="16"/>
  <c r="H6" i="16" s="1"/>
  <c r="I7" i="16"/>
  <c r="H7" i="16" s="1"/>
  <c r="I8" i="16"/>
  <c r="H8" i="16" s="1"/>
  <c r="I9" i="16"/>
  <c r="H9" i="16" s="1"/>
  <c r="I4" i="16"/>
  <c r="J4" i="16" s="1"/>
  <c r="H10" i="16" l="1"/>
  <c r="K3" i="16" s="1"/>
  <c r="R11" i="23"/>
  <c r="B28" i="28" l="1"/>
  <c r="B29" i="28" s="1"/>
  <c r="D5" i="27" l="1"/>
  <c r="D4" i="27"/>
  <c r="B30" i="28"/>
  <c r="B31" i="28" s="1"/>
  <c r="C5" i="28"/>
  <c r="C6" i="28"/>
  <c r="C7" i="28"/>
  <c r="C8" i="28"/>
  <c r="C9" i="28"/>
  <c r="C10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C24" i="28"/>
  <c r="C25" i="28"/>
  <c r="L124" i="16" l="1"/>
  <c r="M124" i="16" s="1"/>
  <c r="L185" i="16"/>
  <c r="M185" i="16" s="1"/>
  <c r="L184" i="16"/>
  <c r="M184" i="16" s="1"/>
  <c r="L183" i="16"/>
  <c r="M183" i="16" s="1"/>
  <c r="L182" i="16"/>
  <c r="M182" i="16" s="1"/>
  <c r="L181" i="16"/>
  <c r="M181" i="16" s="1"/>
  <c r="L180" i="16"/>
  <c r="M180" i="16" s="1"/>
  <c r="L179" i="16"/>
  <c r="M179" i="16" s="1"/>
  <c r="L178" i="16"/>
  <c r="M178" i="16" s="1"/>
  <c r="L177" i="16"/>
  <c r="M177" i="16" s="1"/>
  <c r="L176" i="16"/>
  <c r="M176" i="16" s="1"/>
  <c r="L175" i="16"/>
  <c r="M175" i="16" s="1"/>
  <c r="L174" i="16"/>
  <c r="M174" i="16" s="1"/>
  <c r="L173" i="16"/>
  <c r="M173" i="16" s="1"/>
  <c r="L172" i="16"/>
  <c r="M172" i="16" s="1"/>
  <c r="L171" i="16"/>
  <c r="M171" i="16" s="1"/>
  <c r="L170" i="16"/>
  <c r="M170" i="16" s="1"/>
  <c r="L169" i="16"/>
  <c r="M169" i="16" s="1"/>
  <c r="L168" i="16"/>
  <c r="M168" i="16" s="1"/>
  <c r="L167" i="16"/>
  <c r="M167" i="16" s="1"/>
  <c r="L166" i="16"/>
  <c r="M166" i="16" s="1"/>
  <c r="L165" i="16"/>
  <c r="M165" i="16" s="1"/>
  <c r="L164" i="16"/>
  <c r="M164" i="16" s="1"/>
  <c r="L163" i="16"/>
  <c r="M163" i="16" s="1"/>
  <c r="L162" i="16"/>
  <c r="M162" i="16" s="1"/>
  <c r="L161" i="16"/>
  <c r="M161" i="16" s="1"/>
  <c r="L160" i="16"/>
  <c r="M160" i="16" s="1"/>
  <c r="L159" i="16"/>
  <c r="M159" i="16" s="1"/>
  <c r="L158" i="16"/>
  <c r="M158" i="16" s="1"/>
  <c r="L157" i="16"/>
  <c r="M157" i="16" s="1"/>
  <c r="L156" i="16"/>
  <c r="M156" i="16" s="1"/>
  <c r="L155" i="16"/>
  <c r="M155" i="16" s="1"/>
  <c r="L154" i="16"/>
  <c r="M154" i="16" s="1"/>
  <c r="L153" i="16"/>
  <c r="M153" i="16" s="1"/>
  <c r="L152" i="16"/>
  <c r="M152" i="16" s="1"/>
  <c r="L151" i="16"/>
  <c r="M151" i="16" s="1"/>
  <c r="L150" i="16"/>
  <c r="M150" i="16" s="1"/>
  <c r="L149" i="16"/>
  <c r="M149" i="16" s="1"/>
  <c r="L148" i="16"/>
  <c r="M148" i="16" s="1"/>
  <c r="L147" i="16"/>
  <c r="M147" i="16" s="1"/>
  <c r="L146" i="16"/>
  <c r="M146" i="16" s="1"/>
  <c r="L145" i="16"/>
  <c r="M145" i="16" s="1"/>
  <c r="L144" i="16"/>
  <c r="M144" i="16" s="1"/>
  <c r="L143" i="16"/>
  <c r="M143" i="16" s="1"/>
  <c r="L142" i="16"/>
  <c r="M142" i="16" s="1"/>
  <c r="L141" i="16"/>
  <c r="M141" i="16" s="1"/>
  <c r="L140" i="16"/>
  <c r="M140" i="16" s="1"/>
  <c r="L139" i="16"/>
  <c r="M139" i="16" s="1"/>
  <c r="L138" i="16"/>
  <c r="M138" i="16" s="1"/>
  <c r="L137" i="16"/>
  <c r="M137" i="16" s="1"/>
  <c r="L136" i="16"/>
  <c r="M136" i="16" s="1"/>
  <c r="L135" i="16"/>
  <c r="M135" i="16" s="1"/>
  <c r="L134" i="16"/>
  <c r="M134" i="16" s="1"/>
  <c r="L133" i="16"/>
  <c r="M133" i="16" s="1"/>
  <c r="L132" i="16"/>
  <c r="M132" i="16" s="1"/>
  <c r="L131" i="16"/>
  <c r="M131" i="16" s="1"/>
  <c r="L130" i="16"/>
  <c r="M130" i="16" s="1"/>
  <c r="L129" i="16"/>
  <c r="M129" i="16" s="1"/>
  <c r="L128" i="16"/>
  <c r="M128" i="16" s="1"/>
  <c r="L127" i="16"/>
  <c r="M127" i="16" s="1"/>
  <c r="L126" i="16"/>
  <c r="M126" i="16" s="1"/>
  <c r="L125" i="16"/>
  <c r="M125" i="16" s="1"/>
  <c r="L123" i="16"/>
  <c r="M123" i="16" s="1"/>
  <c r="L189" i="16"/>
  <c r="M189" i="16" s="1"/>
  <c r="L188" i="16"/>
  <c r="M188" i="16" s="1"/>
  <c r="L187" i="16"/>
  <c r="M187" i="16" s="1"/>
  <c r="L186" i="16"/>
  <c r="M186" i="16" s="1"/>
  <c r="L122" i="16"/>
  <c r="M122" i="16" s="1"/>
  <c r="L66" i="16"/>
  <c r="M66" i="16" s="1"/>
  <c r="L65" i="16"/>
  <c r="M65" i="16" s="1"/>
  <c r="L64" i="16"/>
  <c r="M64" i="16" s="1"/>
  <c r="L63" i="16"/>
  <c r="M63" i="16" s="1"/>
  <c r="L62" i="16"/>
  <c r="M62" i="16" s="1"/>
  <c r="L61" i="16"/>
  <c r="M61" i="16" s="1"/>
  <c r="L60" i="16"/>
  <c r="M60" i="16" s="1"/>
  <c r="L59" i="16"/>
  <c r="M59" i="16" s="1"/>
  <c r="L58" i="16"/>
  <c r="M58" i="16" s="1"/>
  <c r="L57" i="16"/>
  <c r="M57" i="16" s="1"/>
  <c r="L56" i="16"/>
  <c r="M56" i="16" s="1"/>
  <c r="L55" i="16"/>
  <c r="M55" i="16" s="1"/>
  <c r="L54" i="16"/>
  <c r="M54" i="16" s="1"/>
  <c r="L53" i="16"/>
  <c r="M53" i="16" s="1"/>
  <c r="L52" i="16"/>
  <c r="M52" i="16" s="1"/>
  <c r="L51" i="16"/>
  <c r="M51" i="16" s="1"/>
  <c r="L50" i="16"/>
  <c r="M50" i="16" s="1"/>
  <c r="L49" i="16"/>
  <c r="M49" i="16" s="1"/>
  <c r="L48" i="16"/>
  <c r="M48" i="16" s="1"/>
  <c r="L47" i="16"/>
  <c r="M47" i="16" s="1"/>
  <c r="L46" i="16"/>
  <c r="M46" i="16" s="1"/>
  <c r="L45" i="16"/>
  <c r="M45" i="16" s="1"/>
  <c r="L44" i="16"/>
  <c r="M44" i="16" s="1"/>
  <c r="L43" i="16"/>
  <c r="M43" i="16" s="1"/>
  <c r="L42" i="16"/>
  <c r="M42" i="16" s="1"/>
  <c r="L41" i="16"/>
  <c r="M41" i="16" s="1"/>
  <c r="L40" i="16"/>
  <c r="M40" i="16" s="1"/>
  <c r="L68" i="16"/>
  <c r="M68" i="16" s="1"/>
  <c r="L67" i="16"/>
  <c r="M67" i="16" s="1"/>
  <c r="L39" i="16"/>
  <c r="M39" i="16" s="1"/>
  <c r="L38" i="16"/>
  <c r="M38" i="16" s="1"/>
  <c r="L37" i="16"/>
  <c r="M37" i="16" s="1"/>
  <c r="L36" i="16"/>
  <c r="M36" i="16" s="1"/>
  <c r="L35" i="16"/>
  <c r="M35" i="16" s="1"/>
  <c r="L34" i="16"/>
  <c r="M34" i="16" s="1"/>
  <c r="L33" i="16"/>
  <c r="M33" i="16" s="1"/>
  <c r="L32" i="16"/>
  <c r="M32" i="16" s="1"/>
  <c r="L31" i="16"/>
  <c r="M31" i="16" s="1"/>
  <c r="L30" i="16"/>
  <c r="M30" i="16" s="1"/>
  <c r="L29" i="16"/>
  <c r="M29" i="16" s="1"/>
  <c r="L28" i="16"/>
  <c r="M28" i="16" s="1"/>
  <c r="L27" i="16"/>
  <c r="M27" i="16" s="1"/>
  <c r="L26" i="16"/>
  <c r="M26" i="16" s="1"/>
  <c r="L25" i="16"/>
  <c r="M25" i="16" s="1"/>
  <c r="L24" i="16"/>
  <c r="M24" i="16" s="1"/>
  <c r="L23" i="16"/>
  <c r="M23" i="16" s="1"/>
  <c r="L22" i="16"/>
  <c r="M22" i="16" s="1"/>
  <c r="L21" i="16"/>
  <c r="M21" i="16" s="1"/>
  <c r="L20" i="16"/>
  <c r="M20" i="16" s="1"/>
  <c r="L75" i="16"/>
  <c r="M75" i="16" s="1"/>
  <c r="L74" i="16"/>
  <c r="M74" i="16" s="1"/>
  <c r="L73" i="16"/>
  <c r="M73" i="16" s="1"/>
  <c r="L72" i="16"/>
  <c r="M72" i="16" s="1"/>
  <c r="L71" i="16"/>
  <c r="M71" i="16" s="1"/>
  <c r="L70" i="16"/>
  <c r="M70" i="16" s="1"/>
  <c r="L69" i="16"/>
  <c r="M69" i="16" s="1"/>
  <c r="L82" i="16"/>
  <c r="M82" i="16" s="1"/>
  <c r="L81" i="16"/>
  <c r="M81" i="16" s="1"/>
  <c r="L80" i="16"/>
  <c r="M80" i="16" s="1"/>
  <c r="L79" i="16"/>
  <c r="M79" i="16" s="1"/>
  <c r="L78" i="16"/>
  <c r="M78" i="16" s="1"/>
  <c r="L77" i="16"/>
  <c r="M77" i="16" s="1"/>
  <c r="L76" i="16"/>
  <c r="M76" i="16" s="1"/>
  <c r="L89" i="16"/>
  <c r="M89" i="16" s="1"/>
  <c r="L88" i="16"/>
  <c r="M88" i="16" s="1"/>
  <c r="L87" i="16"/>
  <c r="M87" i="16" s="1"/>
  <c r="L86" i="16"/>
  <c r="M86" i="16" s="1"/>
  <c r="L85" i="16"/>
  <c r="M85" i="16" s="1"/>
  <c r="L84" i="16"/>
  <c r="M84" i="16" s="1"/>
  <c r="L83" i="16"/>
  <c r="M83" i="16" s="1"/>
  <c r="L96" i="16"/>
  <c r="M96" i="16" s="1"/>
  <c r="L95" i="16"/>
  <c r="M95" i="16" s="1"/>
  <c r="L94" i="16"/>
  <c r="M94" i="16" s="1"/>
  <c r="L93" i="16"/>
  <c r="M93" i="16" s="1"/>
  <c r="L92" i="16"/>
  <c r="M92" i="16" s="1"/>
  <c r="L91" i="16"/>
  <c r="M91" i="16" s="1"/>
  <c r="L90" i="16"/>
  <c r="M90" i="16" s="1"/>
  <c r="L103" i="16"/>
  <c r="M103" i="16" s="1"/>
  <c r="L102" i="16"/>
  <c r="M102" i="16" s="1"/>
  <c r="L101" i="16"/>
  <c r="M101" i="16" s="1"/>
  <c r="L100" i="16"/>
  <c r="M100" i="16" s="1"/>
  <c r="L99" i="16"/>
  <c r="M99" i="16" s="1"/>
  <c r="L98" i="16"/>
  <c r="M98" i="16" s="1"/>
  <c r="L97" i="16"/>
  <c r="M97" i="16" s="1"/>
  <c r="L110" i="16"/>
  <c r="M110" i="16" s="1"/>
  <c r="L109" i="16"/>
  <c r="M109" i="16" s="1"/>
  <c r="L108" i="16"/>
  <c r="M108" i="16" s="1"/>
  <c r="L107" i="16"/>
  <c r="M107" i="16" s="1"/>
  <c r="L106" i="16"/>
  <c r="M106" i="16" s="1"/>
  <c r="L105" i="16"/>
  <c r="M105" i="16" s="1"/>
  <c r="L104" i="16"/>
  <c r="M104" i="16" s="1"/>
  <c r="L19" i="16"/>
  <c r="M19" i="16" s="1"/>
  <c r="L18" i="16"/>
  <c r="M18" i="16" s="1"/>
  <c r="L17" i="16"/>
  <c r="M17" i="16" s="1"/>
  <c r="L120" i="16"/>
  <c r="M120" i="16" s="1"/>
  <c r="L119" i="16"/>
  <c r="M119" i="16" s="1"/>
  <c r="L118" i="16"/>
  <c r="M118" i="16" s="1"/>
  <c r="L117" i="16"/>
  <c r="M117" i="16" s="1"/>
  <c r="L116" i="16"/>
  <c r="M116" i="16" s="1"/>
  <c r="T2" i="25" l="1"/>
  <c r="C2" i="25"/>
  <c r="L15" i="16" l="1"/>
  <c r="M15" i="16" s="1"/>
  <c r="L16" i="16"/>
  <c r="M16" i="16" s="1"/>
  <c r="L111" i="16"/>
  <c r="M111" i="16" s="1"/>
  <c r="L112" i="16"/>
  <c r="M112" i="16" s="1"/>
  <c r="L113" i="16"/>
  <c r="M113" i="16" s="1"/>
  <c r="L114" i="16"/>
  <c r="M114" i="16" s="1"/>
  <c r="L115" i="16"/>
  <c r="M115" i="16" s="1"/>
  <c r="L121" i="16"/>
  <c r="M121" i="16" s="1"/>
  <c r="K3" i="23"/>
  <c r="R12" i="23"/>
  <c r="J12" i="23"/>
  <c r="J13" i="23"/>
  <c r="J14" i="23"/>
  <c r="J15" i="23"/>
  <c r="J16" i="23"/>
  <c r="J17" i="23"/>
  <c r="J18" i="23"/>
  <c r="J19" i="23"/>
  <c r="C12" i="23"/>
  <c r="C13" i="23"/>
  <c r="C14" i="23"/>
  <c r="C11" i="23"/>
  <c r="B7" i="22"/>
  <c r="Z2" i="25"/>
  <c r="Y2" i="25"/>
  <c r="M191" i="16" l="1"/>
  <c r="N124" i="16" s="1"/>
  <c r="W2" i="25"/>
  <c r="X2" i="25"/>
  <c r="R14" i="23"/>
  <c r="S11" i="23" s="1"/>
  <c r="Q2" i="25" s="1"/>
  <c r="M3" i="23"/>
  <c r="L3" i="23"/>
  <c r="J21" i="23"/>
  <c r="C16" i="23"/>
  <c r="D12" i="23" s="1"/>
  <c r="E2" i="25" s="1"/>
  <c r="N174" i="16" l="1"/>
  <c r="N166" i="16"/>
  <c r="N159" i="16"/>
  <c r="N151" i="16"/>
  <c r="N143" i="16"/>
  <c r="N135" i="16"/>
  <c r="N127" i="16"/>
  <c r="N179" i="16"/>
  <c r="N171" i="16"/>
  <c r="N156" i="16"/>
  <c r="N148" i="16"/>
  <c r="N140" i="16"/>
  <c r="N132" i="16"/>
  <c r="N123" i="16"/>
  <c r="N136" i="16"/>
  <c r="N149" i="16"/>
  <c r="N162" i="16"/>
  <c r="N139" i="16"/>
  <c r="N181" i="16"/>
  <c r="N129" i="16"/>
  <c r="N167" i="16"/>
  <c r="N130" i="16"/>
  <c r="N168" i="16"/>
  <c r="N157" i="16"/>
  <c r="N128" i="16"/>
  <c r="N158" i="16"/>
  <c r="N154" i="16"/>
  <c r="N177" i="16"/>
  <c r="N144" i="16"/>
  <c r="N125" i="16"/>
  <c r="N145" i="16"/>
  <c r="N155" i="16"/>
  <c r="N176" i="16"/>
  <c r="N137" i="16"/>
  <c r="N180" i="16"/>
  <c r="N160" i="16"/>
  <c r="N183" i="16"/>
  <c r="N170" i="16"/>
  <c r="N131" i="16"/>
  <c r="N175" i="16"/>
  <c r="N178" i="16"/>
  <c r="N164" i="16"/>
  <c r="N126" i="16"/>
  <c r="N150" i="16"/>
  <c r="N172" i="16"/>
  <c r="N161" i="16"/>
  <c r="N184" i="16"/>
  <c r="N169" i="16"/>
  <c r="N147" i="16"/>
  <c r="N142" i="16"/>
  <c r="N141" i="16"/>
  <c r="N152" i="16"/>
  <c r="N163" i="16"/>
  <c r="N146" i="16"/>
  <c r="N185" i="16"/>
  <c r="N182" i="16"/>
  <c r="N173" i="16"/>
  <c r="N165" i="16"/>
  <c r="N133" i="16"/>
  <c r="N153" i="16"/>
  <c r="N138" i="16"/>
  <c r="N134" i="16"/>
  <c r="N186" i="16"/>
  <c r="N122" i="16"/>
  <c r="N188" i="16"/>
  <c r="N187" i="16"/>
  <c r="N189" i="16"/>
  <c r="M192" i="16"/>
  <c r="N53" i="16"/>
  <c r="N45" i="16"/>
  <c r="N61" i="16"/>
  <c r="N55" i="16"/>
  <c r="N63" i="16"/>
  <c r="N64" i="16"/>
  <c r="N44" i="16"/>
  <c r="N42" i="16"/>
  <c r="N46" i="16"/>
  <c r="N51" i="16"/>
  <c r="N52" i="16"/>
  <c r="N43" i="16"/>
  <c r="N56" i="16"/>
  <c r="N58" i="16"/>
  <c r="N48" i="16"/>
  <c r="N50" i="16"/>
  <c r="N62" i="16"/>
  <c r="N41" i="16"/>
  <c r="N54" i="16"/>
  <c r="N59" i="16"/>
  <c r="N40" i="16"/>
  <c r="N49" i="16"/>
  <c r="N47" i="16"/>
  <c r="N60" i="16"/>
  <c r="N57" i="16"/>
  <c r="N66" i="16"/>
  <c r="N65" i="16"/>
  <c r="N28" i="16"/>
  <c r="N20" i="16"/>
  <c r="N36" i="16"/>
  <c r="N34" i="16"/>
  <c r="N26" i="16"/>
  <c r="N21" i="16"/>
  <c r="N23" i="16"/>
  <c r="N32" i="16"/>
  <c r="N22" i="16"/>
  <c r="N30" i="16"/>
  <c r="N27" i="16"/>
  <c r="N35" i="16"/>
  <c r="N38" i="16"/>
  <c r="N68" i="16"/>
  <c r="N67" i="16"/>
  <c r="N33" i="16"/>
  <c r="N25" i="16"/>
  <c r="N29" i="16"/>
  <c r="N39" i="16"/>
  <c r="N31" i="16"/>
  <c r="N24" i="16"/>
  <c r="N37" i="16"/>
  <c r="N71" i="16"/>
  <c r="N75" i="16"/>
  <c r="N72" i="16"/>
  <c r="N69" i="16"/>
  <c r="N73" i="16"/>
  <c r="N74" i="16"/>
  <c r="N70" i="16"/>
  <c r="N76" i="16"/>
  <c r="N81" i="16"/>
  <c r="N77" i="16"/>
  <c r="N79" i="16"/>
  <c r="N82" i="16"/>
  <c r="N80" i="16"/>
  <c r="N78" i="16"/>
  <c r="N83" i="16"/>
  <c r="N84" i="16"/>
  <c r="N85" i="16"/>
  <c r="N86" i="16"/>
  <c r="N87" i="16"/>
  <c r="N88" i="16"/>
  <c r="N89" i="16"/>
  <c r="N90" i="16"/>
  <c r="N92" i="16"/>
  <c r="N93" i="16"/>
  <c r="N91" i="16"/>
  <c r="N94" i="16"/>
  <c r="N95" i="16"/>
  <c r="N96" i="16"/>
  <c r="S12" i="23"/>
  <c r="R2" i="25" s="1"/>
  <c r="N97" i="16"/>
  <c r="N99" i="16"/>
  <c r="N101" i="16"/>
  <c r="N103" i="16"/>
  <c r="N98" i="16"/>
  <c r="N100" i="16"/>
  <c r="N102" i="16"/>
  <c r="N105" i="16"/>
  <c r="N17" i="16"/>
  <c r="N104" i="16"/>
  <c r="N18" i="16"/>
  <c r="N109" i="16"/>
  <c r="N106" i="16"/>
  <c r="N107" i="16"/>
  <c r="N19" i="16"/>
  <c r="N108" i="16"/>
  <c r="N110" i="16"/>
  <c r="N118" i="16"/>
  <c r="N117" i="16"/>
  <c r="N119" i="16"/>
  <c r="N120" i="16"/>
  <c r="N116" i="16"/>
  <c r="N111" i="16"/>
  <c r="N15" i="16"/>
  <c r="K18" i="23"/>
  <c r="O2" i="25" s="1"/>
  <c r="K11" i="23"/>
  <c r="H2" i="25" s="1"/>
  <c r="K15" i="23"/>
  <c r="L2" i="25" s="1"/>
  <c r="K19" i="23"/>
  <c r="P2" i="25" s="1"/>
  <c r="K13" i="23"/>
  <c r="J2" i="25" s="1"/>
  <c r="K16" i="23"/>
  <c r="M2" i="25" s="1"/>
  <c r="N113" i="16"/>
  <c r="N16" i="16"/>
  <c r="N112" i="16"/>
  <c r="N121" i="16"/>
  <c r="N115" i="16"/>
  <c r="N114" i="16"/>
  <c r="K14" i="23"/>
  <c r="K2" i="25" s="1"/>
  <c r="K17" i="23"/>
  <c r="N2" i="25" s="1"/>
  <c r="K12" i="23"/>
  <c r="I2" i="25" s="1"/>
  <c r="D11" i="23"/>
  <c r="D2" i="25" s="1"/>
  <c r="D13" i="23"/>
  <c r="F2" i="25" s="1"/>
  <c r="D14" i="23"/>
  <c r="G2" i="25" s="1"/>
  <c r="F5" i="23" l="1"/>
  <c r="F6" i="23" s="1"/>
  <c r="J5" i="23"/>
  <c r="U2" i="25"/>
  <c r="K5" i="23" l="1"/>
  <c r="M5" i="23"/>
  <c r="L5" i="23"/>
  <c r="I10" i="16"/>
  <c r="J10" i="16" s="1"/>
  <c r="H11" i="16" l="1"/>
  <c r="V2" i="25"/>
  <c r="B2" i="25" l="1"/>
  <c r="A2" i="25"/>
  <c r="L4" i="23"/>
  <c r="M4" i="23"/>
  <c r="J6" i="23"/>
  <c r="K4" i="23"/>
  <c r="M6" i="23" l="1"/>
  <c r="K6" i="23"/>
  <c r="S2" i="25"/>
  <c r="L6" i="23"/>
</calcChain>
</file>

<file path=xl/sharedStrings.xml><?xml version="1.0" encoding="utf-8"?>
<sst xmlns="http://schemas.openxmlformats.org/spreadsheetml/2006/main" count="2101" uniqueCount="263">
  <si>
    <t>Horas Reales Trabajar</t>
  </si>
  <si>
    <t>Área</t>
  </si>
  <si>
    <t>Horas día</t>
  </si>
  <si>
    <t xml:space="preserve">Horas mes </t>
  </si>
  <si>
    <t>Dias año</t>
  </si>
  <si>
    <t>Horas de Trabajo</t>
  </si>
  <si>
    <t>Fecha</t>
  </si>
  <si>
    <t>% Ausentismo</t>
  </si>
  <si>
    <t>% Fatiga</t>
  </si>
  <si>
    <t>Cargo</t>
  </si>
  <si>
    <t>% Vacaciones</t>
  </si>
  <si>
    <t>% Capacitación</t>
  </si>
  <si>
    <t>Proceso</t>
  </si>
  <si>
    <t>% Otros</t>
  </si>
  <si>
    <t>Reales</t>
  </si>
  <si>
    <t>Inductor General</t>
  </si>
  <si>
    <t>Porcentaje real</t>
  </si>
  <si>
    <t>No.</t>
  </si>
  <si>
    <t>Actividad</t>
  </si>
  <si>
    <t>Ciclo PHVA</t>
  </si>
  <si>
    <t>Inductor (Driver)</t>
  </si>
  <si>
    <t>Frecuencia</t>
  </si>
  <si>
    <t>Veces</t>
  </si>
  <si>
    <t>Volumen Mes</t>
  </si>
  <si>
    <t>Minutos Mes</t>
  </si>
  <si>
    <t>%</t>
  </si>
  <si>
    <t>Cliente</t>
  </si>
  <si>
    <t>Creación/Captura de Valor</t>
  </si>
  <si>
    <t>Observación</t>
  </si>
  <si>
    <t>Seguimiento</t>
  </si>
  <si>
    <t>Total minutos mes</t>
  </si>
  <si>
    <t>Total horas mes</t>
  </si>
  <si>
    <t>Personas</t>
  </si>
  <si>
    <t>Sem 1</t>
  </si>
  <si>
    <t>Sem 2</t>
  </si>
  <si>
    <t>Sem 3</t>
  </si>
  <si>
    <t>Sem 4</t>
  </si>
  <si>
    <t>Real</t>
  </si>
  <si>
    <t>Horas Contratadas</t>
  </si>
  <si>
    <t>Dimensionadas:</t>
  </si>
  <si>
    <t>Horas Posibles</t>
  </si>
  <si>
    <t>Equivalentes</t>
  </si>
  <si>
    <t>Horas Requeridas</t>
  </si>
  <si>
    <t>Estresado</t>
  </si>
  <si>
    <t>Tiempo Disponible x persona</t>
  </si>
  <si>
    <t>Ajustar</t>
  </si>
  <si>
    <t>Anual</t>
  </si>
  <si>
    <t>Creación de valor</t>
  </si>
  <si>
    <t>Verificar</t>
  </si>
  <si>
    <t>Semestral</t>
  </si>
  <si>
    <t>Captura de valor</t>
  </si>
  <si>
    <t>Hacer</t>
  </si>
  <si>
    <t>Trimestral</t>
  </si>
  <si>
    <t>Planear</t>
  </si>
  <si>
    <t>Bimestral</t>
  </si>
  <si>
    <t>Total</t>
  </si>
  <si>
    <t>Mensual</t>
  </si>
  <si>
    <t>Quincenal</t>
  </si>
  <si>
    <t>Campaña</t>
  </si>
  <si>
    <t>Semanal</t>
  </si>
  <si>
    <t>Diario</t>
  </si>
  <si>
    <t>PHVA</t>
  </si>
  <si>
    <t>Creación y Captura de Valor</t>
  </si>
  <si>
    <t>Si</t>
  </si>
  <si>
    <t>No</t>
  </si>
  <si>
    <t>Dimensionamiento Equivalente</t>
  </si>
  <si>
    <t>Dimensionamiento Estresado</t>
  </si>
  <si>
    <t>Personas Hoy</t>
  </si>
  <si>
    <t># de Actividades a impactar</t>
  </si>
  <si>
    <t>% de participación de las actividades a impactar.</t>
  </si>
  <si>
    <t xml:space="preserve">% Ausentismo </t>
  </si>
  <si>
    <t>Und/mes</t>
  </si>
  <si>
    <t>Aprendizaje</t>
  </si>
  <si>
    <t>Ejecuta</t>
  </si>
  <si>
    <t>Tarea</t>
  </si>
  <si>
    <t>Matriz de Participación</t>
  </si>
  <si>
    <t>Cultivo interior</t>
  </si>
  <si>
    <t>Eventos Externos y capacitaciones técnicas</t>
  </si>
  <si>
    <t>Inducción corporativa</t>
  </si>
  <si>
    <t>Solicitud Alimentación</t>
  </si>
  <si>
    <t>Facturación</t>
  </si>
  <si>
    <t>Orden de compra</t>
  </si>
  <si>
    <t>Gastos TC</t>
  </si>
  <si>
    <t>Creación de proveedores</t>
  </si>
  <si>
    <t>Gestión correo personal</t>
  </si>
  <si>
    <t>Inglés corporativo</t>
  </si>
  <si>
    <t>Materiales DOYS</t>
  </si>
  <si>
    <t>Presupuesto aprendizaje</t>
  </si>
  <si>
    <t>Necesidades de formación</t>
  </si>
  <si>
    <t>Reuniones</t>
  </si>
  <si>
    <t>Gestión Teams</t>
  </si>
  <si>
    <t>Ritual fin de año</t>
  </si>
  <si>
    <t>Logistica Asistencias</t>
  </si>
  <si>
    <t>Registro de Información en la matriz</t>
  </si>
  <si>
    <t>Informes</t>
  </si>
  <si>
    <t>Apoyar la logistica de los programas tranversales, eventos externos,programas técnicos, etc</t>
  </si>
  <si>
    <t>Programación Aux de la operación</t>
  </si>
  <si>
    <t>Inscripción y pago del evento</t>
  </si>
  <si>
    <t>Logistica inducción corporativa</t>
  </si>
  <si>
    <t>Losgistica pedido semanal de alimentación</t>
  </si>
  <si>
    <t>Proceso de facturación</t>
  </si>
  <si>
    <t>Crear solpedidos</t>
  </si>
  <si>
    <t>Legalización TC Aprendizaje</t>
  </si>
  <si>
    <t>Logistica matricula proveedor</t>
  </si>
  <si>
    <t>Logistica Inglés Corporativo</t>
  </si>
  <si>
    <t>Custodia papeleria DOYS</t>
  </si>
  <si>
    <t>Realizar rolling de aprendizaje</t>
  </si>
  <si>
    <t>Explorar el mercado con las ofertas de formación</t>
  </si>
  <si>
    <t>Apoyo logístico en actividades de fin de año</t>
  </si>
  <si>
    <t>Imprimir listas de asistencias para enviar a los centros de formación</t>
  </si>
  <si>
    <t>Seguimiento y recoleción de hojas de asistencia diligenciadas</t>
  </si>
  <si>
    <t>Escaneo y archivo final de las listas de asistencia de los programas de todo el año.</t>
  </si>
  <si>
    <t>Enviar correo  a profesionales y directoras de microcosmos recordando el envio de viajes, etc.</t>
  </si>
  <si>
    <t>Crear evento de formación</t>
  </si>
  <si>
    <t xml:space="preserve">Crear la población objetivo de cada programa </t>
  </si>
  <si>
    <t>Crear sesión para cada evento</t>
  </si>
  <si>
    <t>Registrar manualmente la asistencia de cada participante</t>
  </si>
  <si>
    <t xml:space="preserve">Registrar eventos externos, programas técnicos, viajes, en la matriz </t>
  </si>
  <si>
    <t xml:space="preserve">Realizar actualización de la BD de empledo </t>
  </si>
  <si>
    <t>Las personas que se cargan manual actaulizarles la información de ID,Sesiones etc.</t>
  </si>
  <si>
    <t>Realizar informes de matriz de participación</t>
  </si>
  <si>
    <t>Informe de gestión del año</t>
  </si>
  <si>
    <t>Crear cronograma anual para cultivo interior</t>
  </si>
  <si>
    <t>Organizar BD empleados según cargo</t>
  </si>
  <si>
    <t>Distribucción de grupos para cada capacitación</t>
  </si>
  <si>
    <t>Realizar citación de las personas a todos los programas tranversales</t>
  </si>
  <si>
    <t>Gestionar el correo de formación</t>
  </si>
  <si>
    <t>Hacer comparativos de los asistentes VS los no asiastentes para invitarlos a las sesiones faltantes</t>
  </si>
  <si>
    <t>Reservar salas para las formaciones</t>
  </si>
  <si>
    <t>Apoyar logistica y apertura de los programas</t>
  </si>
  <si>
    <t>Enviar encuestas de satisfacción en la finalización de cada programa</t>
  </si>
  <si>
    <t>Reprogramación de no asistentes</t>
  </si>
  <si>
    <t>Análizar encuestas</t>
  </si>
  <si>
    <t>Realizar reuniones de retroalimentación a los facilitadores luego de los resultados de las encuestas</t>
  </si>
  <si>
    <t>Citar cada 15 días a los nuevos ingresos a los programas</t>
  </si>
  <si>
    <t>Solicitud de transporte cuando sea necesario</t>
  </si>
  <si>
    <t>Embarcar al personal en el transporte</t>
  </si>
  <si>
    <t>Validar con MC la programación semanal del programa de culltivo interior para la operación</t>
  </si>
  <si>
    <t>Programar a los facilitadores</t>
  </si>
  <si>
    <t>Enviar correo con la reserva -espacio y alimentación</t>
  </si>
  <si>
    <t>Alimentar archivo de registro</t>
  </si>
  <si>
    <t>Citar los facilitadores</t>
  </si>
  <si>
    <t>Validar con las listas de asistencia que el proveedor si cobre lo que se consumio</t>
  </si>
  <si>
    <t>Acompañar el proveedor en el proceso de facturación</t>
  </si>
  <si>
    <t>Validar con el proveedor proceso de inscripción y pago</t>
  </si>
  <si>
    <t>Realizar pago</t>
  </si>
  <si>
    <t>Realizar inscripción</t>
  </si>
  <si>
    <t>Citar a los asistentes</t>
  </si>
  <si>
    <t>Realizar seguimiento a la capacitación</t>
  </si>
  <si>
    <t>Hacer registro de inducción</t>
  </si>
  <si>
    <t>Hacer BD pagar cargar conctatos</t>
  </si>
  <si>
    <t xml:space="preserve">Enviar Correo BD para solicitar información a los jefes de horarios y fechas de ingreso </t>
  </si>
  <si>
    <t>Crear carta RIT según la empresa de ingreso del empleado e imprimir</t>
  </si>
  <si>
    <t>Imprimir plan de inducción</t>
  </si>
  <si>
    <t>Citar a los facilitadores para la inducción</t>
  </si>
  <si>
    <t>Acompañamiento día 1 inducción</t>
  </si>
  <si>
    <t>Acompañamiento recorrido</t>
  </si>
  <si>
    <t>Mandar correo a monitoreo y a ss informando de los ingresos</t>
  </si>
  <si>
    <t>Solicitar transporte inducción</t>
  </si>
  <si>
    <t>Solicitar Alimentación para la inducción</t>
  </si>
  <si>
    <t>Enviar encuesta de satisfacción</t>
  </si>
  <si>
    <t>Registrar listas de asistencia</t>
  </si>
  <si>
    <t>Relación del plan de inducción para enviarle a archivo</t>
  </si>
  <si>
    <t>Recibir y entregar alimentación</t>
  </si>
  <si>
    <t>Citar a inducción por aparte cuando es DZ - y coordinar con el jefe</t>
  </si>
  <si>
    <t>Revisar cronograma semana siguiente para realizar la solicitud de alimentación</t>
  </si>
  <si>
    <t>Organizar BD según especificaciones de alimentación</t>
  </si>
  <si>
    <t>Enviar correo con la solicitud de alimentación</t>
  </si>
  <si>
    <t>Enviar mensaje a los facilitadores indicandoles que deben facturar</t>
  </si>
  <si>
    <t>Revisar una a una las facturas que el valor si coincidan con lo que se debe facturar</t>
  </si>
  <si>
    <t>Llevar registro de alimentación</t>
  </si>
  <si>
    <t>Enviar relación de gastos de honorarios cada 15 días a financiera</t>
  </si>
  <si>
    <t>Revisar que los valores del estado de cuenta esten correctos comparandolos con las listas de asistencia</t>
  </si>
  <si>
    <t>Realizar solpedido</t>
  </si>
  <si>
    <t>Enviar correo con la solicitud de solpedido</t>
  </si>
  <si>
    <t>Gestionar aprobación de solpedido</t>
  </si>
  <si>
    <t>Enviar OC al proveedor y darle indicaciones de facturación</t>
  </si>
  <si>
    <t>Solicitar factura eletronica al proveedor</t>
  </si>
  <si>
    <t>Diligenciar formato de legalización</t>
  </si>
  <si>
    <t>Enviar correos para la legalización del gastos</t>
  </si>
  <si>
    <t>Llevar resgistro de los gastos con TC</t>
  </si>
  <si>
    <t>Realizar primer contacto con el proveedor</t>
  </si>
  <si>
    <t>Enviar correo con la documentación requerida</t>
  </si>
  <si>
    <t>Revisar que la documentación enviada por el proveedor que este correcta</t>
  </si>
  <si>
    <t>Enviar documentación al CAD</t>
  </si>
  <si>
    <t>Gestión para las firmas electronicas</t>
  </si>
  <si>
    <t>Dar respuesta al correo personal con solicitudes varias</t>
  </si>
  <si>
    <t>Consolidar BD de personas para la formación</t>
  </si>
  <si>
    <t>Realizar negociación con el proveedor</t>
  </si>
  <si>
    <t xml:space="preserve">Encuesta de satisfacción </t>
  </si>
  <si>
    <t xml:space="preserve">Generar informe de satisfacción </t>
  </si>
  <si>
    <t>Socialización de encuesta con el proveedor</t>
  </si>
  <si>
    <t>Enviar correo para acuerdo de voluntades</t>
  </si>
  <si>
    <t>Enviar correo de deducción de nomina a los que pierden el curso o se retiran del mismo</t>
  </si>
  <si>
    <t xml:space="preserve">Enviar informe a los MC del estado de asistencia de los participantes al curso </t>
  </si>
  <si>
    <t>Matricular participantes</t>
  </si>
  <si>
    <t>Retirar personas del programa de inglés</t>
  </si>
  <si>
    <t>Hacer OC para cada ciclo de facturación</t>
  </si>
  <si>
    <t>Escribir por teams a las personas que su asistencia se encuentra baja para conocer el porque</t>
  </si>
  <si>
    <t>Realizar pedido de papeleria</t>
  </si>
  <si>
    <t>Recoger y organizar papeleria</t>
  </si>
  <si>
    <t>organizar bodega aprendizaje</t>
  </si>
  <si>
    <t xml:space="preserve">Hacer prestamo y resgistro del materiales </t>
  </si>
  <si>
    <t xml:space="preserve">Realizar presuspuesto de todos los gastos del área </t>
  </si>
  <si>
    <t>Revisar ejecución de gastos</t>
  </si>
  <si>
    <t>Realizar ajustes mediante el rolling cada 3 meses</t>
  </si>
  <si>
    <t>De acuerdo con la solicitud de formación buscar en el mercado como cubrir la necesidad</t>
  </si>
  <si>
    <t>Enviar al área solicitante las propuestas de formación</t>
  </si>
  <si>
    <t>Negociación con el proveedor</t>
  </si>
  <si>
    <t>Dar respuesta a solicitudes varias por medio de teams</t>
  </si>
  <si>
    <t>Crear grupo de whatapp -(validación que todos que todos queden ingresados)</t>
  </si>
  <si>
    <t>Enviar invitación al grupo de whatsapp</t>
  </si>
  <si>
    <t>Hacer cumplir las clasulas del acuerdo</t>
  </si>
  <si>
    <t>Gestion Correo</t>
  </si>
  <si>
    <t>Gestion Teams</t>
  </si>
  <si>
    <t>Crear grupo de whatsapp -(validación que todos que todos queden ingresados)</t>
  </si>
  <si>
    <t>Total general</t>
  </si>
  <si>
    <t>Suma de Minutos Mes</t>
  </si>
  <si>
    <t>Digitalizacion de listas de asistencia</t>
  </si>
  <si>
    <t xml:space="preserve">Realizar actualización de la BD de empleado </t>
  </si>
  <si>
    <t>Hacer inventario y verificar que materiales faltan</t>
  </si>
  <si>
    <t>Citaciones</t>
  </si>
  <si>
    <t>Gestión de Bases de Datos</t>
  </si>
  <si>
    <t>Acompañamiento inducción</t>
  </si>
  <si>
    <t>Gestión pago proveedores</t>
  </si>
  <si>
    <t>Encuestas de satisfacción</t>
  </si>
  <si>
    <t>Gestión alimentación</t>
  </si>
  <si>
    <t>Programación y logística formaciones</t>
  </si>
  <si>
    <t>Apoyo fin de año</t>
  </si>
  <si>
    <t>Seguimiento a formaciones</t>
  </si>
  <si>
    <t>Indicadores / Informes</t>
  </si>
  <si>
    <t>Gestión Correo / Teams / Solicitudes</t>
  </si>
  <si>
    <t>Reprogramaciones</t>
  </si>
  <si>
    <t>Gestión Transporte</t>
  </si>
  <si>
    <t>Papelería</t>
  </si>
  <si>
    <t>Legalizaciones</t>
  </si>
  <si>
    <t>Programación y logística inducción</t>
  </si>
  <si>
    <t>Archivo</t>
  </si>
  <si>
    <t>Realizar contrato de prestación de servicios</t>
  </si>
  <si>
    <t>Acuerdo de voluntades</t>
  </si>
  <si>
    <t>Gestión de presupuesto</t>
  </si>
  <si>
    <t>Búsqueda, negociación y creación proveedores</t>
  </si>
  <si>
    <t>Auxiliar + Aprendiz</t>
  </si>
  <si>
    <t>Actividad macro</t>
  </si>
  <si>
    <t>Herramientas de autogestión para usuarios</t>
  </si>
  <si>
    <t>Cómo se puede automatizar la programación y citación</t>
  </si>
  <si>
    <t>Revisar pertinencia de matriz de participación y cómo se puede automatizar</t>
  </si>
  <si>
    <t>Integración de bases de datos</t>
  </si>
  <si>
    <t>Oportunidades</t>
  </si>
  <si>
    <t>Eventos de aprendizaje</t>
  </si>
  <si>
    <t>Auxiliar Aprendizaje + Aprendiz Aprendizaje</t>
  </si>
  <si>
    <t>Registro de asistencia digital</t>
  </si>
  <si>
    <t>Revisión y clasificación de solicitudes, identificar e implementar herramientas de autogestión para usuarios</t>
  </si>
  <si>
    <t>Registros de asistencia</t>
  </si>
  <si>
    <t xml:space="preserve"> Minutos Mes</t>
  </si>
  <si>
    <t>Tiempo por actividad (min)</t>
  </si>
  <si>
    <t>Cuenta de Ciclo PHVA</t>
  </si>
  <si>
    <t>Cuenta de Ciclo PHVA2</t>
  </si>
  <si>
    <t>evento Aprendizaje</t>
  </si>
  <si>
    <t>Auxiliar</t>
  </si>
  <si>
    <t>Aprendiz</t>
  </si>
  <si>
    <t>Indicativo</t>
  </si>
  <si>
    <t xml:space="preserve">Reestructurar el plan de acompañamiento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</si>
</sst>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_-* #,##0.00_-;\-* #,##0.00_-;_-* &quot;-&quot;_-;_-@_-"/>
    <numFmt numFmtId="167" formatCode="_-* #,##0\ _€_-;\-* #,##0\ _€_-;_-* &quot;-&quot;??\ _€_-;_-@_-"/>
    <numFmt numFmtId="168" formatCode="0.0%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944B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944B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151">
    <xf numFmtId="0" fontId="0" fillId="0" borderId="0" xfId="0"/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10" fontId="3" fillId="0" borderId="1" xfId="3" applyNumberFormat="1" applyFont="1" applyFill="1" applyBorder="1" applyAlignment="1" applyProtection="1">
      <alignment horizontal="center" vertical="center"/>
    </xf>
    <xf numFmtId="0" fontId="4" fillId="0" borderId="0" xfId="2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4" fillId="0" borderId="0" xfId="2" applyAlignment="1">
      <alignment horizontal="left" vertical="center"/>
    </xf>
    <xf numFmtId="0" fontId="4" fillId="0" borderId="0" xfId="2" applyAlignment="1">
      <alignment vertical="center" wrapText="1"/>
    </xf>
    <xf numFmtId="0" fontId="4" fillId="0" borderId="0" xfId="2" applyAlignment="1">
      <alignment vertical="center"/>
    </xf>
    <xf numFmtId="0" fontId="3" fillId="0" borderId="0" xfId="1" applyFont="1" applyAlignment="1">
      <alignment vertical="center"/>
    </xf>
    <xf numFmtId="2" fontId="3" fillId="0" borderId="1" xfId="1" applyNumberFormat="1" applyFont="1" applyBorder="1" applyAlignment="1">
      <alignment horizontal="center" vertical="center"/>
    </xf>
    <xf numFmtId="2" fontId="3" fillId="0" borderId="1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1" fillId="0" borderId="0" xfId="2" applyFont="1" applyAlignment="1">
      <alignment vertical="center" wrapText="1"/>
    </xf>
    <xf numFmtId="164" fontId="3" fillId="0" borderId="0" xfId="9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2" fontId="3" fillId="3" borderId="0" xfId="1" applyNumberFormat="1" applyFont="1" applyFill="1" applyAlignment="1">
      <alignment horizontal="center" vertical="center"/>
    </xf>
    <xf numFmtId="1" fontId="3" fillId="3" borderId="1" xfId="1" applyNumberFormat="1" applyFont="1" applyFill="1" applyBorder="1" applyAlignment="1">
      <alignment horizontal="center" vertical="center" wrapText="1"/>
    </xf>
    <xf numFmtId="2" fontId="10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vertical="center"/>
    </xf>
    <xf numFmtId="0" fontId="10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11" fillId="3" borderId="0" xfId="2" applyFont="1" applyFill="1" applyAlignment="1">
      <alignment vertical="center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vertical="center"/>
    </xf>
    <xf numFmtId="1" fontId="10" fillId="3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3" fillId="0" borderId="0" xfId="1" applyFont="1" applyAlignment="1">
      <alignment horizontal="right" vertical="center"/>
    </xf>
    <xf numFmtId="0" fontId="2" fillId="0" borderId="0" xfId="2" applyFont="1" applyAlignment="1">
      <alignment vertical="center"/>
    </xf>
    <xf numFmtId="0" fontId="10" fillId="3" borderId="1" xfId="2" applyFont="1" applyFill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vertical="center" wrapText="1"/>
    </xf>
    <xf numFmtId="0" fontId="10" fillId="3" borderId="1" xfId="2" applyFont="1" applyFill="1" applyBorder="1" applyAlignment="1">
      <alignment vertical="center" wrapText="1"/>
    </xf>
    <xf numFmtId="9" fontId="8" fillId="0" borderId="1" xfId="3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9" fontId="5" fillId="2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vertical="center"/>
    </xf>
    <xf numFmtId="9" fontId="8" fillId="0" borderId="0" xfId="3" applyFont="1" applyFill="1" applyBorder="1" applyAlignment="1">
      <alignment horizontal="center" vertical="center"/>
    </xf>
    <xf numFmtId="9" fontId="5" fillId="4" borderId="1" xfId="1" applyNumberFormat="1" applyFont="1" applyFill="1" applyBorder="1" applyAlignment="1">
      <alignment horizontal="center" vertical="center" wrapText="1"/>
    </xf>
    <xf numFmtId="9" fontId="5" fillId="4" borderId="1" xfId="1" applyNumberFormat="1" applyFont="1" applyFill="1" applyBorder="1" applyAlignment="1">
      <alignment horizontal="center" vertical="center"/>
    </xf>
    <xf numFmtId="9" fontId="5" fillId="5" borderId="1" xfId="1" applyNumberFormat="1" applyFont="1" applyFill="1" applyBorder="1" applyAlignment="1">
      <alignment horizontal="center" vertical="center" wrapText="1"/>
    </xf>
    <xf numFmtId="166" fontId="3" fillId="2" borderId="1" xfId="10" applyNumberFormat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14" fontId="3" fillId="2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Border="1" applyAlignment="1">
      <alignment horizontal="left" vertical="center" wrapText="1"/>
    </xf>
    <xf numFmtId="0" fontId="1" fillId="0" borderId="0" xfId="7" applyAlignment="1">
      <alignment horizontal="center"/>
    </xf>
    <xf numFmtId="0" fontId="1" fillId="3" borderId="1" xfId="2" applyFont="1" applyFill="1" applyBorder="1" applyAlignment="1">
      <alignment vertical="center"/>
    </xf>
    <xf numFmtId="0" fontId="1" fillId="3" borderId="0" xfId="2" applyFont="1" applyFill="1" applyAlignment="1">
      <alignment vertical="center"/>
    </xf>
    <xf numFmtId="1" fontId="6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10" fillId="3" borderId="1" xfId="0" applyFont="1" applyFill="1" applyBorder="1" applyAlignment="1">
      <alignment horizontal="left" vertical="center" wrapText="1"/>
    </xf>
    <xf numFmtId="0" fontId="5" fillId="0" borderId="0" xfId="1" applyFont="1" applyAlignment="1">
      <alignment horizontal="center"/>
    </xf>
    <xf numFmtId="165" fontId="3" fillId="0" borderId="0" xfId="1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11" applyFont="1" applyAlignment="1">
      <alignment horizontal="center"/>
    </xf>
    <xf numFmtId="10" fontId="0" fillId="0" borderId="0" xfId="0" applyNumberFormat="1" applyAlignment="1">
      <alignment horizontal="center"/>
    </xf>
    <xf numFmtId="0" fontId="12" fillId="0" borderId="1" xfId="0" applyFont="1" applyBorder="1" applyAlignment="1">
      <alignment horizontal="center"/>
    </xf>
    <xf numFmtId="2" fontId="0" fillId="0" borderId="1" xfId="0" applyNumberFormat="1" applyBorder="1"/>
    <xf numFmtId="0" fontId="12" fillId="0" borderId="1" xfId="0" applyFont="1" applyBorder="1"/>
    <xf numFmtId="2" fontId="3" fillId="7" borderId="1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10" fillId="3" borderId="1" xfId="2" applyFont="1" applyFill="1" applyBorder="1" applyAlignment="1">
      <alignment horizontal="left" vertical="center" wrapText="1"/>
    </xf>
    <xf numFmtId="0" fontId="0" fillId="0" borderId="0" xfId="0" pivotButton="1"/>
    <xf numFmtId="167" fontId="0" fillId="0" borderId="0" xfId="0" applyNumberFormat="1"/>
    <xf numFmtId="43" fontId="0" fillId="0" borderId="0" xfId="0" applyNumberFormat="1"/>
    <xf numFmtId="9" fontId="0" fillId="0" borderId="0" xfId="11" applyFont="1"/>
    <xf numFmtId="168" fontId="0" fillId="0" borderId="0" xfId="11" applyNumberFormat="1" applyFont="1"/>
    <xf numFmtId="0" fontId="12" fillId="6" borderId="0" xfId="0" applyFont="1" applyFill="1"/>
    <xf numFmtId="0" fontId="0" fillId="8" borderId="0" xfId="0" applyFill="1"/>
    <xf numFmtId="43" fontId="12" fillId="0" borderId="0" xfId="0" applyNumberFormat="1" applyFont="1"/>
    <xf numFmtId="9" fontId="13" fillId="9" borderId="0" xfId="11" applyFont="1" applyFill="1" applyAlignment="1">
      <alignment horizontal="center"/>
    </xf>
    <xf numFmtId="0" fontId="13" fillId="9" borderId="0" xfId="0" applyFont="1" applyFill="1"/>
    <xf numFmtId="10" fontId="0" fillId="0" borderId="0" xfId="0" applyNumberFormat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12" fillId="10" borderId="8" xfId="0" applyFont="1" applyFill="1" applyBorder="1" applyAlignment="1">
      <alignment horizontal="center" vertical="center"/>
    </xf>
    <xf numFmtId="9" fontId="5" fillId="5" borderId="5" xfId="1" applyNumberFormat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0" fontId="10" fillId="3" borderId="1" xfId="11" applyNumberFormat="1" applyFont="1" applyFill="1" applyBorder="1" applyAlignment="1" applyProtection="1">
      <alignment horizontal="center" vertical="center"/>
    </xf>
    <xf numFmtId="10" fontId="4" fillId="0" borderId="0" xfId="2" applyNumberFormat="1" applyAlignment="1">
      <alignment vertical="center"/>
    </xf>
    <xf numFmtId="43" fontId="5" fillId="0" borderId="0" xfId="2" applyNumberFormat="1" applyFont="1" applyAlignment="1">
      <alignment vertical="center"/>
    </xf>
    <xf numFmtId="0" fontId="5" fillId="0" borderId="2" xfId="1" applyFont="1" applyBorder="1" applyAlignment="1">
      <alignment vertical="center" wrapText="1"/>
    </xf>
    <xf numFmtId="0" fontId="0" fillId="11" borderId="1" xfId="0" applyFill="1" applyBorder="1"/>
    <xf numFmtId="2" fontId="0" fillId="11" borderId="1" xfId="0" applyNumberFormat="1" applyFill="1" applyBorder="1"/>
    <xf numFmtId="0" fontId="15" fillId="3" borderId="0" xfId="0" applyFont="1" applyFill="1"/>
    <xf numFmtId="0" fontId="16" fillId="3" borderId="0" xfId="0" applyFont="1" applyFill="1"/>
    <xf numFmtId="0" fontId="17" fillId="3" borderId="0" xfId="1" applyFont="1" applyFill="1" applyAlignment="1">
      <alignment horizontal="right" vertical="center"/>
    </xf>
    <xf numFmtId="0" fontId="18" fillId="3" borderId="1" xfId="1" applyFont="1" applyFill="1" applyBorder="1" applyAlignment="1">
      <alignment horizontal="center" vertical="center"/>
    </xf>
    <xf numFmtId="0" fontId="19" fillId="3" borderId="0" xfId="1" applyFont="1" applyFill="1" applyAlignment="1">
      <alignment horizontal="right" vertical="center"/>
    </xf>
    <xf numFmtId="2" fontId="17" fillId="6" borderId="1" xfId="7" applyNumberFormat="1" applyFont="1" applyFill="1" applyBorder="1" applyAlignment="1">
      <alignment horizontal="center"/>
    </xf>
    <xf numFmtId="165" fontId="17" fillId="3" borderId="1" xfId="1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8" fillId="3" borderId="0" xfId="1" applyFont="1" applyFill="1" applyAlignment="1">
      <alignment horizontal="right" vertical="center"/>
    </xf>
    <xf numFmtId="165" fontId="20" fillId="3" borderId="1" xfId="1" applyNumberFormat="1" applyFont="1" applyFill="1" applyBorder="1" applyAlignment="1">
      <alignment horizontal="center" vertical="center"/>
    </xf>
    <xf numFmtId="0" fontId="19" fillId="0" borderId="0" xfId="1" applyFont="1" applyAlignment="1">
      <alignment horizontal="right" vertical="center"/>
    </xf>
    <xf numFmtId="2" fontId="19" fillId="4" borderId="1" xfId="1" applyNumberFormat="1" applyFont="1" applyFill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165" fontId="20" fillId="3" borderId="0" xfId="1" applyNumberFormat="1" applyFont="1" applyFill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9" fillId="3" borderId="0" xfId="1" applyFont="1" applyFill="1" applyAlignment="1">
      <alignment vertical="center"/>
    </xf>
    <xf numFmtId="0" fontId="16" fillId="3" borderId="0" xfId="0" applyFont="1" applyFill="1" applyAlignment="1">
      <alignment horizontal="center"/>
    </xf>
    <xf numFmtId="0" fontId="16" fillId="3" borderId="4" xfId="0" applyFont="1" applyFill="1" applyBorder="1"/>
    <xf numFmtId="0" fontId="16" fillId="3" borderId="1" xfId="0" applyFont="1" applyFill="1" applyBorder="1"/>
    <xf numFmtId="0" fontId="15" fillId="3" borderId="1" xfId="0" applyFont="1" applyFill="1" applyBorder="1"/>
    <xf numFmtId="9" fontId="15" fillId="3" borderId="0" xfId="11" applyFont="1" applyFill="1"/>
    <xf numFmtId="0" fontId="15" fillId="0" borderId="1" xfId="0" applyFont="1" applyBorder="1"/>
    <xf numFmtId="9" fontId="15" fillId="3" borderId="1" xfId="11" applyFont="1" applyFill="1" applyBorder="1"/>
    <xf numFmtId="168" fontId="0" fillId="12" borderId="0" xfId="11" applyNumberFormat="1" applyFont="1" applyFill="1"/>
    <xf numFmtId="0" fontId="21" fillId="0" borderId="0" xfId="1" applyFont="1" applyAlignment="1">
      <alignment horizontal="center" vertical="center"/>
    </xf>
    <xf numFmtId="10" fontId="21" fillId="0" borderId="0" xfId="3" applyNumberFormat="1" applyFont="1" applyFill="1" applyBorder="1" applyAlignment="1" applyProtection="1">
      <alignment horizontal="center" vertical="center"/>
    </xf>
    <xf numFmtId="0" fontId="21" fillId="0" borderId="0" xfId="1" applyFont="1" applyAlignment="1">
      <alignment horizontal="right" vertical="center"/>
    </xf>
    <xf numFmtId="4" fontId="21" fillId="0" borderId="0" xfId="1" applyNumberFormat="1" applyFont="1" applyAlignment="1">
      <alignment horizontal="center" vertical="center"/>
    </xf>
    <xf numFmtId="0" fontId="10" fillId="13" borderId="0" xfId="1" applyFont="1" applyFill="1" applyAlignment="1">
      <alignment horizontal="center" vertical="center"/>
    </xf>
    <xf numFmtId="0" fontId="22" fillId="13" borderId="0" xfId="1" applyFont="1" applyFill="1" applyAlignment="1">
      <alignment horizontal="center" vertical="center"/>
    </xf>
    <xf numFmtId="0" fontId="23" fillId="13" borderId="0" xfId="1" applyFont="1" applyFill="1" applyAlignment="1">
      <alignment horizontal="right" vertical="center"/>
    </xf>
    <xf numFmtId="164" fontId="22" fillId="13" borderId="1" xfId="9" applyFont="1" applyFill="1" applyBorder="1" applyAlignment="1" applyProtection="1">
      <alignment horizontal="right" vertical="center" wrapText="1"/>
    </xf>
    <xf numFmtId="2" fontId="22" fillId="13" borderId="1" xfId="1" applyNumberFormat="1" applyFont="1" applyFill="1" applyBorder="1" applyAlignment="1">
      <alignment horizontal="right" vertical="center" wrapText="1"/>
    </xf>
    <xf numFmtId="0" fontId="16" fillId="3" borderId="6" xfId="0" applyFont="1" applyFill="1" applyBorder="1"/>
    <xf numFmtId="0" fontId="15" fillId="3" borderId="7" xfId="0" applyFont="1" applyFill="1" applyBorder="1"/>
    <xf numFmtId="167" fontId="15" fillId="3" borderId="5" xfId="0" applyNumberFormat="1" applyFont="1" applyFill="1" applyBorder="1"/>
    <xf numFmtId="0" fontId="16" fillId="3" borderId="10" xfId="0" applyFont="1" applyFill="1" applyBorder="1"/>
    <xf numFmtId="0" fontId="15" fillId="3" borderId="3" xfId="0" applyFont="1" applyFill="1" applyBorder="1"/>
    <xf numFmtId="167" fontId="15" fillId="3" borderId="11" xfId="0" applyNumberFormat="1" applyFont="1" applyFill="1" applyBorder="1"/>
    <xf numFmtId="0" fontId="16" fillId="3" borderId="12" xfId="0" applyFont="1" applyFill="1" applyBorder="1"/>
    <xf numFmtId="167" fontId="15" fillId="3" borderId="13" xfId="0" applyNumberFormat="1" applyFont="1" applyFill="1" applyBorder="1"/>
    <xf numFmtId="0" fontId="16" fillId="3" borderId="14" xfId="0" applyFont="1" applyFill="1" applyBorder="1"/>
    <xf numFmtId="0" fontId="15" fillId="3" borderId="2" xfId="0" applyFont="1" applyFill="1" applyBorder="1"/>
    <xf numFmtId="167" fontId="15" fillId="3" borderId="15" xfId="0" applyNumberFormat="1" applyFont="1" applyFill="1" applyBorder="1"/>
    <xf numFmtId="0" fontId="15" fillId="3" borderId="14" xfId="0" applyFont="1" applyFill="1" applyBorder="1"/>
    <xf numFmtId="0" fontId="16" fillId="3" borderId="7" xfId="0" applyFont="1" applyFill="1" applyBorder="1"/>
    <xf numFmtId="167" fontId="16" fillId="3" borderId="5" xfId="0" applyNumberFormat="1" applyFont="1" applyFill="1" applyBorder="1"/>
    <xf numFmtId="9" fontId="5" fillId="5" borderId="6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4" fillId="0" borderId="9" xfId="2" applyBorder="1" applyAlignment="1">
      <alignment vertical="center"/>
    </xf>
    <xf numFmtId="165" fontId="3" fillId="0" borderId="0" xfId="1" applyNumberFormat="1" applyFont="1" applyAlignment="1">
      <alignment horizontal="center" vertical="center"/>
    </xf>
  </cellXfs>
  <cellStyles count="16">
    <cellStyle name="Millares" xfId="9" builtinId="3"/>
    <cellStyle name="Millares [0]" xfId="10" builtinId="6"/>
    <cellStyle name="Millares [0] 2" xfId="4"/>
    <cellStyle name="Millares [0] 2 2" xfId="8"/>
    <cellStyle name="Millares [0] 2 2 2" xfId="14"/>
    <cellStyle name="Millares [0] 2 3" xfId="6"/>
    <cellStyle name="Millares [0] 2 3 2" xfId="13"/>
    <cellStyle name="Millares [0] 2 4" xfId="12"/>
    <cellStyle name="Millares [0] 3" xfId="15"/>
    <cellStyle name="Normal" xfId="0" builtinId="0"/>
    <cellStyle name="Normal 2" xfId="1"/>
    <cellStyle name="Normal 3" xfId="2"/>
    <cellStyle name="Normal 3 2" xfId="7"/>
    <cellStyle name="Normal 3 3" xfId="5"/>
    <cellStyle name="Porcentaje" xfId="11" builtinId="5"/>
    <cellStyle name="Porcentaje 2" xfId="3"/>
  </cellStyles>
  <dxfs count="17">
    <dxf>
      <numFmt numFmtId="167" formatCode="_-* #,##0\ _€_-;\-* #,##0\ _€_-;_-* &quot;-&quot;??\ _€_-;_-@_-"/>
    </dxf>
    <dxf>
      <fill>
        <patternFill patternType="solid">
          <bgColor rgb="FFFFFF00"/>
        </patternFill>
      </fill>
    </dxf>
    <dxf>
      <numFmt numFmtId="167" formatCode="_-* #,##0\ _€_-;\-* #,##0\ _€_-;_-* &quot;-&quot;??\ _€_-;_-@_-"/>
    </dxf>
    <dxf>
      <numFmt numFmtId="167" formatCode="_-* #,##0\ _€_-;\-* #,##0\ _€_-;_-* &quot;-&quot;??\ _€_-;_-@_-"/>
    </dxf>
    <dxf>
      <numFmt numFmtId="14" formatCode="0.00%"/>
    </dxf>
    <dxf>
      <numFmt numFmtId="167" formatCode="_-* #,##0\ _€_-;\-* #,##0\ _€_-;_-* &quot;-&quot;??\ _€_-;_-@_-"/>
    </dxf>
    <dxf>
      <fill>
        <patternFill patternType="solid">
          <fgColor indexed="64"/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7" formatCode="_-* #,##0\ _€_-;\-* #,##0\ _€_-;_-* &quot;-&quot;??\ _€_-;_-@_-"/>
    </dxf>
    <dxf>
      <fill>
        <patternFill>
          <bgColor rgb="FF0070C0"/>
        </patternFill>
      </fill>
    </dxf>
    <dxf>
      <fill>
        <patternFill>
          <bgColor rgb="FF79FFB6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944B"/>
      <color rgb="FFFF9900"/>
      <color rgb="FFFF99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7/relationships/slicerCache" Target="slicerCaches/slicerCach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Ciclo PHVA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Resumen!$C$10</c:f>
              <c:strCache>
                <c:ptCount val="1"/>
                <c:pt idx="0">
                  <c:v>Frecuencia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Resumen!$B$11:$B$14</c:f>
              <c:strCache>
                <c:ptCount val="4"/>
                <c:pt idx="0">
                  <c:v>Ajustar</c:v>
                </c:pt>
                <c:pt idx="1">
                  <c:v>Verificar</c:v>
                </c:pt>
                <c:pt idx="2">
                  <c:v>Hacer</c:v>
                </c:pt>
                <c:pt idx="3">
                  <c:v>Planear</c:v>
                </c:pt>
              </c:strCache>
            </c:strRef>
          </c:cat>
          <c:val>
            <c:numRef>
              <c:f>Resumen!$D$11:$D$14</c:f>
              <c:numCache>
                <c:formatCode>0%</c:formatCode>
                <c:ptCount val="4"/>
                <c:pt idx="0">
                  <c:v>5.7142857142857143E-3</c:v>
                </c:pt>
                <c:pt idx="1">
                  <c:v>0.14285714285714285</c:v>
                </c:pt>
                <c:pt idx="2">
                  <c:v>0.76571428571428568</c:v>
                </c:pt>
                <c:pt idx="3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B-48F1-ADB4-B8FC3BD5F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15101295"/>
        <c:axId val="887450559"/>
      </c:barChart>
      <c:catAx>
        <c:axId val="7151012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450559"/>
        <c:crosses val="autoZero"/>
        <c:auto val="1"/>
        <c:lblAlgn val="ctr"/>
        <c:lblOffset val="100"/>
        <c:noMultiLvlLbl val="0"/>
      </c:catAx>
      <c:valAx>
        <c:axId val="887450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101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Frecuencia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Resumen!$K$10</c:f>
              <c:strCache>
                <c:ptCount val="1"/>
                <c:pt idx="0">
                  <c:v>Veces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Resumen!$I$11:$I$19</c:f>
              <c:strCache>
                <c:ptCount val="9"/>
                <c:pt idx="0">
                  <c:v>Anual</c:v>
                </c:pt>
                <c:pt idx="1">
                  <c:v>Semestral</c:v>
                </c:pt>
                <c:pt idx="2">
                  <c:v>Trimestral</c:v>
                </c:pt>
                <c:pt idx="3">
                  <c:v>Bimestral</c:v>
                </c:pt>
                <c:pt idx="4">
                  <c:v>Mensual</c:v>
                </c:pt>
                <c:pt idx="5">
                  <c:v>Quincenal</c:v>
                </c:pt>
                <c:pt idx="6">
                  <c:v>Campaña</c:v>
                </c:pt>
                <c:pt idx="7">
                  <c:v>Semanal</c:v>
                </c:pt>
                <c:pt idx="8">
                  <c:v>Diario</c:v>
                </c:pt>
              </c:strCache>
            </c:strRef>
          </c:cat>
          <c:val>
            <c:numRef>
              <c:f>Resumen!$K$11:$K$19</c:f>
              <c:numCache>
                <c:formatCode>0%</c:formatCode>
                <c:ptCount val="9"/>
                <c:pt idx="0">
                  <c:v>4.5714285714285714E-2</c:v>
                </c:pt>
                <c:pt idx="1">
                  <c:v>2.8571428571428571E-2</c:v>
                </c:pt>
                <c:pt idx="2">
                  <c:v>1.1428571428571429E-2</c:v>
                </c:pt>
                <c:pt idx="3">
                  <c:v>6.2857142857142861E-2</c:v>
                </c:pt>
                <c:pt idx="4">
                  <c:v>0.17142857142857143</c:v>
                </c:pt>
                <c:pt idx="5">
                  <c:v>0.17714285714285713</c:v>
                </c:pt>
                <c:pt idx="6">
                  <c:v>0</c:v>
                </c:pt>
                <c:pt idx="7">
                  <c:v>0.4</c:v>
                </c:pt>
                <c:pt idx="8">
                  <c:v>0.10285714285714286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BA-4CB9-9649-6DB5F01B8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15136895"/>
        <c:axId val="875087967"/>
      </c:barChart>
      <c:catAx>
        <c:axId val="715136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5087967"/>
        <c:crosses val="autoZero"/>
        <c:auto val="1"/>
        <c:lblAlgn val="ctr"/>
        <c:lblOffset val="100"/>
        <c:noMultiLvlLbl val="0"/>
      </c:catAx>
      <c:valAx>
        <c:axId val="875087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136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Creación/Captura de Valor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Resumen!$R$10</c:f>
              <c:strCache>
                <c:ptCount val="1"/>
                <c:pt idx="0">
                  <c:v>Frecuencia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FF-4D7E-84D4-6E2E314A455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1FF-4D7E-84D4-6E2E314A45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Resumen!$Q$11:$Q$12</c:f>
              <c:strCache>
                <c:ptCount val="2"/>
                <c:pt idx="0">
                  <c:v>Creación de valor</c:v>
                </c:pt>
                <c:pt idx="1">
                  <c:v>Captura de valor</c:v>
                </c:pt>
              </c:strCache>
            </c:strRef>
          </c:cat>
          <c:val>
            <c:numRef>
              <c:f>Resumen!$S$11:$S$12</c:f>
              <c:numCache>
                <c:formatCode>0%</c:formatCode>
                <c:ptCount val="2"/>
                <c:pt idx="0">
                  <c:v>8.5714285714285715E-2</c:v>
                </c:pt>
                <c:pt idx="1">
                  <c:v>0.91428571428571426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F-4D7E-84D4-6E2E314A4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4880432"/>
        <c:axId val="1690931520"/>
      </c:barChart>
      <c:catAx>
        <c:axId val="165488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931520"/>
        <c:crosses val="autoZero"/>
        <c:auto val="1"/>
        <c:lblAlgn val="ctr"/>
        <c:lblOffset val="100"/>
        <c:noMultiLvlLbl val="0"/>
      </c:catAx>
      <c:valAx>
        <c:axId val="169093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488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[Dimensionamiento Aprendizaje Organizacional_ Linea Directa_2022.xlsx]Mas Datos!TablaDinámica4</c:name>
    <c:fmtId val="11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'Mas Datos'!$H$3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'Mas Datos'!$F$4:$G$22</c:f>
              <c:multiLvlStrCache>
                <c:ptCount val="18"/>
                <c:lvl>
                  <c:pt idx="0">
                    <c:v>Bimestral</c:v>
                  </c:pt>
                  <c:pt idx="1">
                    <c:v>Anual</c:v>
                  </c:pt>
                  <c:pt idx="2">
                    <c:v>Bimestral</c:v>
                  </c:pt>
                  <c:pt idx="3">
                    <c:v>Diario</c:v>
                  </c:pt>
                  <c:pt idx="4">
                    <c:v>Mensual</c:v>
                  </c:pt>
                  <c:pt idx="5">
                    <c:v>Quincenal</c:v>
                  </c:pt>
                  <c:pt idx="6">
                    <c:v>Semanal</c:v>
                  </c:pt>
                  <c:pt idx="7">
                    <c:v>Semestral</c:v>
                  </c:pt>
                  <c:pt idx="8">
                    <c:v>Trimestral</c:v>
                  </c:pt>
                  <c:pt idx="9">
                    <c:v>Anual</c:v>
                  </c:pt>
                  <c:pt idx="10">
                    <c:v>Mensual</c:v>
                  </c:pt>
                  <c:pt idx="11">
                    <c:v>Quincenal</c:v>
                  </c:pt>
                  <c:pt idx="12">
                    <c:v>Semanal</c:v>
                  </c:pt>
                  <c:pt idx="13">
                    <c:v>Trimestral</c:v>
                  </c:pt>
                  <c:pt idx="14">
                    <c:v>Diario</c:v>
                  </c:pt>
                  <c:pt idx="15">
                    <c:v>Mensual</c:v>
                  </c:pt>
                  <c:pt idx="16">
                    <c:v>Quincenal</c:v>
                  </c:pt>
                  <c:pt idx="17">
                    <c:v>Semanal</c:v>
                  </c:pt>
                </c:lvl>
                <c:lvl>
                  <c:pt idx="0">
                    <c:v>Ajustar</c:v>
                  </c:pt>
                  <c:pt idx="1">
                    <c:v>Hacer</c:v>
                  </c:pt>
                  <c:pt idx="9">
                    <c:v>Planear</c:v>
                  </c:pt>
                  <c:pt idx="14">
                    <c:v>Verificar</c:v>
                  </c:pt>
                </c:lvl>
              </c:multiLvlStrCache>
            </c:multiLvlStrRef>
          </c:cat>
          <c:val>
            <c:numRef>
              <c:f>'Mas Datos'!$H$4:$H$22</c:f>
              <c:numCache>
                <c:formatCode>_-* #,##0\ _€_-;\-* #,##0\ _€_-;_-* "-"??\ _€_-;_-@_-</c:formatCode>
                <c:ptCount val="18"/>
                <c:pt idx="0">
                  <c:v>8.5</c:v>
                </c:pt>
                <c:pt idx="1">
                  <c:v>241.91666666666669</c:v>
                </c:pt>
                <c:pt idx="2">
                  <c:v>316.5</c:v>
                </c:pt>
                <c:pt idx="3">
                  <c:v>19700</c:v>
                </c:pt>
                <c:pt idx="4">
                  <c:v>1186</c:v>
                </c:pt>
                <c:pt idx="5">
                  <c:v>4100</c:v>
                </c:pt>
                <c:pt idx="6">
                  <c:v>13828.800000000003</c:v>
                </c:pt>
                <c:pt idx="7">
                  <c:v>1610.8333333333333</c:v>
                </c:pt>
                <c:pt idx="8">
                  <c:v>80</c:v>
                </c:pt>
                <c:pt idx="9">
                  <c:v>45.416666666666664</c:v>
                </c:pt>
                <c:pt idx="10">
                  <c:v>276</c:v>
                </c:pt>
                <c:pt idx="11">
                  <c:v>160</c:v>
                </c:pt>
                <c:pt idx="12">
                  <c:v>696.6</c:v>
                </c:pt>
                <c:pt idx="13">
                  <c:v>14</c:v>
                </c:pt>
                <c:pt idx="14">
                  <c:v>300</c:v>
                </c:pt>
                <c:pt idx="15">
                  <c:v>587</c:v>
                </c:pt>
                <c:pt idx="16">
                  <c:v>1004</c:v>
                </c:pt>
                <c:pt idx="17">
                  <c:v>1070.7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C-472A-B179-F5B870A9B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0548367"/>
        <c:axId val="1690540879"/>
      </c:barChart>
      <c:catAx>
        <c:axId val="1690548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540879"/>
        <c:crosses val="autoZero"/>
        <c:auto val="1"/>
        <c:lblAlgn val="ctr"/>
        <c:lblOffset val="100"/>
        <c:noMultiLvlLbl val="0"/>
      </c:catAx>
      <c:valAx>
        <c:axId val="169054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548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258383</xdr:colOff>
      <xdr:row>1</xdr:row>
      <xdr:rowOff>6047</xdr:rowOff>
    </xdr:from>
    <xdr:to>
      <xdr:col>18</xdr:col>
      <xdr:colOff>12017</xdr:colOff>
      <xdr:row>9</xdr:row>
      <xdr:rowOff>127000</xdr:rowOff>
    </xdr:to>
    <xdr:pic>
      <xdr:nvPicPr>
        <xdr:cNvPr id="2" name="Imagen 1" descr="Línea Directa- Venta de ropa por catálogo para hombre y mujer">
          <a:extLst>
            <a:ext uri="{FF2B5EF4-FFF2-40B4-BE49-F238E27FC236}">
              <a16:creationId xmlns:a16="http://schemas.microsoft.com/office/drawing/2014/main" id="{57706759-8FA2-41CE-A66B-4700D63BAB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96" t="23106" r="23759" b="24263"/>
        <a:stretch/>
      </xdr:blipFill>
      <xdr:spPr bwMode="auto">
        <a:xfrm>
          <a:off x="24896383" y="185964"/>
          <a:ext cx="3807051" cy="179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115481</xdr:rowOff>
    </xdr:from>
    <xdr:to>
      <xdr:col>7</xdr:col>
      <xdr:colOff>172357</xdr:colOff>
      <xdr:row>41</xdr:row>
      <xdr:rowOff>126364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A8EC734-7A49-45D1-B5A2-4AE0CF7D1E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710093</xdr:colOff>
      <xdr:row>26</xdr:row>
      <xdr:rowOff>69568</xdr:rowOff>
    </xdr:from>
    <xdr:to>
      <xdr:col>14</xdr:col>
      <xdr:colOff>925540</xdr:colOff>
      <xdr:row>41</xdr:row>
      <xdr:rowOff>81267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35E9AC2-E38C-43BA-AC3C-60FA3344A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315448</xdr:colOff>
      <xdr:row>26</xdr:row>
      <xdr:rowOff>29499</xdr:rowOff>
    </xdr:from>
    <xdr:to>
      <xdr:col>22</xdr:col>
      <xdr:colOff>532648</xdr:colOff>
      <xdr:row>41</xdr:row>
      <xdr:rowOff>41198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228C52-3C82-4EEE-82FA-324D68397A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29</xdr:col>
      <xdr:colOff>240396</xdr:colOff>
      <xdr:row>0</xdr:row>
      <xdr:rowOff>0</xdr:rowOff>
    </xdr:from>
    <xdr:to>
      <xdr:col>35</xdr:col>
      <xdr:colOff>54920</xdr:colOff>
      <xdr:row>11</xdr:row>
      <xdr:rowOff>40134</xdr:rowOff>
    </xdr:to>
    <xdr:pic>
      <xdr:nvPicPr>
        <xdr:cNvPr id="6" name="Imagen 5" descr="Línea Directa- Venta de ropa por catálogo para hombre y mujer">
          <a:extLst>
            <a:ext uri="{FF2B5EF4-FFF2-40B4-BE49-F238E27FC236}">
              <a16:creationId xmlns:a16="http://schemas.microsoft.com/office/drawing/2014/main" id="{1A298D9F-96B5-44C7-ADA9-2C01727A0F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96" t="23106" r="23759" b="24263"/>
        <a:stretch/>
      </xdr:blipFill>
      <xdr:spPr bwMode="auto">
        <a:xfrm>
          <a:off x="23650729" y="0"/>
          <a:ext cx="4640524" cy="2135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254000</xdr:colOff>
      <xdr:row>26</xdr:row>
      <xdr:rowOff>63500</xdr:rowOff>
    </xdr:from>
    <xdr:to>
      <xdr:col>30</xdr:col>
      <xdr:colOff>63500</xdr:colOff>
      <xdr:row>40</xdr:row>
      <xdr:rowOff>139700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67CEE1D-9045-41C5-8492-9337C34BA2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1346200</xdr:colOff>
      <xdr:row>4</xdr:row>
      <xdr:rowOff>57150</xdr:rowOff>
    </xdr:from>
    <xdr:to>
      <xdr:col>11</xdr:col>
      <xdr:colOff>285750</xdr:colOff>
      <xdr:row>18</xdr:row>
      <xdr:rowOff>3175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Ciclo PHVA">
              <a:extLst>
                <a:ext uri="{FF2B5EF4-FFF2-40B4-BE49-F238E27FC236}">
                  <a16:creationId xmlns:a16="http://schemas.microsoft.com/office/drawing/2014/main" id="{B4BBF02F-635C-32C5-6826-7B052124084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iclo PHV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82050" y="7937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s David Avila Arrieta" refreshedDate="44940.960029629627" createdVersion="7" refreshedVersion="8" minRefreshableVersion="3" recordCount="175">
  <cacheSource type="worksheet">
    <worksheetSource ref="A14:R189" sheet="Cargo"/>
  </cacheSource>
  <cacheFields count="18">
    <cacheField name="No." numFmtId="1">
      <sharedItems containsSemiMixedTypes="0" containsString="0" containsNumber="1" containsInteger="1" minValue="1" maxValue="175"/>
    </cacheField>
    <cacheField name="Ejecuta" numFmtId="1">
      <sharedItems containsBlank="1" count="5">
        <s v="Auxiliar"/>
        <s v="Aprendiz"/>
        <m u="1"/>
        <s v="Sergio" u="1"/>
        <s v="Verónica" u="1"/>
      </sharedItems>
    </cacheField>
    <cacheField name="Proceso" numFmtId="0">
      <sharedItems/>
    </cacheField>
    <cacheField name="Actividad macro" numFmtId="0">
      <sharedItems count="23">
        <s v="Registros de asistencia"/>
        <s v="Seguimiento a formaciones"/>
        <s v="Indicadores / Informes"/>
        <s v="Gestión de Bases de Datos"/>
        <s v="Programación y logística formaciones"/>
        <s v="Citaciones"/>
        <s v="Gestión Correo / Teams / Solicitudes"/>
        <s v="Encuestas de satisfacción"/>
        <s v="Reprogramaciones"/>
        <s v="Gestión Transporte"/>
        <s v="Gestión alimentación"/>
        <s v="Gestión pago proveedores"/>
        <s v="Programación y logística inducción"/>
        <s v="Acompañamiento inducción"/>
        <s v="Archivo"/>
        <s v="Gestión de presupuesto"/>
        <s v="Legalizaciones"/>
        <s v="Búsqueda, negociación y creación proveedores"/>
        <s v="Acuerdo de voluntades"/>
        <s v="Papelería"/>
        <s v="Reuniones"/>
        <s v="Apoyo fin de año"/>
        <s v="Registros de asitencia" u="1"/>
      </sharedItems>
    </cacheField>
    <cacheField name="Actividad" numFmtId="0">
      <sharedItems/>
    </cacheField>
    <cacheField name="Tarea" numFmtId="2">
      <sharedItems containsBlank="1" count="116">
        <s v="Imprimir listas de asistencias para enviar a los centros de formación"/>
        <s v="Seguimiento y recoleción de hojas de asistencia diligenciadas"/>
        <s v="Escaneo y archivo final de las listas de asistencia de los programas de todo el año."/>
        <s v="Enviar correo  a profesionales y directoras de microcosmos recordando el envio de viajes, etc."/>
        <s v="Crear evento de formación"/>
        <s v="Crear la población objetivo de cada programa "/>
        <s v="Crear sesión para cada evento"/>
        <s v="Registrar manualmente la asistencia de cada participante"/>
        <s v="Registrar eventos externos, programas técnicos, viajes, en la matriz "/>
        <s v="Realizar actualización de la BD de empledo "/>
        <s v="Las personas que se cargan manual actaulizarles la información de ID,Sesiones etc."/>
        <s v="Realizar informes de matriz de participación"/>
        <s v="Informe de gestión del año"/>
        <s v="Crear cronograma anual para cultivo interior"/>
        <s v="Organizar BD empleados según cargo"/>
        <s v="Distribucción de grupos para cada capacitación"/>
        <s v="Realizar citación de las personas a todos los programas tranversales"/>
        <s v="Gestionar el correo de formación"/>
        <s v="Hacer comparativos de los asistentes VS los no asiastentes para invitarlos a las sesiones faltantes"/>
        <s v="Reservar salas para las formaciones"/>
        <s v="Apoyar logistica y apertura de los programas"/>
        <s v="Enviar encuestas de satisfacción en la finalización de cada programa"/>
        <s v="Reprogramación de no asistentes"/>
        <s v="Análizar encuestas"/>
        <s v="Realizar reuniones de retroalimentación a los facilitadores luego de los resultados de las encuestas"/>
        <s v="Citar cada 15 días a los nuevos ingresos a los programas"/>
        <s v="Solicitud de transporte cuando sea necesario"/>
        <s v="Embarcar al personal en el transporte"/>
        <s v="Validar con MC la programación semanal del programa de culltivo interior para la operación"/>
        <s v="Programar a los facilitadores"/>
        <s v="Enviar correo con la reserva -espacio y alimentación"/>
        <s v="Alimentar archivo de registro"/>
        <s v="Citar los facilitadores"/>
        <s v="Validar con las listas de asistencia que el proveedor si cobre lo que se consumio"/>
        <s v="Acompañar el proveedor en el proceso de facturación"/>
        <s v="Validar con el proveedor proceso de inscripción y pago"/>
        <s v="Realizar pago"/>
        <s v="Realizar inscripción"/>
        <s v="Citar a los asistentes"/>
        <s v="Realizar seguimiento a la capacitación"/>
        <s v="Hacer registro de inducción"/>
        <s v="Hacer BD pagar cargar conctatos"/>
        <s v="Crear grupo de whatapp -(validación que todos que todos queden ingresados)"/>
        <s v="Enviar invitación al grupo de whatsapp"/>
        <s v="Enviar Correo BD para solicitar información a los jefes de horarios y fechas de ingreso "/>
        <s v="Crear carta RIT según la empresa de ingreso del empleado e imprimir"/>
        <s v="Imprimir plan de inducción"/>
        <s v="Citar a los facilitadores para la inducción"/>
        <s v="Acompañamiento día 1 inducción"/>
        <s v="Acompañamiento recorrido"/>
        <s v="Mandar correo a monitoreo y a ss informando de los ingresos"/>
        <s v="Solicitar transporte inducción"/>
        <s v="Solicitar Alimentación para la inducción"/>
        <s v="Enviar encuesta de satisfacción"/>
        <s v="Registrar listas de asistencia"/>
        <s v="Relación del plan de inducción para enviarle a archivo"/>
        <s v="Recibir y entregar alimentación"/>
        <s v="Citar a inducción por aparte cuando es DZ - y coordinar con el jefe"/>
        <s v="Revisar cronograma semana siguiente para realizar la solicitud de alimentación"/>
        <s v="Organizar BD según especificaciones de alimentación"/>
        <s v="Enviar correo con la solicitud de alimentación"/>
        <s v="Enviar mensaje a los facilitadores indicandoles que deben facturar"/>
        <s v="Revisar una a una las facturas que el valor si coincidan con lo que se debe facturar"/>
        <s v="Llevar registro de alimentación"/>
        <s v="Enviar relación de gastos de honorarios cada 15 días a financiera"/>
        <s v="Revisar que los valores del estado de cuenta esten correctos comparandolos con las listas de asistencia"/>
        <s v="Realizar solpedido"/>
        <s v="Enviar correo con la solicitud de solpedido"/>
        <s v="Gestionar aprobación de solpedido"/>
        <s v="Enviar OC al proveedor y darle indicaciones de facturación"/>
        <s v="Solicitar factura eletronica al proveedor"/>
        <s v="Diligenciar formato de legalización"/>
        <s v="Enviar correos para la legalización del gastos"/>
        <s v="Llevar resgistro de los gastos con TC"/>
        <s v="Realizar primer contacto con el proveedor"/>
        <s v="Enviar correo con la documentación requerida"/>
        <s v="Revisar que la documentación enviada por el proveedor que este correcta"/>
        <s v="Enviar documentación al CAD"/>
        <s v="Gestión para las firmas electronicas"/>
        <s v="Dar respuesta al correo personal con solicitudes varias"/>
        <s v="Consolidar BD de personas para la formación"/>
        <s v="Realizar negociación con el proveedor"/>
        <s v="Realizar contrato de prestación de servicios"/>
        <s v="Encuesta de satisfacción "/>
        <s v="Generar informe de satisfacción "/>
        <s v="Socialización de encuesta con el proveedor"/>
        <s v="Enviar correo para acuerdo de voluntades"/>
        <s v="Hacer cumplir las clasulas del acuerdo"/>
        <s v="Enviar correo de deducción de nomina a los que pierden el curso o se retiran del mismo"/>
        <s v="Enviar informe a los MC del estado de asistencia de los participantes al curso "/>
        <s v="Matricular participantes"/>
        <s v="Retirar personas del programa de inglés"/>
        <s v="Hacer OC para cada ciclo de facturación"/>
        <s v="Escribir por teams a las personas que su asistencia se encuentra baja para conocer el porque"/>
        <s v="Realizar pedido de papeleria"/>
        <s v="Recoger y organizar papeleria"/>
        <s v="organizar bodega aprendizaje"/>
        <s v="Hacer prestamo y resgistro del materiales "/>
        <s v="Realizar presuspuesto de todos los gastos del área "/>
        <s v="Revisar ejecución de gastos"/>
        <s v="Realizar ajustes mediante el rolling cada 3 meses"/>
        <s v="De acuerdo con la solicitud de formación buscar en el mercado como cubrir la necesidad"/>
        <s v="Enviar al área solicitante las propuestas de formación"/>
        <s v="Negociación con el proveedor"/>
        <s v="Reuniones"/>
        <s v="Dar respuesta a solicitudes varias por medio de teams"/>
        <s v="Apoyo logístico en actividades de fin de año"/>
        <s v="Digitalizacion de listas de asistencia"/>
        <s v="Realizar actualización de la BD de empleado "/>
        <s v="Crear grupo de whatsapp -(validación que todos que todos queden ingresados)"/>
        <s v="Hacer inventario y verificar que materiales faltan"/>
        <m u="1"/>
        <s v="Realizar contra}o de prestación de servicios" u="1"/>
        <s v="Hacer cumplicar las clasulas del acuerdo" u="1"/>
        <s v="Gestión correo personal" u="1"/>
        <s v="Enviar correo  a profesionales y directoras de microcosmos recordando el envio de viajes, recordatorios de fromación, etc." u="1"/>
      </sharedItems>
    </cacheField>
    <cacheField name="Ciclo PHVA" numFmtId="0">
      <sharedItems containsBlank="1" count="5">
        <s v="Hacer"/>
        <s v="Verificar"/>
        <s v="Planear"/>
        <s v="Ajustar"/>
        <m u="1"/>
      </sharedItems>
    </cacheField>
    <cacheField name="Inductor (Driver)" numFmtId="0">
      <sharedItems/>
    </cacheField>
    <cacheField name="Frecuencia" numFmtId="0">
      <sharedItems count="8">
        <s v="Semanal"/>
        <s v="Anual"/>
        <s v="Mensual"/>
        <s v="Quincenal"/>
        <s v="Semestral"/>
        <s v="Diario"/>
        <s v="Bimestral"/>
        <s v="Trimestral"/>
      </sharedItems>
    </cacheField>
    <cacheField name="Veces" numFmtId="1">
      <sharedItems containsSemiMixedTypes="0" containsString="0" containsNumber="1" containsInteger="1" minValue="1" maxValue="4"/>
    </cacheField>
    <cacheField name="Tiempo por actividad (min)" numFmtId="1">
      <sharedItems containsSemiMixedTypes="0" containsString="0" containsNumber="1" containsInteger="1" minValue="1" maxValue="4320"/>
    </cacheField>
    <cacheField name="Volumen Mes" numFmtId="2">
      <sharedItems containsSemiMixedTypes="0" containsString="0" containsNumber="1" minValue="8.3333333333333329E-2" maxValue="60"/>
    </cacheField>
    <cacheField name="Minutos Mes" numFmtId="2">
      <sharedItems containsSemiMixedTypes="0" containsString="0" containsNumber="1" minValue="1.9166666666666665" maxValue="3200"/>
    </cacheField>
    <cacheField name="%" numFmtId="9">
      <sharedItems containsSemiMixedTypes="0" containsString="0" containsNumber="1" minValue="4.2379502177200853E-5" maxValue="7.0755342765413606E-2"/>
    </cacheField>
    <cacheField name="Cliente" numFmtId="0">
      <sharedItems containsNonDate="0" containsString="0" containsBlank="1"/>
    </cacheField>
    <cacheField name="Creación/Captura de Valor" numFmtId="0">
      <sharedItems/>
    </cacheField>
    <cacheField name="Observación" numFmtId="0">
      <sharedItems containsNonDate="0" containsString="0" containsBlank="1"/>
    </cacheField>
    <cacheField name="Seguimiento" numFmtId="0">
      <sharedItems/>
    </cacheField>
  </cacheFields>
  <extLst>
    <ext xmlns:x14="http://schemas.microsoft.com/office/spreadsheetml/2009/9/main" uri="{725AE2AE-9491-48be-B2B4-4EB974FC3084}">
      <x14:pivotCacheDefinition pivotCacheId="172564220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5">
  <r>
    <n v="1"/>
    <x v="0"/>
    <s v="Matriz de Participación"/>
    <x v="0"/>
    <s v="Logistica Asistencias"/>
    <x v="0"/>
    <x v="0"/>
    <s v="evento Aprendizaje"/>
    <x v="0"/>
    <n v="2"/>
    <n v="12"/>
    <n v="8.6"/>
    <n v="103.19999999999999"/>
    <n v="2.2818598041845885E-3"/>
    <m/>
    <s v="Captura de valor"/>
    <m/>
    <s v="No"/>
  </r>
  <r>
    <n v="2"/>
    <x v="0"/>
    <s v="Matriz de Participación"/>
    <x v="0"/>
    <s v="Logistica Asistencias"/>
    <x v="1"/>
    <x v="1"/>
    <s v="evento Aprendizaje"/>
    <x v="0"/>
    <n v="2"/>
    <n v="12"/>
    <n v="8.6"/>
    <n v="103.19999999999999"/>
    <n v="2.2818598041845885E-3"/>
    <m/>
    <s v="Captura de valor"/>
    <m/>
    <s v="Si"/>
  </r>
  <r>
    <n v="3"/>
    <x v="0"/>
    <s v="Matriz de Participación"/>
    <x v="0"/>
    <s v="Logistica Asistencias"/>
    <x v="2"/>
    <x v="0"/>
    <s v="evento Aprendizaje"/>
    <x v="1"/>
    <n v="1"/>
    <n v="480"/>
    <n v="8.3333333333333329E-2"/>
    <n v="40"/>
    <n v="8.8444178456767008E-4"/>
    <m/>
    <s v="Captura de valor"/>
    <m/>
    <s v="No"/>
  </r>
  <r>
    <n v="4"/>
    <x v="0"/>
    <s v="Matriz de Participación"/>
    <x v="1"/>
    <s v="Logistica Asistencias"/>
    <x v="3"/>
    <x v="0"/>
    <s v="evento Aprendizaje"/>
    <x v="2"/>
    <n v="1"/>
    <n v="12"/>
    <n v="1"/>
    <n v="12"/>
    <n v="2.65332535370301E-4"/>
    <m/>
    <s v="Captura de valor"/>
    <m/>
    <s v="No"/>
  </r>
  <r>
    <n v="5"/>
    <x v="0"/>
    <s v="Matriz de Participación"/>
    <x v="2"/>
    <s v="Registro de Información en la matriz"/>
    <x v="4"/>
    <x v="0"/>
    <s v="evento Aprendizaje"/>
    <x v="3"/>
    <n v="1"/>
    <n v="23"/>
    <n v="2"/>
    <n v="46"/>
    <n v="1.0171080522528206E-3"/>
    <m/>
    <s v="Creación de valor"/>
    <m/>
    <s v="Si"/>
  </r>
  <r>
    <n v="6"/>
    <x v="0"/>
    <s v="Matriz de Participación"/>
    <x v="2"/>
    <s v="Registro de Información en la matriz"/>
    <x v="5"/>
    <x v="0"/>
    <s v="evento Aprendizaje"/>
    <x v="3"/>
    <n v="1"/>
    <n v="23"/>
    <n v="2"/>
    <n v="46"/>
    <n v="1.0171080522528206E-3"/>
    <m/>
    <s v="Captura de valor"/>
    <m/>
    <s v="Si"/>
  </r>
  <r>
    <n v="7"/>
    <x v="0"/>
    <s v="Matriz de Participación"/>
    <x v="2"/>
    <s v="Registro de Información en la matriz"/>
    <x v="6"/>
    <x v="0"/>
    <s v="evento Aprendizaje"/>
    <x v="0"/>
    <n v="3"/>
    <n v="12"/>
    <n v="12.899999999999999"/>
    <n v="154.79999999999998"/>
    <n v="3.4227897062768828E-3"/>
    <m/>
    <s v="Captura de valor"/>
    <m/>
    <s v="No"/>
  </r>
  <r>
    <n v="8"/>
    <x v="0"/>
    <s v="Matriz de Participación"/>
    <x v="0"/>
    <s v="Registro de Información en la matriz"/>
    <x v="7"/>
    <x v="0"/>
    <s v="evento Aprendizaje"/>
    <x v="0"/>
    <n v="1"/>
    <n v="480"/>
    <n v="4.3"/>
    <n v="2064"/>
    <n v="4.5637196083691774E-2"/>
    <m/>
    <s v="Captura de valor"/>
    <m/>
    <s v="Si"/>
  </r>
  <r>
    <n v="9"/>
    <x v="0"/>
    <s v="Matriz de Participación"/>
    <x v="2"/>
    <s v="Registro de Información en la matriz"/>
    <x v="8"/>
    <x v="0"/>
    <s v="evento Aprendizaje"/>
    <x v="3"/>
    <n v="2"/>
    <n v="300"/>
    <n v="4"/>
    <n v="1200"/>
    <n v="2.6533253537030101E-2"/>
    <m/>
    <s v="Captura de valor"/>
    <m/>
    <s v="Si"/>
  </r>
  <r>
    <n v="10"/>
    <x v="0"/>
    <s v="Matriz de Participación"/>
    <x v="3"/>
    <s v="Registro de Información en la matriz"/>
    <x v="9"/>
    <x v="0"/>
    <s v="evento Aprendizaje"/>
    <x v="2"/>
    <n v="1"/>
    <n v="12"/>
    <n v="1"/>
    <n v="12"/>
    <n v="2.65332535370301E-4"/>
    <m/>
    <s v="Captura de valor"/>
    <m/>
    <s v="Si"/>
  </r>
  <r>
    <n v="11"/>
    <x v="0"/>
    <s v="Matriz de Participación"/>
    <x v="2"/>
    <s v="Registro de Información en la matriz"/>
    <x v="10"/>
    <x v="0"/>
    <s v="evento Aprendizaje"/>
    <x v="3"/>
    <n v="1"/>
    <n v="50"/>
    <n v="2"/>
    <n v="100"/>
    <n v="2.2111044614191752E-3"/>
    <m/>
    <s v="Captura de valor"/>
    <m/>
    <s v="Si"/>
  </r>
  <r>
    <n v="12"/>
    <x v="0"/>
    <s v="Matriz de Participación"/>
    <x v="2"/>
    <s v="Informes"/>
    <x v="11"/>
    <x v="0"/>
    <s v="evento Aprendizaje"/>
    <x v="2"/>
    <n v="2"/>
    <n v="120"/>
    <n v="2"/>
    <n v="240"/>
    <n v="5.3066507074060205E-3"/>
    <m/>
    <s v="Captura de valor"/>
    <m/>
    <s v="Si"/>
  </r>
  <r>
    <n v="13"/>
    <x v="0"/>
    <s v="Matriz de Participación"/>
    <x v="2"/>
    <s v="Informes"/>
    <x v="12"/>
    <x v="0"/>
    <s v="evento Aprendizaje"/>
    <x v="1"/>
    <n v="1"/>
    <n v="240"/>
    <n v="8.3333333333333329E-2"/>
    <n v="20"/>
    <n v="4.4222089228383504E-4"/>
    <m/>
    <s v="Captura de valor"/>
    <m/>
    <s v="Si"/>
  </r>
  <r>
    <n v="14"/>
    <x v="0"/>
    <s v="Cultivo interior"/>
    <x v="4"/>
    <s v="Apoyar la logistica de los programas tranversales, eventos externos,programas técnicos, etc"/>
    <x v="13"/>
    <x v="0"/>
    <s v="evento Aprendizaje"/>
    <x v="1"/>
    <n v="1"/>
    <n v="720"/>
    <n v="8.3333333333333329E-2"/>
    <n v="60"/>
    <n v="1.3266626768515051E-3"/>
    <m/>
    <s v="Captura de valor"/>
    <m/>
    <s v="Si"/>
  </r>
  <r>
    <n v="15"/>
    <x v="0"/>
    <s v="Cultivo interior"/>
    <x v="3"/>
    <s v="Apoyar la logistica de los programas tranversales, eventos externos,programas técnicos, etc"/>
    <x v="14"/>
    <x v="0"/>
    <s v="evento Aprendizaje"/>
    <x v="4"/>
    <n v="2"/>
    <n v="240"/>
    <n v="0.33333333333333331"/>
    <n v="80"/>
    <n v="1.7688835691353402E-3"/>
    <m/>
    <s v="Captura de valor"/>
    <m/>
    <s v="No"/>
  </r>
  <r>
    <n v="16"/>
    <x v="0"/>
    <s v="Cultivo interior"/>
    <x v="4"/>
    <s v="Apoyar la logistica de los programas tranversales, eventos externos,programas técnicos, etc"/>
    <x v="15"/>
    <x v="0"/>
    <s v="evento Aprendizaje"/>
    <x v="4"/>
    <n v="3"/>
    <n v="120"/>
    <n v="0.5"/>
    <n v="60"/>
    <n v="1.3266626768515051E-3"/>
    <m/>
    <s v="Captura de valor"/>
    <m/>
    <s v="No"/>
  </r>
  <r>
    <n v="17"/>
    <x v="0"/>
    <s v="Cultivo interior"/>
    <x v="5"/>
    <s v="Apoyar la logistica de los programas tranversales, eventos externos,programas técnicos, etc"/>
    <x v="16"/>
    <x v="0"/>
    <s v="evento Aprendizaje"/>
    <x v="4"/>
    <n v="2"/>
    <n v="4320"/>
    <n v="0.33333333333333331"/>
    <n v="1440"/>
    <n v="3.1839904244436119E-2"/>
    <m/>
    <s v="Captura de valor"/>
    <m/>
    <s v="No"/>
  </r>
  <r>
    <n v="18"/>
    <x v="0"/>
    <s v="Cultivo interior"/>
    <x v="6"/>
    <s v="Apoyar la logistica de los programas tranversales, eventos externos,programas técnicos, etc"/>
    <x v="17"/>
    <x v="0"/>
    <s v="evento Aprendizaje"/>
    <x v="0"/>
    <n v="2"/>
    <n v="17"/>
    <n v="8.6"/>
    <n v="146.19999999999999"/>
    <n v="3.2326347225948336E-3"/>
    <m/>
    <s v="Captura de valor"/>
    <m/>
    <s v="Si"/>
  </r>
  <r>
    <n v="19"/>
    <x v="0"/>
    <s v="Cultivo interior"/>
    <x v="1"/>
    <s v="Apoyar la logistica de los programas tranversales, eventos externos,programas técnicos, etc"/>
    <x v="18"/>
    <x v="1"/>
    <s v="evento Aprendizaje"/>
    <x v="3"/>
    <n v="2"/>
    <n v="42"/>
    <n v="4"/>
    <n v="168"/>
    <n v="3.7146554951842142E-3"/>
    <m/>
    <s v="Captura de valor"/>
    <m/>
    <s v="Si"/>
  </r>
  <r>
    <n v="20"/>
    <x v="0"/>
    <s v="Cultivo interior"/>
    <x v="4"/>
    <s v="Apoyar la logistica de los programas tranversales, eventos externos,programas técnicos, etc"/>
    <x v="19"/>
    <x v="0"/>
    <s v="evento Aprendizaje"/>
    <x v="2"/>
    <n v="4"/>
    <n v="30"/>
    <n v="4"/>
    <n v="120"/>
    <n v="2.6533253537030102E-3"/>
    <m/>
    <s v="Captura de valor"/>
    <m/>
    <s v="No"/>
  </r>
  <r>
    <n v="21"/>
    <x v="0"/>
    <s v="Cultivo interior"/>
    <x v="4"/>
    <s v="Apoyar la logistica de los programas tranversales, eventos externos,programas técnicos, etc"/>
    <x v="20"/>
    <x v="0"/>
    <s v="evento Aprendizaje"/>
    <x v="0"/>
    <n v="2"/>
    <n v="120"/>
    <n v="8.6"/>
    <n v="1032"/>
    <n v="2.2818598041845887E-2"/>
    <m/>
    <s v="Captura de valor"/>
    <m/>
    <s v="No"/>
  </r>
  <r>
    <n v="22"/>
    <x v="0"/>
    <s v="Cultivo interior"/>
    <x v="7"/>
    <s v="Apoyar la logistica de los programas tranversales, eventos externos,programas técnicos, etc"/>
    <x v="21"/>
    <x v="0"/>
    <s v="evento Aprendizaje"/>
    <x v="3"/>
    <n v="2"/>
    <n v="23"/>
    <n v="4"/>
    <n v="92"/>
    <n v="2.0342161045056413E-3"/>
    <m/>
    <s v="Captura de valor"/>
    <m/>
    <s v="Si"/>
  </r>
  <r>
    <n v="23"/>
    <x v="0"/>
    <s v="Cultivo interior"/>
    <x v="8"/>
    <s v="Apoyar la logistica de los programas tranversales, eventos externos,programas técnicos, etc"/>
    <x v="22"/>
    <x v="0"/>
    <s v="evento Aprendizaje"/>
    <x v="5"/>
    <n v="1"/>
    <n v="30"/>
    <n v="20"/>
    <n v="600"/>
    <n v="1.326662676851505E-2"/>
    <m/>
    <s v="Captura de valor"/>
    <m/>
    <s v="Si"/>
  </r>
  <r>
    <n v="24"/>
    <x v="0"/>
    <s v="Cultivo interior"/>
    <x v="7"/>
    <s v="Apoyar la logistica de los programas tranversales, eventos externos,programas técnicos, etc"/>
    <x v="23"/>
    <x v="1"/>
    <s v="evento Aprendizaje"/>
    <x v="2"/>
    <n v="2"/>
    <n v="120"/>
    <n v="2"/>
    <n v="240"/>
    <n v="5.3066507074060205E-3"/>
    <m/>
    <s v="Captura de valor"/>
    <m/>
    <s v="Si"/>
  </r>
  <r>
    <n v="25"/>
    <x v="0"/>
    <s v="Cultivo interior"/>
    <x v="7"/>
    <s v="Apoyar la logistica de los programas tranversales, eventos externos,programas técnicos, etc"/>
    <x v="24"/>
    <x v="1"/>
    <s v="evento Aprendizaje"/>
    <x v="2"/>
    <n v="1"/>
    <n v="120"/>
    <n v="1"/>
    <n v="120"/>
    <n v="2.6533253537030102E-3"/>
    <m/>
    <s v="Captura de valor"/>
    <m/>
    <s v="No"/>
  </r>
  <r>
    <n v="26"/>
    <x v="0"/>
    <s v="Cultivo interior"/>
    <x v="5"/>
    <s v="Apoyar la logistica de los programas tranversales, eventos externos,programas técnicos, etc"/>
    <x v="25"/>
    <x v="0"/>
    <s v="evento Aprendizaje"/>
    <x v="3"/>
    <n v="1"/>
    <n v="42"/>
    <n v="2"/>
    <n v="84"/>
    <n v="1.8573277475921071E-3"/>
    <m/>
    <s v="Captura de valor"/>
    <m/>
    <s v="No"/>
  </r>
  <r>
    <n v="27"/>
    <x v="0"/>
    <s v="Cultivo interior"/>
    <x v="9"/>
    <s v="Apoyar la logistica de los programas tranversales, eventos externos,programas técnicos, etc"/>
    <x v="26"/>
    <x v="0"/>
    <s v="evento Aprendizaje"/>
    <x v="3"/>
    <n v="1"/>
    <n v="17"/>
    <n v="2"/>
    <n v="34"/>
    <n v="7.5177551688251952E-4"/>
    <m/>
    <s v="Captura de valor"/>
    <m/>
    <s v="No"/>
  </r>
  <r>
    <n v="28"/>
    <x v="0"/>
    <s v="Cultivo interior"/>
    <x v="9"/>
    <s v="Apoyar la logistica de los programas tranversales, eventos externos,programas técnicos, etc"/>
    <x v="27"/>
    <x v="0"/>
    <s v="evento Aprendizaje"/>
    <x v="3"/>
    <n v="1"/>
    <n v="90"/>
    <n v="2"/>
    <n v="180"/>
    <n v="3.9799880305545149E-3"/>
    <m/>
    <s v="Captura de valor"/>
    <m/>
    <s v="No"/>
  </r>
  <r>
    <n v="29"/>
    <x v="0"/>
    <s v="Cultivo interior"/>
    <x v="4"/>
    <s v="Programación Aux de la operación"/>
    <x v="28"/>
    <x v="1"/>
    <s v="evento Aprendizaje"/>
    <x v="0"/>
    <n v="1"/>
    <n v="30"/>
    <n v="4.3"/>
    <n v="129"/>
    <n v="2.8523247552307359E-3"/>
    <m/>
    <s v="Captura de valor"/>
    <m/>
    <s v="Si"/>
  </r>
  <r>
    <n v="30"/>
    <x v="0"/>
    <s v="Cultivo interior"/>
    <x v="4"/>
    <s v="Programación Aux de la operación"/>
    <x v="29"/>
    <x v="0"/>
    <s v="evento Aprendizaje"/>
    <x v="0"/>
    <n v="1"/>
    <n v="23"/>
    <n v="4.3"/>
    <n v="98.899999999999991"/>
    <n v="2.1867823123435642E-3"/>
    <m/>
    <s v="Captura de valor"/>
    <m/>
    <s v="No"/>
  </r>
  <r>
    <n v="31"/>
    <x v="0"/>
    <s v="Cultivo interior"/>
    <x v="10"/>
    <s v="Programación Aux de la operación"/>
    <x v="30"/>
    <x v="0"/>
    <s v="evento Aprendizaje"/>
    <x v="0"/>
    <n v="1"/>
    <n v="12"/>
    <n v="4.3"/>
    <n v="51.599999999999994"/>
    <n v="1.1409299020922943E-3"/>
    <m/>
    <s v="Captura de valor"/>
    <m/>
    <s v="No"/>
  </r>
  <r>
    <n v="32"/>
    <x v="0"/>
    <s v="Cultivo interior"/>
    <x v="3"/>
    <s v="Programación Aux de la operación"/>
    <x v="31"/>
    <x v="0"/>
    <s v="evento Aprendizaje"/>
    <x v="0"/>
    <n v="1"/>
    <n v="12"/>
    <n v="4.3"/>
    <n v="51.599999999999994"/>
    <n v="1.1409299020922943E-3"/>
    <m/>
    <s v="Captura de valor"/>
    <m/>
    <s v="No"/>
  </r>
  <r>
    <n v="33"/>
    <x v="0"/>
    <s v="Cultivo interior"/>
    <x v="5"/>
    <s v="Programación Aux de la operación"/>
    <x v="32"/>
    <x v="0"/>
    <s v="evento Aprendizaje"/>
    <x v="0"/>
    <n v="1"/>
    <n v="12"/>
    <n v="4.3"/>
    <n v="51.599999999999994"/>
    <n v="1.1409299020922943E-3"/>
    <m/>
    <s v="Captura de valor"/>
    <m/>
    <s v="No"/>
  </r>
  <r>
    <n v="34"/>
    <x v="0"/>
    <s v="Cultivo interior"/>
    <x v="11"/>
    <s v="Programación Aux de la operación"/>
    <x v="33"/>
    <x v="1"/>
    <s v="evento Aprendizaje"/>
    <x v="2"/>
    <n v="1"/>
    <n v="30"/>
    <n v="1"/>
    <n v="30"/>
    <n v="6.6333133842575256E-4"/>
    <m/>
    <s v="Captura de valor"/>
    <m/>
    <s v="Si"/>
  </r>
  <r>
    <n v="35"/>
    <x v="0"/>
    <s v="Cultivo interior"/>
    <x v="11"/>
    <s v="Programación Aux de la operación"/>
    <x v="34"/>
    <x v="0"/>
    <s v="evento Aprendizaje"/>
    <x v="2"/>
    <n v="1"/>
    <n v="30"/>
    <n v="1"/>
    <n v="30"/>
    <n v="6.6333133842575256E-4"/>
    <m/>
    <s v="Captura de valor"/>
    <m/>
    <s v="Si"/>
  </r>
  <r>
    <n v="36"/>
    <x v="0"/>
    <s v="Eventos Externos y capacitaciones técnicas"/>
    <x v="11"/>
    <s v="Inscripción y pago del evento"/>
    <x v="35"/>
    <x v="1"/>
    <s v="evento Aprendizaje"/>
    <x v="3"/>
    <n v="2"/>
    <n v="42"/>
    <n v="4"/>
    <n v="168"/>
    <n v="3.7146554951842142E-3"/>
    <m/>
    <s v="Captura de valor"/>
    <m/>
    <s v="Si"/>
  </r>
  <r>
    <n v="37"/>
    <x v="0"/>
    <s v="Eventos Externos y capacitaciones técnicas"/>
    <x v="11"/>
    <s v="Inscripción y pago del evento"/>
    <x v="36"/>
    <x v="0"/>
    <s v="evento Aprendizaje"/>
    <x v="3"/>
    <n v="2"/>
    <n v="17"/>
    <n v="4"/>
    <n v="68"/>
    <n v="1.503551033765039E-3"/>
    <m/>
    <s v="Captura de valor"/>
    <m/>
    <s v="Si"/>
  </r>
  <r>
    <n v="38"/>
    <x v="0"/>
    <s v="Eventos Externos y capacitaciones técnicas"/>
    <x v="4"/>
    <s v="Inscripción y pago del evento"/>
    <x v="37"/>
    <x v="0"/>
    <s v="evento Aprendizaje"/>
    <x v="3"/>
    <n v="2"/>
    <n v="12"/>
    <n v="4"/>
    <n v="48"/>
    <n v="1.061330141481204E-3"/>
    <m/>
    <s v="Captura de valor"/>
    <m/>
    <s v="Si"/>
  </r>
  <r>
    <n v="39"/>
    <x v="0"/>
    <s v="Eventos Externos y capacitaciones técnicas"/>
    <x v="5"/>
    <s v="Inscripción y pago del evento"/>
    <x v="38"/>
    <x v="0"/>
    <s v="evento Aprendizaje"/>
    <x v="3"/>
    <n v="2"/>
    <n v="12"/>
    <n v="4"/>
    <n v="48"/>
    <n v="1.061330141481204E-3"/>
    <m/>
    <s v="Captura de valor"/>
    <m/>
    <s v="No"/>
  </r>
  <r>
    <n v="40"/>
    <x v="0"/>
    <s v="Eventos Externos y capacitaciones técnicas"/>
    <x v="1"/>
    <s v="Inscripción y pago del evento"/>
    <x v="39"/>
    <x v="1"/>
    <s v="evento Aprendizaje"/>
    <x v="3"/>
    <n v="2"/>
    <n v="23"/>
    <n v="4"/>
    <n v="92"/>
    <n v="2.0342161045056413E-3"/>
    <m/>
    <s v="Captura de valor"/>
    <m/>
    <s v="Si"/>
  </r>
  <r>
    <n v="41"/>
    <x v="0"/>
    <s v="Inducción corporativa"/>
    <x v="12"/>
    <s v="Logistica inducción corporativa"/>
    <x v="40"/>
    <x v="0"/>
    <s v="evento Aprendizaje"/>
    <x v="0"/>
    <n v="1"/>
    <n v="12"/>
    <n v="4.3"/>
    <n v="51.599999999999994"/>
    <n v="1.1409299020922943E-3"/>
    <m/>
    <s v="Captura de valor"/>
    <m/>
    <s v="Si"/>
  </r>
  <r>
    <n v="42"/>
    <x v="0"/>
    <s v="Inducción corporativa"/>
    <x v="3"/>
    <s v="Logistica inducción corporativa"/>
    <x v="41"/>
    <x v="0"/>
    <s v="evento Aprendizaje"/>
    <x v="0"/>
    <n v="1"/>
    <n v="17"/>
    <n v="4.3"/>
    <n v="73.099999999999994"/>
    <n v="1.6163173612974168E-3"/>
    <m/>
    <s v="Captura de valor"/>
    <m/>
    <s v="No"/>
  </r>
  <r>
    <n v="43"/>
    <x v="0"/>
    <s v="Inducción corporativa"/>
    <x v="12"/>
    <s v="Logistica inducción corporativa"/>
    <x v="42"/>
    <x v="0"/>
    <s v="evento Aprendizaje"/>
    <x v="0"/>
    <n v="1"/>
    <n v="23"/>
    <n v="4.3"/>
    <n v="98.899999999999991"/>
    <n v="2.1867823123435642E-3"/>
    <m/>
    <s v="Captura de valor"/>
    <m/>
    <s v="Si"/>
  </r>
  <r>
    <n v="44"/>
    <x v="0"/>
    <s v="Inducción corporativa"/>
    <x v="12"/>
    <s v="Logistica inducción corporativa"/>
    <x v="43"/>
    <x v="0"/>
    <s v="evento Aprendizaje"/>
    <x v="0"/>
    <n v="1"/>
    <n v="1"/>
    <n v="4.3"/>
    <n v="4.3"/>
    <n v="9.507749184102453E-5"/>
    <m/>
    <s v="Captura de valor"/>
    <m/>
    <s v="Si"/>
  </r>
  <r>
    <n v="45"/>
    <x v="0"/>
    <s v="Inducción corporativa"/>
    <x v="12"/>
    <s v="Logistica inducción corporativa"/>
    <x v="44"/>
    <x v="0"/>
    <s v="evento Aprendizaje"/>
    <x v="0"/>
    <n v="1"/>
    <n v="1"/>
    <n v="4.3"/>
    <n v="4.3"/>
    <n v="9.507749184102453E-5"/>
    <m/>
    <s v="Captura de valor"/>
    <m/>
    <s v="Si"/>
  </r>
  <r>
    <n v="46"/>
    <x v="0"/>
    <s v="Inducción corporativa"/>
    <x v="12"/>
    <s v="Logistica inducción corporativa"/>
    <x v="45"/>
    <x v="0"/>
    <s v="evento Aprendizaje"/>
    <x v="0"/>
    <n v="1"/>
    <n v="17"/>
    <n v="4.3"/>
    <n v="73.099999999999994"/>
    <n v="1.6163173612974168E-3"/>
    <m/>
    <s v="Captura de valor"/>
    <m/>
    <s v="Si"/>
  </r>
  <r>
    <n v="47"/>
    <x v="0"/>
    <s v="Inducción corporativa"/>
    <x v="12"/>
    <s v="Logistica inducción corporativa"/>
    <x v="46"/>
    <x v="0"/>
    <s v="evento Aprendizaje"/>
    <x v="0"/>
    <n v="1"/>
    <n v="17"/>
    <n v="4.3"/>
    <n v="73.099999999999994"/>
    <n v="1.6163173612974168E-3"/>
    <m/>
    <s v="Captura de valor"/>
    <m/>
    <s v="No"/>
  </r>
  <r>
    <n v="48"/>
    <x v="0"/>
    <s v="Inducción corporativa"/>
    <x v="5"/>
    <s v="Logistica inducción corporativa"/>
    <x v="47"/>
    <x v="0"/>
    <s v="evento Aprendizaje"/>
    <x v="0"/>
    <n v="1"/>
    <n v="12"/>
    <n v="4.3"/>
    <n v="51.599999999999994"/>
    <n v="1.1409299020922943E-3"/>
    <m/>
    <s v="Captura de valor"/>
    <m/>
    <s v="Si"/>
  </r>
  <r>
    <n v="49"/>
    <x v="0"/>
    <s v="Inducción corporativa"/>
    <x v="13"/>
    <s v="Logistica inducción corporativa"/>
    <x v="48"/>
    <x v="0"/>
    <s v="evento Aprendizaje"/>
    <x v="3"/>
    <n v="1"/>
    <n v="180"/>
    <n v="2"/>
    <n v="360"/>
    <n v="7.9599760611090298E-3"/>
    <m/>
    <s v="Captura de valor"/>
    <m/>
    <s v="Si"/>
  </r>
  <r>
    <n v="50"/>
    <x v="0"/>
    <s v="Inducción corporativa"/>
    <x v="13"/>
    <s v="Logistica inducción corporativa"/>
    <x v="49"/>
    <x v="0"/>
    <s v="evento Aprendizaje"/>
    <x v="2"/>
    <n v="1"/>
    <n v="420"/>
    <n v="1"/>
    <n v="420"/>
    <n v="9.2866387379605363E-3"/>
    <m/>
    <s v="Captura de valor"/>
    <m/>
    <s v="Si"/>
  </r>
  <r>
    <n v="51"/>
    <x v="0"/>
    <s v="Inducción corporativa"/>
    <x v="12"/>
    <s v="Logistica inducción corporativa"/>
    <x v="50"/>
    <x v="0"/>
    <s v="evento Aprendizaje"/>
    <x v="0"/>
    <n v="1"/>
    <n v="12"/>
    <n v="4.3"/>
    <n v="51.599999999999994"/>
    <n v="1.1409299020922943E-3"/>
    <m/>
    <s v="Captura de valor"/>
    <m/>
    <s v="Si"/>
  </r>
  <r>
    <n v="52"/>
    <x v="0"/>
    <s v="Inducción corporativa"/>
    <x v="9"/>
    <s v="Logistica inducción corporativa"/>
    <x v="51"/>
    <x v="0"/>
    <s v="evento Aprendizaje"/>
    <x v="0"/>
    <n v="1"/>
    <n v="12"/>
    <n v="4.3"/>
    <n v="51.599999999999994"/>
    <n v="1.1409299020922943E-3"/>
    <m/>
    <s v="Captura de valor"/>
    <m/>
    <s v="Si"/>
  </r>
  <r>
    <n v="53"/>
    <x v="0"/>
    <s v="Inducción corporativa"/>
    <x v="10"/>
    <s v="Logistica inducción corporativa"/>
    <x v="52"/>
    <x v="0"/>
    <s v="evento Aprendizaje"/>
    <x v="0"/>
    <n v="1"/>
    <n v="12"/>
    <n v="4.3"/>
    <n v="51.599999999999994"/>
    <n v="1.1409299020922943E-3"/>
    <m/>
    <s v="Captura de valor"/>
    <m/>
    <s v="Si"/>
  </r>
  <r>
    <n v="54"/>
    <x v="0"/>
    <s v="Inducción corporativa"/>
    <x v="7"/>
    <s v="Logistica inducción corporativa"/>
    <x v="53"/>
    <x v="0"/>
    <s v="evento Aprendizaje"/>
    <x v="0"/>
    <n v="1"/>
    <n v="12"/>
    <n v="4.3"/>
    <n v="51.599999999999994"/>
    <n v="1.1409299020922943E-3"/>
    <m/>
    <s v="Captura de valor"/>
    <m/>
    <s v="Si"/>
  </r>
  <r>
    <n v="55"/>
    <x v="0"/>
    <s v="Inducción corporativa"/>
    <x v="0"/>
    <s v="Logistica inducción corporativa"/>
    <x v="54"/>
    <x v="0"/>
    <s v="evento Aprendizaje"/>
    <x v="0"/>
    <n v="1"/>
    <n v="23"/>
    <n v="4.3"/>
    <n v="98.899999999999991"/>
    <n v="2.1867823123435642E-3"/>
    <m/>
    <s v="Captura de valor"/>
    <m/>
    <s v="Si"/>
  </r>
  <r>
    <n v="56"/>
    <x v="0"/>
    <s v="Inducción corporativa"/>
    <x v="14"/>
    <s v="Logistica inducción corporativa"/>
    <x v="55"/>
    <x v="0"/>
    <s v="evento Aprendizaje"/>
    <x v="0"/>
    <n v="1"/>
    <n v="30"/>
    <n v="4.3"/>
    <n v="129"/>
    <n v="2.8523247552307359E-3"/>
    <m/>
    <s v="Captura de valor"/>
    <m/>
    <s v="No"/>
  </r>
  <r>
    <n v="57"/>
    <x v="0"/>
    <s v="Inducción corporativa"/>
    <x v="10"/>
    <s v="Logistica inducción corporativa"/>
    <x v="56"/>
    <x v="0"/>
    <s v="evento Aprendizaje"/>
    <x v="0"/>
    <n v="1"/>
    <n v="42"/>
    <n v="4.3"/>
    <n v="180.6"/>
    <n v="3.9932546573230301E-3"/>
    <m/>
    <s v="Captura de valor"/>
    <m/>
    <s v="No"/>
  </r>
  <r>
    <n v="58"/>
    <x v="0"/>
    <s v="Inducción corporativa"/>
    <x v="5"/>
    <s v="Logistica inducción corporativa"/>
    <x v="57"/>
    <x v="0"/>
    <s v="evento Aprendizaje"/>
    <x v="3"/>
    <n v="1"/>
    <n v="17"/>
    <n v="2"/>
    <n v="34"/>
    <n v="7.5177551688251952E-4"/>
    <m/>
    <s v="Captura de valor"/>
    <m/>
    <s v="No"/>
  </r>
  <r>
    <n v="59"/>
    <x v="0"/>
    <s v="Solicitud Alimentación"/>
    <x v="10"/>
    <s v="Losgistica pedido semanal de alimentación"/>
    <x v="58"/>
    <x v="2"/>
    <s v="evento Aprendizaje"/>
    <x v="0"/>
    <n v="1"/>
    <n v="17"/>
    <n v="4.3"/>
    <n v="73.099999999999994"/>
    <n v="1.6163173612974168E-3"/>
    <m/>
    <s v="Captura de valor"/>
    <m/>
    <s v="Si"/>
  </r>
  <r>
    <n v="60"/>
    <x v="0"/>
    <s v="Solicitud Alimentación"/>
    <x v="10"/>
    <s v="Losgistica pedido semanal de alimentación"/>
    <x v="59"/>
    <x v="0"/>
    <s v="evento Aprendizaje"/>
    <x v="0"/>
    <n v="1"/>
    <n v="23"/>
    <n v="4.3"/>
    <n v="98.899999999999991"/>
    <n v="2.1867823123435642E-3"/>
    <m/>
    <s v="Captura de valor"/>
    <m/>
    <s v="Si"/>
  </r>
  <r>
    <n v="61"/>
    <x v="0"/>
    <s v="Solicitud Alimentación"/>
    <x v="10"/>
    <s v="Losgistica pedido semanal de alimentación"/>
    <x v="60"/>
    <x v="0"/>
    <s v="evento Aprendizaje"/>
    <x v="0"/>
    <n v="1"/>
    <n v="12"/>
    <n v="4.3"/>
    <n v="51.599999999999994"/>
    <n v="1.1409299020922943E-3"/>
    <m/>
    <s v="Captura de valor"/>
    <m/>
    <s v="Si"/>
  </r>
  <r>
    <n v="62"/>
    <x v="0"/>
    <s v="Facturación"/>
    <x v="11"/>
    <s v="Proceso de facturación"/>
    <x v="61"/>
    <x v="0"/>
    <s v="evento Aprendizaje"/>
    <x v="0"/>
    <n v="1"/>
    <n v="1"/>
    <n v="4.3"/>
    <n v="4.3"/>
    <n v="9.507749184102453E-5"/>
    <m/>
    <s v="Captura de valor"/>
    <m/>
    <s v="Si"/>
  </r>
  <r>
    <n v="63"/>
    <x v="0"/>
    <s v="Facturación"/>
    <x v="11"/>
    <s v="Proceso de facturación"/>
    <x v="62"/>
    <x v="1"/>
    <s v="evento Aprendizaje"/>
    <x v="2"/>
    <n v="1"/>
    <n v="42"/>
    <n v="1"/>
    <n v="42"/>
    <n v="9.2866387379605356E-4"/>
    <m/>
    <s v="Captura de valor"/>
    <m/>
    <s v="No"/>
  </r>
  <r>
    <n v="64"/>
    <x v="0"/>
    <s v="Facturación"/>
    <x v="10"/>
    <s v="Proceso de facturación"/>
    <x v="63"/>
    <x v="0"/>
    <s v="evento Aprendizaje"/>
    <x v="0"/>
    <n v="1"/>
    <n v="17"/>
    <n v="4.3"/>
    <n v="73.099999999999994"/>
    <n v="1.6163173612974168E-3"/>
    <m/>
    <s v="Captura de valor"/>
    <m/>
    <s v="Si"/>
  </r>
  <r>
    <n v="65"/>
    <x v="0"/>
    <s v="Facturación"/>
    <x v="15"/>
    <s v="Proceso de facturación"/>
    <x v="64"/>
    <x v="0"/>
    <s v="evento Aprendizaje"/>
    <x v="2"/>
    <n v="1"/>
    <n v="23"/>
    <n v="1"/>
    <n v="23"/>
    <n v="5.0855402612641032E-4"/>
    <m/>
    <s v="Captura de valor"/>
    <m/>
    <s v="Si"/>
  </r>
  <r>
    <n v="66"/>
    <x v="0"/>
    <s v="Orden de compra"/>
    <x v="11"/>
    <s v="Crear solpedidos"/>
    <x v="65"/>
    <x v="1"/>
    <s v="evento Aprendizaje"/>
    <x v="2"/>
    <n v="1"/>
    <n v="23"/>
    <n v="1"/>
    <n v="23"/>
    <n v="5.0855402612641032E-4"/>
    <m/>
    <s v="Captura de valor"/>
    <m/>
    <s v="Si"/>
  </r>
  <r>
    <n v="67"/>
    <x v="0"/>
    <s v="Orden de compra"/>
    <x v="11"/>
    <s v="Crear solpedidos"/>
    <x v="66"/>
    <x v="0"/>
    <s v="evento Aprendizaje"/>
    <x v="5"/>
    <n v="3"/>
    <n v="17"/>
    <n v="60"/>
    <n v="1020"/>
    <n v="2.2553265506475587E-2"/>
    <m/>
    <s v="Captura de valor"/>
    <m/>
    <s v="No"/>
  </r>
  <r>
    <n v="68"/>
    <x v="0"/>
    <s v="Orden de compra"/>
    <x v="11"/>
    <s v="Crear solpedidos"/>
    <x v="67"/>
    <x v="0"/>
    <s v="evento Aprendizaje"/>
    <x v="5"/>
    <n v="3"/>
    <n v="12"/>
    <n v="60"/>
    <n v="720"/>
    <n v="1.591995212221806E-2"/>
    <m/>
    <s v="Captura de valor"/>
    <m/>
    <s v="No"/>
  </r>
  <r>
    <n v="69"/>
    <x v="0"/>
    <s v="Orden de compra"/>
    <x v="11"/>
    <s v="Crear solpedidos"/>
    <x v="68"/>
    <x v="0"/>
    <s v="evento Aprendizaje"/>
    <x v="5"/>
    <n v="1"/>
    <n v="12"/>
    <n v="20"/>
    <n v="240"/>
    <n v="5.3066507074060205E-3"/>
    <m/>
    <s v="Captura de valor"/>
    <m/>
    <s v="Si"/>
  </r>
  <r>
    <n v="70"/>
    <x v="0"/>
    <s v="Orden de compra"/>
    <x v="11"/>
    <s v="Crear solpedidos"/>
    <x v="69"/>
    <x v="0"/>
    <s v="evento Aprendizaje"/>
    <x v="5"/>
    <n v="3"/>
    <n v="12"/>
    <n v="60"/>
    <n v="720"/>
    <n v="1.591995212221806E-2"/>
    <m/>
    <s v="Captura de valor"/>
    <m/>
    <s v="Si"/>
  </r>
  <r>
    <n v="71"/>
    <x v="0"/>
    <s v="Gastos TC"/>
    <x v="11"/>
    <s v="Legalización TC Aprendizaje"/>
    <x v="70"/>
    <x v="0"/>
    <s v="evento Aprendizaje"/>
    <x v="0"/>
    <n v="1"/>
    <n v="12"/>
    <n v="4.3"/>
    <n v="51.599999999999994"/>
    <n v="1.1409299020922943E-3"/>
    <m/>
    <s v="Captura de valor"/>
    <m/>
    <s v="No"/>
  </r>
  <r>
    <n v="72"/>
    <x v="0"/>
    <s v="Gastos TC"/>
    <x v="16"/>
    <s v="Legalización TC Aprendizaje"/>
    <x v="71"/>
    <x v="0"/>
    <s v="evento Aprendizaje"/>
    <x v="0"/>
    <n v="2"/>
    <n v="17"/>
    <n v="8.6"/>
    <n v="146.19999999999999"/>
    <n v="3.2326347225948336E-3"/>
    <m/>
    <s v="Captura de valor"/>
    <m/>
    <s v="No"/>
  </r>
  <r>
    <n v="73"/>
    <x v="0"/>
    <s v="Gastos TC"/>
    <x v="16"/>
    <s v="Legalización TC Aprendizaje"/>
    <x v="72"/>
    <x v="0"/>
    <s v="evento Aprendizaje"/>
    <x v="0"/>
    <n v="2"/>
    <n v="12"/>
    <n v="8.6"/>
    <n v="103.19999999999999"/>
    <n v="2.2818598041845885E-3"/>
    <m/>
    <s v="Captura de valor"/>
    <m/>
    <s v="Si"/>
  </r>
  <r>
    <n v="74"/>
    <x v="0"/>
    <s v="Gastos TC"/>
    <x v="16"/>
    <s v="Legalización TC Aprendizaje"/>
    <x v="73"/>
    <x v="0"/>
    <s v="evento Aprendizaje"/>
    <x v="0"/>
    <n v="2"/>
    <n v="17"/>
    <n v="8.6"/>
    <n v="146.19999999999999"/>
    <n v="3.2326347225948336E-3"/>
    <m/>
    <s v="Captura de valor"/>
    <m/>
    <s v="No"/>
  </r>
  <r>
    <n v="75"/>
    <x v="0"/>
    <s v="Creación de proveedores"/>
    <x v="17"/>
    <s v="Logistica matricula proveedor"/>
    <x v="74"/>
    <x v="0"/>
    <s v="evento Aprendizaje"/>
    <x v="3"/>
    <n v="1"/>
    <n v="23"/>
    <n v="2"/>
    <n v="46"/>
    <n v="1.0171080522528206E-3"/>
    <m/>
    <s v="Creación de valor"/>
    <m/>
    <s v="Si"/>
  </r>
  <r>
    <n v="76"/>
    <x v="0"/>
    <s v="Creación de proveedores"/>
    <x v="17"/>
    <s v="Logistica matricula proveedor"/>
    <x v="75"/>
    <x v="0"/>
    <s v="evento Aprendizaje"/>
    <x v="3"/>
    <n v="1"/>
    <n v="12"/>
    <n v="2"/>
    <n v="24"/>
    <n v="5.30665070740602E-4"/>
    <m/>
    <s v="Creación de valor"/>
    <m/>
    <s v="Si"/>
  </r>
  <r>
    <n v="77"/>
    <x v="0"/>
    <s v="Creación de proveedores"/>
    <x v="17"/>
    <s v="Logistica matricula proveedor"/>
    <x v="76"/>
    <x v="1"/>
    <s v="evento Aprendizaje"/>
    <x v="3"/>
    <n v="1"/>
    <n v="23"/>
    <n v="2"/>
    <n v="46"/>
    <n v="1.0171080522528206E-3"/>
    <m/>
    <s v="Creación de valor"/>
    <m/>
    <s v="Si"/>
  </r>
  <r>
    <n v="78"/>
    <x v="0"/>
    <s v="Creación de proveedores"/>
    <x v="14"/>
    <s v="Logistica matricula proveedor"/>
    <x v="77"/>
    <x v="0"/>
    <s v="evento Aprendizaje"/>
    <x v="3"/>
    <n v="1"/>
    <n v="12"/>
    <n v="2"/>
    <n v="24"/>
    <n v="5.30665070740602E-4"/>
    <m/>
    <s v="Creación de valor"/>
    <m/>
    <s v="Si"/>
  </r>
  <r>
    <n v="79"/>
    <x v="0"/>
    <s v="Creación de proveedores"/>
    <x v="17"/>
    <s v="Logistica matricula proveedor"/>
    <x v="78"/>
    <x v="0"/>
    <s v="evento Aprendizaje"/>
    <x v="3"/>
    <n v="1"/>
    <n v="23"/>
    <n v="2"/>
    <n v="46"/>
    <n v="1.0171080522528206E-3"/>
    <m/>
    <s v="Captura de valor"/>
    <m/>
    <s v="Si"/>
  </r>
  <r>
    <n v="80"/>
    <x v="0"/>
    <s v="Gestión correo personal"/>
    <x v="6"/>
    <s v="Gestión correo personal"/>
    <x v="79"/>
    <x v="0"/>
    <s v="evento Aprendizaje"/>
    <x v="5"/>
    <n v="1"/>
    <n v="65"/>
    <n v="20"/>
    <n v="1300"/>
    <n v="2.8744357998449276E-2"/>
    <m/>
    <s v="Captura de valor"/>
    <m/>
    <s v="Si"/>
  </r>
  <r>
    <n v="81"/>
    <x v="0"/>
    <s v="Inglés corporativo"/>
    <x v="3"/>
    <s v="Logistica Inglés Corporativo"/>
    <x v="80"/>
    <x v="0"/>
    <s v="evento Aprendizaje"/>
    <x v="4"/>
    <n v="1"/>
    <n v="65"/>
    <n v="0.16666666666666666"/>
    <n v="10.833333333333332"/>
    <n v="2.3953631665374393E-4"/>
    <m/>
    <s v="Captura de valor"/>
    <m/>
    <s v="Si"/>
  </r>
  <r>
    <n v="82"/>
    <x v="0"/>
    <s v="Inglés corporativo"/>
    <x v="17"/>
    <s v="Logistica Inglés Corporativo"/>
    <x v="81"/>
    <x v="2"/>
    <s v="evento Aprendizaje"/>
    <x v="1"/>
    <n v="1"/>
    <n v="65"/>
    <n v="8.3333333333333329E-2"/>
    <n v="5.4166666666666661"/>
    <n v="1.1976815832687197E-4"/>
    <m/>
    <s v="Creación de valor"/>
    <m/>
    <s v="Si"/>
  </r>
  <r>
    <n v="83"/>
    <x v="0"/>
    <s v="Inglés corporativo"/>
    <x v="17"/>
    <s v="Logistica Inglés Corporativo"/>
    <x v="82"/>
    <x v="0"/>
    <s v="evento Aprendizaje"/>
    <x v="1"/>
    <n v="1"/>
    <n v="23"/>
    <n v="8.3333333333333329E-2"/>
    <n v="1.9166666666666665"/>
    <n v="4.2379502177200853E-5"/>
    <m/>
    <s v="Creación de valor"/>
    <m/>
    <s v="Si"/>
  </r>
  <r>
    <n v="84"/>
    <x v="0"/>
    <s v="Inglés corporativo"/>
    <x v="7"/>
    <s v="Logistica Inglés Corporativo"/>
    <x v="83"/>
    <x v="0"/>
    <s v="evento Aprendizaje"/>
    <x v="6"/>
    <n v="1"/>
    <n v="12"/>
    <n v="0.5"/>
    <n v="6"/>
    <n v="1.326662676851505E-4"/>
    <m/>
    <s v="Captura de valor"/>
    <m/>
    <s v="No"/>
  </r>
  <r>
    <n v="85"/>
    <x v="0"/>
    <s v="Inglés corporativo"/>
    <x v="7"/>
    <s v="Logistica Inglés Corporativo"/>
    <x v="84"/>
    <x v="0"/>
    <s v="evento Aprendizaje"/>
    <x v="6"/>
    <n v="1"/>
    <n v="65"/>
    <n v="0.5"/>
    <n v="32.5"/>
    <n v="7.1860894996123189E-4"/>
    <m/>
    <s v="Captura de valor"/>
    <m/>
    <s v="Si"/>
  </r>
  <r>
    <n v="86"/>
    <x v="0"/>
    <s v="Inglés corporativo"/>
    <x v="7"/>
    <s v="Logistica Inglés Corporativo"/>
    <x v="85"/>
    <x v="0"/>
    <s v="evento Aprendizaje"/>
    <x v="6"/>
    <n v="1"/>
    <n v="65"/>
    <n v="0.5"/>
    <n v="32.5"/>
    <n v="7.1860894996123189E-4"/>
    <m/>
    <s v="Captura de valor"/>
    <m/>
    <s v="Si"/>
  </r>
  <r>
    <n v="87"/>
    <x v="0"/>
    <s v="Inglés corporativo"/>
    <x v="18"/>
    <s v="Logistica Inglés Corporativo"/>
    <x v="86"/>
    <x v="0"/>
    <s v="evento Aprendizaje"/>
    <x v="2"/>
    <n v="1"/>
    <n v="12"/>
    <n v="1"/>
    <n v="12"/>
    <n v="2.65332535370301E-4"/>
    <m/>
    <s v="Captura de valor"/>
    <m/>
    <s v="Si"/>
  </r>
  <r>
    <n v="88"/>
    <x v="0"/>
    <s v="Inglés corporativo"/>
    <x v="18"/>
    <s v="Logistica Inglés Corporativo"/>
    <x v="87"/>
    <x v="3"/>
    <s v="evento Aprendizaje"/>
    <x v="6"/>
    <n v="1"/>
    <n v="17"/>
    <n v="0.5"/>
    <n v="8.5"/>
    <n v="1.8794387922062988E-4"/>
    <m/>
    <s v="Captura de valor"/>
    <m/>
    <s v="Si"/>
  </r>
  <r>
    <n v="89"/>
    <x v="0"/>
    <s v="Inglés corporativo"/>
    <x v="18"/>
    <s v="Logistica Inglés Corporativo"/>
    <x v="88"/>
    <x v="0"/>
    <s v="evento Aprendizaje"/>
    <x v="6"/>
    <n v="1"/>
    <n v="12"/>
    <n v="0.5"/>
    <n v="6"/>
    <n v="1.326662676851505E-4"/>
    <m/>
    <s v="Captura de valor"/>
    <m/>
    <s v="Si"/>
  </r>
  <r>
    <n v="90"/>
    <x v="0"/>
    <s v="Inglés corporativo"/>
    <x v="1"/>
    <s v="Logistica Inglés Corporativo"/>
    <x v="89"/>
    <x v="0"/>
    <s v="evento Aprendizaje"/>
    <x v="6"/>
    <n v="1"/>
    <n v="30"/>
    <n v="0.5"/>
    <n v="15"/>
    <n v="3.3166566921287628E-4"/>
    <m/>
    <s v="Captura de valor"/>
    <m/>
    <s v="Si"/>
  </r>
  <r>
    <n v="91"/>
    <x v="0"/>
    <s v="Inglés corporativo"/>
    <x v="4"/>
    <s v="Logistica Inglés Corporativo"/>
    <x v="90"/>
    <x v="0"/>
    <s v="evento Aprendizaje"/>
    <x v="6"/>
    <n v="4"/>
    <n v="23"/>
    <n v="2"/>
    <n v="46"/>
    <n v="1.0171080522528206E-3"/>
    <m/>
    <s v="Captura de valor"/>
    <m/>
    <s v="Si"/>
  </r>
  <r>
    <n v="92"/>
    <x v="0"/>
    <s v="Inglés corporativo"/>
    <x v="1"/>
    <s v="Logistica Inglés Corporativo"/>
    <x v="91"/>
    <x v="0"/>
    <s v="evento Aprendizaje"/>
    <x v="6"/>
    <n v="4"/>
    <n v="23"/>
    <n v="2"/>
    <n v="46"/>
    <n v="1.0171080522528206E-3"/>
    <m/>
    <s v="Captura de valor"/>
    <m/>
    <s v="Si"/>
  </r>
  <r>
    <n v="93"/>
    <x v="0"/>
    <s v="Inglés corporativo"/>
    <x v="11"/>
    <s v="Logistica Inglés Corporativo"/>
    <x v="92"/>
    <x v="0"/>
    <s v="evento Aprendizaje"/>
    <x v="6"/>
    <n v="1"/>
    <n v="80"/>
    <n v="0.5"/>
    <n v="40"/>
    <n v="8.8444178456767008E-4"/>
    <m/>
    <s v="Captura de valor"/>
    <m/>
    <s v="Si"/>
  </r>
  <r>
    <n v="94"/>
    <x v="0"/>
    <s v="Inglés corporativo"/>
    <x v="1"/>
    <s v="Logistica Inglés Corporativo"/>
    <x v="93"/>
    <x v="1"/>
    <s v="evento Aprendizaje"/>
    <x v="3"/>
    <n v="1"/>
    <n v="65"/>
    <n v="2"/>
    <n v="130"/>
    <n v="2.8744357998449275E-3"/>
    <m/>
    <s v="Captura de valor"/>
    <m/>
    <s v="Si"/>
  </r>
  <r>
    <n v="95"/>
    <x v="0"/>
    <s v="Materiales DOYS"/>
    <x v="19"/>
    <s v="Custodia papeleria DOYS"/>
    <x v="94"/>
    <x v="0"/>
    <s v="evento Aprendizaje"/>
    <x v="2"/>
    <n v="1"/>
    <n v="17"/>
    <n v="1"/>
    <n v="17"/>
    <n v="3.7588775844125976E-4"/>
    <m/>
    <s v="Captura de valor"/>
    <m/>
    <s v="No"/>
  </r>
  <r>
    <n v="96"/>
    <x v="0"/>
    <s v="Materiales DOYS"/>
    <x v="19"/>
    <s v="Custodia papeleria DOYS"/>
    <x v="95"/>
    <x v="0"/>
    <s v="evento Aprendizaje"/>
    <x v="2"/>
    <n v="1"/>
    <n v="23"/>
    <n v="1"/>
    <n v="23"/>
    <n v="5.0855402612641032E-4"/>
    <m/>
    <s v="Captura de valor"/>
    <m/>
    <s v="No"/>
  </r>
  <r>
    <n v="97"/>
    <x v="0"/>
    <s v="Materiales DOYS"/>
    <x v="19"/>
    <s v="Custodia papeleria DOYS"/>
    <x v="96"/>
    <x v="0"/>
    <s v="evento Aprendizaje"/>
    <x v="6"/>
    <n v="1"/>
    <n v="65"/>
    <n v="0.5"/>
    <n v="32.5"/>
    <n v="7.1860894996123189E-4"/>
    <m/>
    <s v="Captura de valor"/>
    <m/>
    <s v="Si"/>
  </r>
  <r>
    <n v="98"/>
    <x v="0"/>
    <s v="Materiales DOYS"/>
    <x v="19"/>
    <s v="Custodia papeleria DOYS"/>
    <x v="97"/>
    <x v="0"/>
    <s v="evento Aprendizaje"/>
    <x v="2"/>
    <n v="1"/>
    <n v="17"/>
    <n v="1"/>
    <n v="17"/>
    <n v="3.7588775844125976E-4"/>
    <m/>
    <s v="Captura de valor"/>
    <m/>
    <s v="No"/>
  </r>
  <r>
    <n v="99"/>
    <x v="0"/>
    <s v="Presupuesto aprendizaje"/>
    <x v="15"/>
    <s v="Realizar rolling de aprendizaje"/>
    <x v="98"/>
    <x v="2"/>
    <s v="evento Aprendizaje"/>
    <x v="1"/>
    <n v="1"/>
    <n v="480"/>
    <n v="8.3333333333333329E-2"/>
    <n v="40"/>
    <n v="8.8444178456767008E-4"/>
    <m/>
    <s v="Creación de valor"/>
    <m/>
    <s v="Si"/>
  </r>
  <r>
    <n v="100"/>
    <x v="0"/>
    <s v="Presupuesto aprendizaje"/>
    <x v="15"/>
    <s v="Realizar rolling de aprendizaje"/>
    <x v="99"/>
    <x v="1"/>
    <s v="evento Aprendizaje"/>
    <x v="2"/>
    <n v="1"/>
    <n v="42"/>
    <n v="1"/>
    <n v="42"/>
    <n v="9.2866387379605356E-4"/>
    <m/>
    <s v="Captura de valor"/>
    <m/>
    <s v="No"/>
  </r>
  <r>
    <n v="101"/>
    <x v="0"/>
    <s v="Presupuesto aprendizaje"/>
    <x v="15"/>
    <s v="Realizar rolling de aprendizaje"/>
    <x v="100"/>
    <x v="2"/>
    <s v="evento Aprendizaje"/>
    <x v="7"/>
    <n v="1"/>
    <n v="42"/>
    <n v="0.33333333333333331"/>
    <n v="14"/>
    <n v="3.0955462459868454E-4"/>
    <m/>
    <s v="Captura de valor"/>
    <m/>
    <s v="Si"/>
  </r>
  <r>
    <n v="102"/>
    <x v="0"/>
    <s v="Necesidades de formación"/>
    <x v="17"/>
    <s v="Explorar el mercado con las ofertas de formación"/>
    <x v="101"/>
    <x v="2"/>
    <s v="evento Aprendizaje"/>
    <x v="2"/>
    <n v="1"/>
    <n v="42"/>
    <n v="1"/>
    <n v="42"/>
    <n v="9.2866387379605356E-4"/>
    <m/>
    <s v="Creación de valor"/>
    <m/>
    <s v="Si"/>
  </r>
  <r>
    <n v="103"/>
    <x v="0"/>
    <s v="Necesidades de formación"/>
    <x v="17"/>
    <s v="Explorar el mercado con las ofertas de formación"/>
    <x v="102"/>
    <x v="2"/>
    <s v="evento Aprendizaje"/>
    <x v="2"/>
    <n v="1"/>
    <n v="12"/>
    <n v="1"/>
    <n v="12"/>
    <n v="2.65332535370301E-4"/>
    <m/>
    <s v="Captura de valor"/>
    <m/>
    <s v="Si"/>
  </r>
  <r>
    <n v="104"/>
    <x v="0"/>
    <s v="Necesidades de formación"/>
    <x v="17"/>
    <s v="Explorar el mercado con las ofertas de formación"/>
    <x v="103"/>
    <x v="2"/>
    <s v="evento Aprendizaje"/>
    <x v="2"/>
    <n v="1"/>
    <n v="42"/>
    <n v="1"/>
    <n v="42"/>
    <n v="9.2866387379605356E-4"/>
    <m/>
    <s v="Creación de valor"/>
    <m/>
    <s v="Si"/>
  </r>
  <r>
    <n v="105"/>
    <x v="0"/>
    <s v="Reuniones"/>
    <x v="20"/>
    <s v="Reuniones"/>
    <x v="104"/>
    <x v="0"/>
    <s v="evento Aprendizaje"/>
    <x v="0"/>
    <n v="4"/>
    <n v="42"/>
    <n v="17.2"/>
    <n v="722.4"/>
    <n v="1.597301862929212E-2"/>
    <m/>
    <s v="Captura de valor"/>
    <m/>
    <s v="No"/>
  </r>
  <r>
    <n v="106"/>
    <x v="0"/>
    <s v="Gestión Teams"/>
    <x v="6"/>
    <s v="Gestión Teams"/>
    <x v="105"/>
    <x v="0"/>
    <s v="evento Aprendizaje"/>
    <x v="5"/>
    <n v="1"/>
    <n v="80"/>
    <n v="20"/>
    <n v="1600"/>
    <n v="3.5377671382706803E-2"/>
    <m/>
    <s v="Captura de valor"/>
    <m/>
    <s v="Si"/>
  </r>
  <r>
    <n v="107"/>
    <x v="0"/>
    <s v="Ritual fin de año"/>
    <x v="21"/>
    <s v="Apoyo logístico en actividades de fin de año"/>
    <x v="106"/>
    <x v="0"/>
    <s v="evento Aprendizaje"/>
    <x v="1"/>
    <n v="1"/>
    <n v="960"/>
    <n v="8.3333333333333329E-2"/>
    <n v="80"/>
    <n v="1.7688835691353402E-3"/>
    <m/>
    <s v="Captura de valor"/>
    <m/>
    <s v="No"/>
  </r>
  <r>
    <n v="108"/>
    <x v="1"/>
    <s v="Cultivo interior"/>
    <x v="0"/>
    <s v="Logistica Asistencias"/>
    <x v="0"/>
    <x v="0"/>
    <s v="evento Aprendizaje"/>
    <x v="0"/>
    <n v="1"/>
    <n v="15"/>
    <n v="4.3"/>
    <n v="64.5"/>
    <n v="1.4261623776153679E-3"/>
    <m/>
    <s v="Captura de valor"/>
    <m/>
    <s v="No"/>
  </r>
  <r>
    <n v="109"/>
    <x v="1"/>
    <s v="Cultivo interior"/>
    <x v="0"/>
    <s v="Logistica Asistencias"/>
    <x v="1"/>
    <x v="1"/>
    <s v="evento Aprendizaje"/>
    <x v="0"/>
    <n v="1"/>
    <n v="50"/>
    <n v="4.3"/>
    <n v="215"/>
    <n v="4.7538745920512266E-3"/>
    <m/>
    <s v="Captura de valor"/>
    <m/>
    <s v="Si"/>
  </r>
  <r>
    <n v="110"/>
    <x v="1"/>
    <s v="Cultivo interior"/>
    <x v="0"/>
    <s v="Logistica Asistencias"/>
    <x v="107"/>
    <x v="0"/>
    <s v="evento Aprendizaje"/>
    <x v="5"/>
    <n v="1"/>
    <n v="90"/>
    <n v="20"/>
    <n v="1800"/>
    <n v="3.9799880305545154E-2"/>
    <m/>
    <s v="Captura de valor"/>
    <m/>
    <s v="No"/>
  </r>
  <r>
    <n v="111"/>
    <x v="1"/>
    <s v="Cultivo interior"/>
    <x v="0"/>
    <s v="Logistica Asistencias"/>
    <x v="2"/>
    <x v="0"/>
    <s v="evento Aprendizaje"/>
    <x v="4"/>
    <n v="1"/>
    <n v="120"/>
    <n v="0.16666666666666666"/>
    <n v="20"/>
    <n v="4.4222089228383504E-4"/>
    <m/>
    <s v="Captura de valor"/>
    <m/>
    <s v="No"/>
  </r>
  <r>
    <n v="112"/>
    <x v="1"/>
    <s v="Cultivo interior"/>
    <x v="3"/>
    <s v="Logistica Asistencias"/>
    <x v="108"/>
    <x v="0"/>
    <s v="evento Aprendizaje"/>
    <x v="3"/>
    <n v="1"/>
    <n v="90"/>
    <n v="2"/>
    <n v="180"/>
    <n v="3.9799880305545149E-3"/>
    <m/>
    <s v="Captura de valor"/>
    <m/>
    <s v="Si"/>
  </r>
  <r>
    <n v="113"/>
    <x v="1"/>
    <s v="Cultivo interior"/>
    <x v="3"/>
    <s v="Logistica Asistencias"/>
    <x v="14"/>
    <x v="1"/>
    <s v="evento Aprendizaje"/>
    <x v="3"/>
    <n v="1"/>
    <n v="90"/>
    <n v="2"/>
    <n v="180"/>
    <n v="3.9799880305545149E-3"/>
    <m/>
    <s v="Captura de valor"/>
    <m/>
    <s v="Si"/>
  </r>
  <r>
    <n v="114"/>
    <x v="1"/>
    <s v="Cultivo interior"/>
    <x v="5"/>
    <s v="Apoyar la logistica de los programas tranversales, eventos externos,programas técnicos, etc"/>
    <x v="16"/>
    <x v="2"/>
    <s v="evento Aprendizaje"/>
    <x v="3"/>
    <n v="1"/>
    <n v="40"/>
    <n v="2"/>
    <n v="80"/>
    <n v="1.7688835691353402E-3"/>
    <m/>
    <s v="Captura de valor"/>
    <m/>
    <s v="Si"/>
  </r>
  <r>
    <n v="115"/>
    <x v="1"/>
    <s v="Cultivo interior"/>
    <x v="6"/>
    <s v="Apoyar la logistica de los programas tranversales, eventos externos,programas técnicos, etc"/>
    <x v="17"/>
    <x v="0"/>
    <s v="evento Aprendizaje"/>
    <x v="5"/>
    <n v="1"/>
    <n v="120"/>
    <n v="20"/>
    <n v="2400"/>
    <n v="5.3066507074060201E-2"/>
    <m/>
    <s v="Captura de valor"/>
    <m/>
    <s v="Si"/>
  </r>
  <r>
    <n v="116"/>
    <x v="1"/>
    <s v="Cultivo interior"/>
    <x v="1"/>
    <s v="Apoyar la logistica de los programas tranversales, eventos externos,programas técnicos, etc"/>
    <x v="18"/>
    <x v="2"/>
    <s v="evento Aprendizaje"/>
    <x v="3"/>
    <n v="1"/>
    <n v="40"/>
    <n v="2"/>
    <n v="80"/>
    <n v="1.7688835691353402E-3"/>
    <m/>
    <s v="Captura de valor"/>
    <m/>
    <s v="Si"/>
  </r>
  <r>
    <n v="117"/>
    <x v="1"/>
    <s v="Cultivo interior"/>
    <x v="4"/>
    <s v="Apoyar la logistica de los programas tranversales, eventos externos,programas técnicos, etc"/>
    <x v="19"/>
    <x v="0"/>
    <s v="evento Aprendizaje"/>
    <x v="5"/>
    <n v="1"/>
    <n v="30"/>
    <n v="20"/>
    <n v="600"/>
    <n v="1.326662676851505E-2"/>
    <m/>
    <s v="Captura de valor"/>
    <m/>
    <s v="No"/>
  </r>
  <r>
    <n v="118"/>
    <x v="1"/>
    <s v="Cultivo interior"/>
    <x v="4"/>
    <s v="Apoyar la logistica de los programas tranversales, eventos externos,programas técnicos, etc"/>
    <x v="20"/>
    <x v="0"/>
    <s v="evento Aprendizaje"/>
    <x v="3"/>
    <n v="1"/>
    <n v="480"/>
    <n v="2"/>
    <n v="960"/>
    <n v="2.1226602829624082E-2"/>
    <m/>
    <s v="Captura de valor"/>
    <m/>
    <s v="No"/>
  </r>
  <r>
    <n v="119"/>
    <x v="1"/>
    <s v="Cultivo interior"/>
    <x v="7"/>
    <s v="Apoyar la logistica de los programas tranversales, eventos externos,programas técnicos, etc"/>
    <x v="21"/>
    <x v="0"/>
    <s v="evento Aprendizaje"/>
    <x v="2"/>
    <n v="1"/>
    <n v="60"/>
    <n v="1"/>
    <n v="60"/>
    <n v="1.3266626768515051E-3"/>
    <m/>
    <s v="Captura de valor"/>
    <m/>
    <s v="Si"/>
  </r>
  <r>
    <n v="120"/>
    <x v="1"/>
    <s v="Cultivo interior"/>
    <x v="8"/>
    <s v="Apoyar la logistica de los programas tranversales, eventos externos,programas técnicos, etc"/>
    <x v="22"/>
    <x v="0"/>
    <s v="evento Aprendizaje"/>
    <x v="5"/>
    <n v="1"/>
    <n v="160"/>
    <n v="20"/>
    <n v="3200"/>
    <n v="7.0755342765413606E-2"/>
    <m/>
    <s v="Captura de valor"/>
    <m/>
    <s v="Si"/>
  </r>
  <r>
    <n v="121"/>
    <x v="1"/>
    <s v="Cultivo interior"/>
    <x v="7"/>
    <s v="Apoyar la logistica de los programas tranversales, eventos externos,programas técnicos, etc"/>
    <x v="23"/>
    <x v="2"/>
    <s v="evento Aprendizaje"/>
    <x v="2"/>
    <n v="1"/>
    <n v="180"/>
    <n v="1"/>
    <n v="180"/>
    <n v="3.9799880305545149E-3"/>
    <m/>
    <s v="Captura de valor"/>
    <m/>
    <s v="No"/>
  </r>
  <r>
    <n v="122"/>
    <x v="1"/>
    <s v="Cultivo interior"/>
    <x v="7"/>
    <s v="Apoyar la logistica de los programas tranversales, eventos externos,programas técnicos, etc"/>
    <x v="24"/>
    <x v="0"/>
    <s v="evento Aprendizaje"/>
    <x v="7"/>
    <n v="1"/>
    <n v="240"/>
    <n v="0.33333333333333331"/>
    <n v="80"/>
    <n v="1.7688835691353402E-3"/>
    <m/>
    <s v="Captura de valor"/>
    <m/>
    <s v="Si"/>
  </r>
  <r>
    <n v="123"/>
    <x v="1"/>
    <s v="Cultivo interior"/>
    <x v="5"/>
    <s v="Apoyar la logistica de los programas tranversales, eventos externos,programas técnicos, etc"/>
    <x v="25"/>
    <x v="0"/>
    <s v="evento Aprendizaje"/>
    <x v="3"/>
    <n v="1"/>
    <n v="120"/>
    <n v="2"/>
    <n v="240"/>
    <n v="5.3066507074060205E-3"/>
    <m/>
    <s v="Captura de valor"/>
    <m/>
    <s v="Si"/>
  </r>
  <r>
    <n v="124"/>
    <x v="1"/>
    <s v="Cultivo interior"/>
    <x v="9"/>
    <s v="Apoyar la logistica de los programas tranversales, eventos externos,programas técnicos, etc"/>
    <x v="26"/>
    <x v="0"/>
    <s v="evento Aprendizaje"/>
    <x v="2"/>
    <n v="1"/>
    <n v="30"/>
    <n v="1"/>
    <n v="30"/>
    <n v="6.6333133842575256E-4"/>
    <m/>
    <s v="Captura de valor"/>
    <m/>
    <s v="No"/>
  </r>
  <r>
    <n v="125"/>
    <x v="1"/>
    <s v="Cultivo interior"/>
    <x v="4"/>
    <s v="Apoyar la logistica de los programas tranversales, eventos externos,programas técnicos, etc"/>
    <x v="29"/>
    <x v="2"/>
    <s v="evento Aprendizaje"/>
    <x v="0"/>
    <n v="1"/>
    <n v="30"/>
    <n v="4.3"/>
    <n v="129"/>
    <n v="2.8523247552307359E-3"/>
    <m/>
    <s v="Captura de valor"/>
    <m/>
    <s v="No"/>
  </r>
  <r>
    <n v="126"/>
    <x v="1"/>
    <s v="Cultivo interior"/>
    <x v="10"/>
    <s v="Apoyar la logistica de los programas tranversales, eventos externos,programas técnicos, etc"/>
    <x v="30"/>
    <x v="0"/>
    <s v="evento Aprendizaje"/>
    <x v="0"/>
    <n v="1"/>
    <n v="50"/>
    <n v="4.3"/>
    <n v="215"/>
    <n v="4.7538745920512266E-3"/>
    <m/>
    <s v="Captura de valor"/>
    <m/>
    <s v="No"/>
  </r>
  <r>
    <n v="127"/>
    <x v="1"/>
    <s v="Cultivo interior"/>
    <x v="3"/>
    <s v="Apoyar la logistica de los programas tranversales, eventos externos,programas técnicos, etc"/>
    <x v="31"/>
    <x v="0"/>
    <s v="evento Aprendizaje"/>
    <x v="3"/>
    <n v="1"/>
    <n v="120"/>
    <n v="2"/>
    <n v="240"/>
    <n v="5.3066507074060205E-3"/>
    <m/>
    <s v="Captura de valor"/>
    <m/>
    <s v="No"/>
  </r>
  <r>
    <n v="128"/>
    <x v="1"/>
    <s v="Cultivo interior"/>
    <x v="5"/>
    <s v="Programación Aux de la operación"/>
    <x v="32"/>
    <x v="0"/>
    <s v="evento Aprendizaje"/>
    <x v="5"/>
    <n v="1"/>
    <n v="30"/>
    <n v="20"/>
    <n v="600"/>
    <n v="1.326662676851505E-2"/>
    <m/>
    <s v="Captura de valor"/>
    <m/>
    <s v="Si"/>
  </r>
  <r>
    <n v="129"/>
    <x v="1"/>
    <s v="Eventos Externos y capacitaciones técnicas"/>
    <x v="11"/>
    <s v="Inscripción y pago del evento"/>
    <x v="34"/>
    <x v="0"/>
    <s v="evento Aprendizaje"/>
    <x v="2"/>
    <n v="1"/>
    <n v="60"/>
    <n v="1"/>
    <n v="60"/>
    <n v="1.3266626768515051E-3"/>
    <m/>
    <s v="Captura de valor"/>
    <m/>
    <s v="Si"/>
  </r>
  <r>
    <n v="130"/>
    <x v="1"/>
    <s v="Eventos Externos y capacitaciones técnicas"/>
    <x v="11"/>
    <s v="Inscripción y pago del evento"/>
    <x v="35"/>
    <x v="1"/>
    <s v="evento Aprendizaje"/>
    <x v="0"/>
    <n v="1"/>
    <n v="40"/>
    <n v="4.3"/>
    <n v="172"/>
    <n v="3.803099673640981E-3"/>
    <m/>
    <s v="Captura de valor"/>
    <m/>
    <s v="Si"/>
  </r>
  <r>
    <n v="131"/>
    <x v="1"/>
    <s v="Eventos Externos y capacitaciones técnicas"/>
    <x v="4"/>
    <s v="Inscripción y pago del evento"/>
    <x v="37"/>
    <x v="0"/>
    <s v="evento Aprendizaje"/>
    <x v="0"/>
    <n v="1"/>
    <n v="30"/>
    <n v="4.3"/>
    <n v="129"/>
    <n v="2.8523247552307359E-3"/>
    <m/>
    <s v="Captura de valor"/>
    <m/>
    <s v="Si"/>
  </r>
  <r>
    <n v="132"/>
    <x v="1"/>
    <s v="Eventos Externos y capacitaciones técnicas"/>
    <x v="5"/>
    <s v="Inscripción y pago del evento"/>
    <x v="38"/>
    <x v="0"/>
    <s v="evento Aprendizaje"/>
    <x v="0"/>
    <n v="1"/>
    <n v="30"/>
    <n v="4.3"/>
    <n v="129"/>
    <n v="2.8523247552307359E-3"/>
    <m/>
    <s v="Captura de valor"/>
    <m/>
    <s v="Si"/>
  </r>
  <r>
    <n v="133"/>
    <x v="1"/>
    <s v="Eventos Externos y capacitaciones técnicas"/>
    <x v="1"/>
    <s v="Inscripción y pago del evento"/>
    <x v="39"/>
    <x v="1"/>
    <s v="evento Aprendizaje"/>
    <x v="3"/>
    <n v="1"/>
    <n v="90"/>
    <n v="2"/>
    <n v="180"/>
    <n v="3.9799880305545149E-3"/>
    <m/>
    <s v="Captura de valor"/>
    <m/>
    <s v="Si"/>
  </r>
  <r>
    <n v="134"/>
    <x v="1"/>
    <s v="Inducción corporativa"/>
    <x v="12"/>
    <s v="Logistica inducción corporativa"/>
    <x v="40"/>
    <x v="0"/>
    <s v="evento Aprendizaje"/>
    <x v="0"/>
    <n v="1"/>
    <n v="180"/>
    <n v="4.3"/>
    <n v="774"/>
    <n v="1.7113948531384416E-2"/>
    <m/>
    <s v="Captura de valor"/>
    <m/>
    <s v="Si"/>
  </r>
  <r>
    <n v="135"/>
    <x v="1"/>
    <s v="Inducción corporativa"/>
    <x v="3"/>
    <s v="Logistica inducción corporativa"/>
    <x v="41"/>
    <x v="0"/>
    <s v="evento Aprendizaje"/>
    <x v="0"/>
    <n v="1"/>
    <n v="40"/>
    <n v="4.3"/>
    <n v="172"/>
    <n v="3.803099673640981E-3"/>
    <m/>
    <s v="Captura de valor"/>
    <m/>
    <s v="Si"/>
  </r>
  <r>
    <n v="136"/>
    <x v="1"/>
    <s v="Inducción corporativa"/>
    <x v="12"/>
    <s v="Logistica inducción corporativa"/>
    <x v="109"/>
    <x v="0"/>
    <s v="evento Aprendizaje"/>
    <x v="0"/>
    <n v="1"/>
    <n v="30"/>
    <n v="4.3"/>
    <n v="129"/>
    <n v="2.8523247552307359E-3"/>
    <m/>
    <s v="Captura de valor"/>
    <m/>
    <s v="Si"/>
  </r>
  <r>
    <n v="137"/>
    <x v="1"/>
    <s v="Inducción corporativa"/>
    <x v="12"/>
    <s v="Logistica inducción corporativa"/>
    <x v="43"/>
    <x v="0"/>
    <s v="evento Aprendizaje"/>
    <x v="0"/>
    <n v="1"/>
    <n v="20"/>
    <n v="4.3"/>
    <n v="86"/>
    <n v="1.9015498368204905E-3"/>
    <m/>
    <s v="Captura de valor"/>
    <m/>
    <s v="Si"/>
  </r>
  <r>
    <n v="138"/>
    <x v="1"/>
    <s v="Inducción corporativa"/>
    <x v="12"/>
    <s v="Logistica inducción corporativa"/>
    <x v="44"/>
    <x v="0"/>
    <s v="evento Aprendizaje"/>
    <x v="0"/>
    <n v="1"/>
    <n v="30"/>
    <n v="4.3"/>
    <n v="129"/>
    <n v="2.8523247552307359E-3"/>
    <m/>
    <s v="Captura de valor"/>
    <m/>
    <s v="Si"/>
  </r>
  <r>
    <n v="139"/>
    <x v="1"/>
    <s v="Inducción corporativa"/>
    <x v="12"/>
    <s v="Logistica inducción corporativa"/>
    <x v="45"/>
    <x v="0"/>
    <s v="evento Aprendizaje"/>
    <x v="0"/>
    <n v="1"/>
    <n v="30"/>
    <n v="4.3"/>
    <n v="129"/>
    <n v="2.8523247552307359E-3"/>
    <m/>
    <s v="Captura de valor"/>
    <m/>
    <s v="Si"/>
  </r>
  <r>
    <n v="140"/>
    <x v="1"/>
    <s v="Inducción corporativa"/>
    <x v="12"/>
    <s v="Logistica inducción corporativa"/>
    <x v="46"/>
    <x v="0"/>
    <s v="evento Aprendizaje"/>
    <x v="0"/>
    <n v="1"/>
    <n v="15"/>
    <n v="4.3"/>
    <n v="64.5"/>
    <n v="1.4261623776153679E-3"/>
    <m/>
    <s v="Captura de valor"/>
    <m/>
    <s v="No"/>
  </r>
  <r>
    <n v="141"/>
    <x v="1"/>
    <s v="Inducción corporativa"/>
    <x v="5"/>
    <s v="Logistica inducción corporativa"/>
    <x v="47"/>
    <x v="0"/>
    <s v="evento Aprendizaje"/>
    <x v="0"/>
    <n v="1"/>
    <n v="20"/>
    <n v="4.3"/>
    <n v="86"/>
    <n v="1.9015498368204905E-3"/>
    <m/>
    <s v="Captura de valor"/>
    <m/>
    <s v="Si"/>
  </r>
  <r>
    <n v="142"/>
    <x v="1"/>
    <s v="Inducción corporativa"/>
    <x v="13"/>
    <s v="Logistica inducción corporativa"/>
    <x v="48"/>
    <x v="0"/>
    <s v="evento Aprendizaje"/>
    <x v="0"/>
    <n v="1"/>
    <n v="480"/>
    <n v="4.3"/>
    <n v="2064"/>
    <n v="4.5637196083691774E-2"/>
    <m/>
    <s v="Captura de valor"/>
    <m/>
    <s v="Si"/>
  </r>
  <r>
    <n v="143"/>
    <x v="1"/>
    <s v="Inducción corporativa"/>
    <x v="13"/>
    <s v="Logistica inducción corporativa"/>
    <x v="49"/>
    <x v="0"/>
    <s v="evento Aprendizaje"/>
    <x v="0"/>
    <n v="1"/>
    <n v="480"/>
    <n v="4.3"/>
    <n v="2064"/>
    <n v="4.5637196083691774E-2"/>
    <m/>
    <s v="Captura de valor"/>
    <m/>
    <s v="Si"/>
  </r>
  <r>
    <n v="144"/>
    <x v="1"/>
    <s v="Inducción corporativa"/>
    <x v="12"/>
    <s v="Logistica inducción corporativa"/>
    <x v="50"/>
    <x v="0"/>
    <s v="evento Aprendizaje"/>
    <x v="0"/>
    <n v="1"/>
    <n v="15"/>
    <n v="4.3"/>
    <n v="64.5"/>
    <n v="1.4261623776153679E-3"/>
    <m/>
    <s v="Captura de valor"/>
    <m/>
    <s v="No"/>
  </r>
  <r>
    <n v="145"/>
    <x v="1"/>
    <s v="Inducción corporativa"/>
    <x v="9"/>
    <s v="Logistica inducción corporativa"/>
    <x v="51"/>
    <x v="2"/>
    <s v="evento Aprendizaje"/>
    <x v="0"/>
    <n v="1"/>
    <n v="15"/>
    <n v="4.3"/>
    <n v="64.5"/>
    <n v="1.4261623776153679E-3"/>
    <m/>
    <s v="Captura de valor"/>
    <m/>
    <s v="Si"/>
  </r>
  <r>
    <n v="146"/>
    <x v="1"/>
    <s v="Inducción corporativa"/>
    <x v="10"/>
    <s v="Logistica inducción corporativa"/>
    <x v="52"/>
    <x v="2"/>
    <s v="evento Aprendizaje"/>
    <x v="0"/>
    <n v="1"/>
    <n v="15"/>
    <n v="4.3"/>
    <n v="64.5"/>
    <n v="1.4261623776153679E-3"/>
    <m/>
    <s v="Captura de valor"/>
    <m/>
    <s v="Si"/>
  </r>
  <r>
    <n v="147"/>
    <x v="1"/>
    <s v="Inducción corporativa"/>
    <x v="7"/>
    <s v="Logistica inducción corporativa"/>
    <x v="53"/>
    <x v="0"/>
    <s v="evento Aprendizaje"/>
    <x v="0"/>
    <n v="1"/>
    <n v="20"/>
    <n v="4.3"/>
    <n v="86"/>
    <n v="1.9015498368204905E-3"/>
    <m/>
    <s v="Captura de valor"/>
    <m/>
    <s v="Si"/>
  </r>
  <r>
    <n v="148"/>
    <x v="1"/>
    <s v="Inducción corporativa"/>
    <x v="0"/>
    <s v="Logistica inducción corporativa"/>
    <x v="54"/>
    <x v="0"/>
    <s v="evento Aprendizaje"/>
    <x v="0"/>
    <n v="1"/>
    <n v="60"/>
    <n v="4.3"/>
    <n v="258"/>
    <n v="5.7046495104614717E-3"/>
    <m/>
    <s v="Captura de valor"/>
    <m/>
    <s v="Si"/>
  </r>
  <r>
    <n v="149"/>
    <x v="1"/>
    <s v="Inducción corporativa"/>
    <x v="14"/>
    <s v="Logistica inducción corporativa"/>
    <x v="55"/>
    <x v="0"/>
    <s v="evento Aprendizaje"/>
    <x v="0"/>
    <n v="1"/>
    <n v="60"/>
    <n v="4.3"/>
    <n v="258"/>
    <n v="5.7046495104614717E-3"/>
    <m/>
    <s v="Captura de valor"/>
    <m/>
    <s v="Si"/>
  </r>
  <r>
    <n v="150"/>
    <x v="1"/>
    <s v="Solicitud Alimentación"/>
    <x v="10"/>
    <s v="Losgistica pedido semanal de alimentación"/>
    <x v="58"/>
    <x v="1"/>
    <s v="evento Aprendizaje"/>
    <x v="0"/>
    <n v="1"/>
    <n v="30"/>
    <n v="4.3"/>
    <n v="129"/>
    <n v="2.8523247552307359E-3"/>
    <m/>
    <s v="Captura de valor"/>
    <m/>
    <s v="Si"/>
  </r>
  <r>
    <n v="151"/>
    <x v="1"/>
    <s v="Solicitud Alimentación"/>
    <x v="10"/>
    <s v="Losgistica pedido semanal de alimentación"/>
    <x v="60"/>
    <x v="0"/>
    <s v="evento Aprendizaje"/>
    <x v="0"/>
    <n v="1"/>
    <n v="30"/>
    <n v="4.3"/>
    <n v="129"/>
    <n v="2.8523247552307359E-3"/>
    <m/>
    <s v="Captura de valor"/>
    <m/>
    <s v="No"/>
  </r>
  <r>
    <n v="152"/>
    <x v="1"/>
    <s v="Facturación"/>
    <x v="11"/>
    <s v="Proceso de facturación"/>
    <x v="62"/>
    <x v="1"/>
    <s v="evento Aprendizaje"/>
    <x v="0"/>
    <n v="1"/>
    <n v="20"/>
    <n v="4.3"/>
    <n v="86"/>
    <n v="1.9015498368204905E-3"/>
    <m/>
    <s v="Captura de valor"/>
    <m/>
    <s v="No"/>
  </r>
  <r>
    <n v="153"/>
    <x v="1"/>
    <s v="Facturación"/>
    <x v="11"/>
    <s v="Proceso de facturación"/>
    <x v="66"/>
    <x v="0"/>
    <s v="evento Aprendizaje"/>
    <x v="5"/>
    <n v="1"/>
    <n v="30"/>
    <n v="20"/>
    <n v="600"/>
    <n v="1.326662676851505E-2"/>
    <m/>
    <s v="Captura de valor"/>
    <m/>
    <s v="Si"/>
  </r>
  <r>
    <n v="154"/>
    <x v="1"/>
    <s v="Facturación"/>
    <x v="11"/>
    <s v="Proceso de facturación"/>
    <x v="67"/>
    <x v="0"/>
    <s v="evento Aprendizaje"/>
    <x v="5"/>
    <n v="1"/>
    <n v="15"/>
    <n v="20"/>
    <n v="300"/>
    <n v="6.6333133842575252E-3"/>
    <m/>
    <s v="Captura de valor"/>
    <m/>
    <s v="Si"/>
  </r>
  <r>
    <n v="155"/>
    <x v="1"/>
    <s v="Facturación"/>
    <x v="11"/>
    <s v="Proceso de facturación"/>
    <x v="68"/>
    <x v="1"/>
    <s v="evento Aprendizaje"/>
    <x v="5"/>
    <n v="1"/>
    <n v="15"/>
    <n v="20"/>
    <n v="300"/>
    <n v="6.6333133842575252E-3"/>
    <m/>
    <s v="Captura de valor"/>
    <m/>
    <s v="Si"/>
  </r>
  <r>
    <n v="156"/>
    <x v="1"/>
    <s v="Facturación"/>
    <x v="11"/>
    <s v="Proceso de facturación"/>
    <x v="69"/>
    <x v="1"/>
    <s v="evento Aprendizaje"/>
    <x v="0"/>
    <n v="1"/>
    <n v="15"/>
    <n v="4.3"/>
    <n v="64.5"/>
    <n v="1.4261623776153679E-3"/>
    <m/>
    <s v="Captura de valor"/>
    <m/>
    <s v="Si"/>
  </r>
  <r>
    <n v="157"/>
    <x v="1"/>
    <s v="Creación de proveedores"/>
    <x v="17"/>
    <s v="Logistica matricula proveedor"/>
    <x v="74"/>
    <x v="0"/>
    <s v="evento Aprendizaje"/>
    <x v="0"/>
    <n v="1"/>
    <n v="30"/>
    <n v="4.3"/>
    <n v="129"/>
    <n v="2.8523247552307359E-3"/>
    <m/>
    <s v="Creación de valor"/>
    <m/>
    <s v="Si"/>
  </r>
  <r>
    <n v="158"/>
    <x v="1"/>
    <s v="Creación de proveedores"/>
    <x v="17"/>
    <s v="Logistica matricula proveedor"/>
    <x v="75"/>
    <x v="0"/>
    <s v="evento Aprendizaje"/>
    <x v="0"/>
    <n v="1"/>
    <n v="20"/>
    <n v="4.3"/>
    <n v="86"/>
    <n v="1.9015498368204905E-3"/>
    <m/>
    <s v="Creación de valor"/>
    <m/>
    <s v="No"/>
  </r>
  <r>
    <n v="159"/>
    <x v="1"/>
    <s v="Creación de proveedores"/>
    <x v="17"/>
    <s v="Logistica matricula proveedor"/>
    <x v="76"/>
    <x v="1"/>
    <s v="evento Aprendizaje"/>
    <x v="0"/>
    <n v="1"/>
    <n v="40"/>
    <n v="4.3"/>
    <n v="172"/>
    <n v="3.803099673640981E-3"/>
    <m/>
    <s v="Captura de valor"/>
    <m/>
    <s v="Si"/>
  </r>
  <r>
    <n v="160"/>
    <x v="1"/>
    <s v="Creación de proveedores"/>
    <x v="17"/>
    <s v="Logistica matricula proveedor"/>
    <x v="78"/>
    <x v="1"/>
    <s v="evento Aprendizaje"/>
    <x v="3"/>
    <n v="1"/>
    <n v="20"/>
    <n v="2"/>
    <n v="40"/>
    <n v="8.8444178456767008E-4"/>
    <m/>
    <s v="Captura de valor"/>
    <m/>
    <s v="Si"/>
  </r>
  <r>
    <n v="161"/>
    <x v="1"/>
    <s v="Gestion Correo"/>
    <x v="6"/>
    <s v="Gestión correo personal"/>
    <x v="79"/>
    <x v="0"/>
    <s v="evento Aprendizaje"/>
    <x v="5"/>
    <n v="1"/>
    <n v="90"/>
    <n v="20"/>
    <n v="1800"/>
    <n v="3.9799880305545154E-2"/>
    <m/>
    <s v="Captura de valor"/>
    <m/>
    <s v="Si"/>
  </r>
  <r>
    <n v="162"/>
    <x v="1"/>
    <s v="Inglés corporativo"/>
    <x v="7"/>
    <s v="Logistica Inglés Corporativo"/>
    <x v="83"/>
    <x v="0"/>
    <s v="evento Aprendizaje"/>
    <x v="2"/>
    <n v="1"/>
    <n v="30"/>
    <n v="1"/>
    <n v="30"/>
    <n v="6.6333133842575256E-4"/>
    <m/>
    <s v="Captura de valor"/>
    <m/>
    <s v="Si"/>
  </r>
  <r>
    <n v="163"/>
    <x v="1"/>
    <s v="Inglés corporativo"/>
    <x v="7"/>
    <s v="Logistica Inglés Corporativo"/>
    <x v="85"/>
    <x v="1"/>
    <s v="evento Aprendizaje"/>
    <x v="2"/>
    <n v="1"/>
    <n v="60"/>
    <n v="1"/>
    <n v="60"/>
    <n v="1.3266626768515051E-3"/>
    <m/>
    <s v="Captura de valor"/>
    <m/>
    <s v="No"/>
  </r>
  <r>
    <n v="164"/>
    <x v="1"/>
    <s v="Inglés corporativo"/>
    <x v="18"/>
    <s v="Logistica Inglés Corporativo"/>
    <x v="86"/>
    <x v="0"/>
    <s v="evento Aprendizaje"/>
    <x v="2"/>
    <n v="1"/>
    <n v="20"/>
    <n v="1"/>
    <n v="20"/>
    <n v="4.4222089228383504E-4"/>
    <m/>
    <s v="Captura de valor"/>
    <m/>
    <s v="Si"/>
  </r>
  <r>
    <n v="165"/>
    <x v="1"/>
    <s v="Inglés corporativo"/>
    <x v="18"/>
    <s v="Logistica Inglés Corporativo"/>
    <x v="92"/>
    <x v="0"/>
    <s v="evento Aprendizaje"/>
    <x v="2"/>
    <n v="1"/>
    <n v="30"/>
    <n v="1"/>
    <n v="30"/>
    <n v="6.6333133842575256E-4"/>
    <m/>
    <s v="Captura de valor"/>
    <m/>
    <s v="Si"/>
  </r>
  <r>
    <n v="166"/>
    <x v="1"/>
    <s v="Materiales DOYS"/>
    <x v="19"/>
    <s v="Custodia papeleria DOYS"/>
    <x v="110"/>
    <x v="0"/>
    <s v="evento Aprendizaje"/>
    <x v="2"/>
    <n v="1"/>
    <n v="30"/>
    <n v="1"/>
    <n v="30"/>
    <n v="6.6333133842575256E-4"/>
    <m/>
    <s v="Captura de valor"/>
    <m/>
    <s v="Si"/>
  </r>
  <r>
    <n v="167"/>
    <x v="1"/>
    <s v="Materiales DOYS"/>
    <x v="19"/>
    <s v="Custodia papeleria DOYS"/>
    <x v="95"/>
    <x v="1"/>
    <s v="evento Aprendizaje"/>
    <x v="2"/>
    <n v="1"/>
    <n v="30"/>
    <n v="1"/>
    <n v="30"/>
    <n v="6.6333133842575256E-4"/>
    <m/>
    <s v="Captura de valor"/>
    <m/>
    <s v="Si"/>
  </r>
  <r>
    <n v="168"/>
    <x v="1"/>
    <s v="Materiales DOYS"/>
    <x v="19"/>
    <s v="Custodia papeleria DOYS"/>
    <x v="96"/>
    <x v="0"/>
    <s v="evento Aprendizaje"/>
    <x v="6"/>
    <n v="1"/>
    <n v="120"/>
    <n v="0.5"/>
    <n v="60"/>
    <n v="1.3266626768515051E-3"/>
    <m/>
    <s v="Captura de valor"/>
    <m/>
    <s v="Si"/>
  </r>
  <r>
    <n v="169"/>
    <x v="1"/>
    <s v="Materiales DOYS"/>
    <x v="19"/>
    <s v="Custodia papeleria DOYS"/>
    <x v="97"/>
    <x v="0"/>
    <s v="evento Aprendizaje"/>
    <x v="5"/>
    <n v="1"/>
    <n v="20"/>
    <n v="20"/>
    <n v="400"/>
    <n v="8.8444178456767008E-3"/>
    <m/>
    <s v="Captura de valor"/>
    <m/>
    <s v="Si"/>
  </r>
  <r>
    <n v="170"/>
    <x v="1"/>
    <s v="Necesidades de formación"/>
    <x v="17"/>
    <s v="Explorar el mercado con las ofertas de formación"/>
    <x v="101"/>
    <x v="2"/>
    <s v="evento Aprendizaje"/>
    <x v="0"/>
    <n v="1"/>
    <n v="45"/>
    <n v="4.3"/>
    <n v="193.5"/>
    <n v="4.278487132846104E-3"/>
    <m/>
    <s v="Creación de valor"/>
    <m/>
    <s v="Si"/>
  </r>
  <r>
    <n v="171"/>
    <x v="1"/>
    <s v="Necesidades de formación"/>
    <x v="17"/>
    <s v="Explorar el mercado con las ofertas de formación"/>
    <x v="102"/>
    <x v="0"/>
    <s v="evento Aprendizaje"/>
    <x v="0"/>
    <n v="1"/>
    <n v="30"/>
    <n v="4.3"/>
    <n v="129"/>
    <n v="2.8523247552307359E-3"/>
    <m/>
    <s v="Creación de valor"/>
    <m/>
    <s v="Si"/>
  </r>
  <r>
    <n v="172"/>
    <x v="1"/>
    <s v="Necesidades de formación"/>
    <x v="17"/>
    <s v="Explorar el mercado con las ofertas de formación"/>
    <x v="103"/>
    <x v="2"/>
    <s v="evento Aprendizaje"/>
    <x v="0"/>
    <n v="1"/>
    <n v="40"/>
    <n v="4.3"/>
    <n v="172"/>
    <n v="3.803099673640981E-3"/>
    <m/>
    <s v="Creación de valor"/>
    <m/>
    <s v="Si"/>
  </r>
  <r>
    <n v="173"/>
    <x v="1"/>
    <s v="Reuniones"/>
    <x v="20"/>
    <s v="Reuniones"/>
    <x v="104"/>
    <x v="0"/>
    <s v="evento Aprendizaje"/>
    <x v="0"/>
    <n v="1"/>
    <n v="60"/>
    <n v="4.3"/>
    <n v="258"/>
    <n v="5.7046495104614717E-3"/>
    <m/>
    <s v="Captura de valor"/>
    <m/>
    <s v="No"/>
  </r>
  <r>
    <n v="174"/>
    <x v="1"/>
    <s v="Gestion Teams"/>
    <x v="6"/>
    <s v="Gestión Teams"/>
    <x v="105"/>
    <x v="0"/>
    <s v="evento Aprendizaje"/>
    <x v="5"/>
    <n v="1"/>
    <n v="90"/>
    <n v="20"/>
    <n v="1800"/>
    <n v="3.9799880305545154E-2"/>
    <m/>
    <s v="Captura de valor"/>
    <m/>
    <s v="No"/>
  </r>
  <r>
    <n v="175"/>
    <x v="1"/>
    <s v="Ritual fin de año"/>
    <x v="21"/>
    <s v="Apoyo logístico en actividades de fin de año"/>
    <x v="106"/>
    <x v="0"/>
    <s v="evento Aprendizaje"/>
    <x v="1"/>
    <n v="1"/>
    <n v="480"/>
    <n v="8.3333333333333329E-2"/>
    <n v="40"/>
    <n v="8.8444178456767008E-4"/>
    <m/>
    <s v="Captura de valor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3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compact="0" compactData="0" multipleFieldFilters="0">
  <location ref="A38:C43" firstHeaderRow="0" firstDataRow="1" firstDataCol="1"/>
  <pivotFields count="18">
    <pivotField compact="0" numFmtId="1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dataField="1" compact="0" outline="0" showAll="0">
      <items count="6">
        <item sd="0" x="3"/>
        <item sd="0" x="0"/>
        <item sd="0" x="2"/>
        <item sd="0" x="1"/>
        <item sd="0" m="1" x="4"/>
        <item t="default"/>
      </items>
    </pivotField>
    <pivotField compact="0" outline="0" showAll="0"/>
    <pivotField compact="0" outline="0" showAll="0"/>
    <pivotField compact="0" outline="0" showAll="0"/>
    <pivotField compact="0" numFmtId="1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6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Ciclo PHVA" fld="6" subtotal="count" baseField="0" baseItem="0"/>
    <dataField name="Cuenta de Ciclo PHVA2" fld="6" subtotal="count" showDataAs="percentOfTotal" baseField="6" baseItem="0" numFmtId="10"/>
  </dataFields>
  <formats count="2">
    <format dxfId="5">
      <pivotArea outline="0" collapsedLevelsAreSubtotals="1" fieldPosition="0"/>
    </format>
    <format dxfId="4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compact="0" compactData="0" multipleFieldFilters="0">
  <location ref="A3:B26" firstHeaderRow="1" firstDataRow="1" firstDataCol="1"/>
  <pivotFields count="18">
    <pivotField compact="0" numFmtId="1" outline="0" showAll="0"/>
    <pivotField compact="0" outline="0" showAll="0"/>
    <pivotField compact="0" outline="0"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howAll="0" sortType="descending">
      <items count="24">
        <item x="13"/>
        <item x="18"/>
        <item x="21"/>
        <item x="14"/>
        <item x="17"/>
        <item x="5"/>
        <item x="7"/>
        <item x="10"/>
        <item x="6"/>
        <item x="3"/>
        <item x="15"/>
        <item x="11"/>
        <item x="9"/>
        <item x="2"/>
        <item x="16"/>
        <item x="19"/>
        <item x="4"/>
        <item x="12"/>
        <item m="1" x="22"/>
        <item x="8"/>
        <item x="20"/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compact="0" outline="0" showAll="0"/>
    <pivotField compact="0" outline="0" showAll="0"/>
    <pivotField compact="0" numFmtId="1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3"/>
  </rowFields>
  <rowItems count="23">
    <i>
      <x v="8"/>
    </i>
    <i>
      <x/>
    </i>
    <i>
      <x v="22"/>
    </i>
    <i>
      <x v="11"/>
    </i>
    <i>
      <x v="19"/>
    </i>
    <i>
      <x v="16"/>
    </i>
    <i>
      <x v="5"/>
    </i>
    <i>
      <x v="13"/>
    </i>
    <i>
      <x v="17"/>
    </i>
    <i>
      <x v="4"/>
    </i>
    <i>
      <x v="7"/>
    </i>
    <i>
      <x v="6"/>
    </i>
    <i>
      <x v="9"/>
    </i>
    <i>
      <x v="20"/>
    </i>
    <i>
      <x v="21"/>
    </i>
    <i>
      <x v="15"/>
    </i>
    <i>
      <x v="3"/>
    </i>
    <i>
      <x v="14"/>
    </i>
    <i>
      <x v="12"/>
    </i>
    <i>
      <x v="2"/>
    </i>
    <i>
      <x v="10"/>
    </i>
    <i>
      <x v="1"/>
    </i>
    <i t="grand">
      <x/>
    </i>
  </rowItems>
  <colItems count="1">
    <i/>
  </colItems>
  <dataFields count="1">
    <dataField name=" Minutos Mes" fld="12" baseField="3" baseItem="8" numFmtId="167"/>
  </dataFields>
  <formats count="7">
    <format dxfId="12">
      <pivotArea outline="0" collapsedLevelsAreSubtotals="1" fieldPosition="0"/>
    </format>
    <format dxfId="11">
      <pivotArea dataOnly="0" labelOnly="1" outline="0" fieldPosition="0">
        <references count="1">
          <reference field="3" count="1">
            <x v="8"/>
          </reference>
        </references>
      </pivotArea>
    </format>
    <format dxfId="10">
      <pivotArea dataOnly="0" labelOnly="1" outline="0" fieldPosition="0">
        <references count="1">
          <reference field="3" count="1">
            <x v="18"/>
          </reference>
        </references>
      </pivotArea>
    </format>
    <format dxfId="9">
      <pivotArea dataOnly="0" labelOnly="1" outline="0" fieldPosition="0">
        <references count="1">
          <reference field="3" count="1">
            <x v="19"/>
          </reference>
        </references>
      </pivotArea>
    </format>
    <format dxfId="8">
      <pivotArea dataOnly="0" labelOnly="1" outline="0" fieldPosition="0">
        <references count="1">
          <reference field="3" count="2">
            <x v="5"/>
            <x v="13"/>
          </reference>
        </references>
      </pivotArea>
    </format>
    <format dxfId="7">
      <pivotArea dataOnly="0" labelOnly="1" outline="0" fieldPosition="0">
        <references count="1">
          <reference field="3" count="1">
            <x v="9"/>
          </reference>
        </references>
      </pivotArea>
    </format>
    <format dxfId="6">
      <pivotArea dataOnly="0" labelOnly="1" outline="0" fieldPosition="0">
        <references count="1">
          <reference field="3" count="1">
            <x v="2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compact="0" compactData="0" multipleFieldFilters="0">
  <location ref="A3:B115" firstHeaderRow="1" firstDataRow="1" firstDataCol="1"/>
  <pivotFields count="18">
    <pivotField compact="0" numFmtId="1" outline="0" showAll="0"/>
    <pivotField compact="0" outline="0" showAll="0"/>
    <pivotField compact="0" outline="0"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howAll="0" sortType="descending">
      <items count="117">
        <item x="48"/>
        <item x="49"/>
        <item x="34"/>
        <item x="31"/>
        <item x="23"/>
        <item x="20"/>
        <item x="106"/>
        <item x="57"/>
        <item x="38"/>
        <item x="47"/>
        <item x="25"/>
        <item x="32"/>
        <item x="80"/>
        <item x="45"/>
        <item x="13"/>
        <item x="4"/>
        <item x="42"/>
        <item x="109"/>
        <item x="5"/>
        <item x="6"/>
        <item x="105"/>
        <item x="79"/>
        <item x="101"/>
        <item x="71"/>
        <item x="15"/>
        <item x="27"/>
        <item x="83"/>
        <item x="102"/>
        <item x="3"/>
        <item m="1" x="115"/>
        <item x="44"/>
        <item x="75"/>
        <item x="30"/>
        <item x="60"/>
        <item x="67"/>
        <item x="88"/>
        <item x="86"/>
        <item x="72"/>
        <item x="77"/>
        <item x="53"/>
        <item x="21"/>
        <item x="89"/>
        <item x="43"/>
        <item x="61"/>
        <item x="69"/>
        <item x="64"/>
        <item x="2"/>
        <item x="93"/>
        <item x="84"/>
        <item m="1" x="114"/>
        <item x="78"/>
        <item x="68"/>
        <item x="17"/>
        <item x="41"/>
        <item x="18"/>
        <item m="1" x="113"/>
        <item x="87"/>
        <item x="92"/>
        <item x="97"/>
        <item x="40"/>
        <item x="0"/>
        <item x="46"/>
        <item x="12"/>
        <item x="10"/>
        <item x="63"/>
        <item x="73"/>
        <item x="50"/>
        <item x="90"/>
        <item x="103"/>
        <item x="14"/>
        <item x="59"/>
        <item x="96"/>
        <item x="29"/>
        <item x="9"/>
        <item x="100"/>
        <item x="16"/>
        <item m="1" x="112"/>
        <item x="11"/>
        <item x="37"/>
        <item x="81"/>
        <item x="36"/>
        <item x="94"/>
        <item x="98"/>
        <item x="74"/>
        <item x="24"/>
        <item x="39"/>
        <item x="66"/>
        <item x="56"/>
        <item x="95"/>
        <item x="8"/>
        <item x="54"/>
        <item x="7"/>
        <item x="55"/>
        <item x="22"/>
        <item x="19"/>
        <item x="91"/>
        <item x="104"/>
        <item x="58"/>
        <item x="99"/>
        <item x="76"/>
        <item x="65"/>
        <item x="62"/>
        <item x="1"/>
        <item x="85"/>
        <item x="52"/>
        <item x="70"/>
        <item x="51"/>
        <item x="26"/>
        <item x="35"/>
        <item x="33"/>
        <item x="28"/>
        <item x="107"/>
        <item x="108"/>
        <item x="110"/>
        <item m="1" x="111"/>
        <item x="8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compact="0" outline="0" showAll="0"/>
    <pivotField compact="0" outline="0" showAll="0"/>
    <pivotField compact="0" numFmtId="1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5"/>
  </rowFields>
  <rowItems count="112">
    <i>
      <x v="93"/>
    </i>
    <i>
      <x v="20"/>
    </i>
    <i>
      <x v="21"/>
    </i>
    <i>
      <x v="52"/>
    </i>
    <i>
      <x v="1"/>
    </i>
    <i>
      <x/>
    </i>
    <i>
      <x v="91"/>
    </i>
    <i>
      <x v="5"/>
    </i>
    <i>
      <x v="111"/>
    </i>
    <i>
      <x v="86"/>
    </i>
    <i>
      <x v="75"/>
    </i>
    <i>
      <x v="89"/>
    </i>
    <i>
      <x v="34"/>
    </i>
    <i>
      <x v="96"/>
    </i>
    <i>
      <x v="59"/>
    </i>
    <i>
      <x v="44"/>
    </i>
    <i>
      <x v="94"/>
    </i>
    <i>
      <x v="11"/>
    </i>
    <i>
      <x v="51"/>
    </i>
    <i>
      <x v="4"/>
    </i>
    <i>
      <x v="58"/>
    </i>
    <i>
      <x v="92"/>
    </i>
    <i>
      <x v="90"/>
    </i>
    <i>
      <x v="108"/>
    </i>
    <i>
      <x v="10"/>
    </i>
    <i>
      <x v="102"/>
    </i>
    <i>
      <x v="3"/>
    </i>
    <i>
      <x v="85"/>
    </i>
    <i>
      <x v="32"/>
    </i>
    <i>
      <x v="69"/>
    </i>
    <i>
      <x v="54"/>
    </i>
    <i>
      <x v="53"/>
    </i>
    <i>
      <x v="77"/>
    </i>
    <i>
      <x v="22"/>
    </i>
    <i>
      <x v="72"/>
    </i>
    <i>
      <x v="99"/>
    </i>
    <i>
      <x v="68"/>
    </i>
    <i>
      <x v="97"/>
    </i>
    <i>
      <x v="13"/>
    </i>
    <i>
      <x v="84"/>
    </i>
    <i>
      <x v="33"/>
    </i>
    <i>
      <x v="87"/>
    </i>
    <i>
      <x v="25"/>
    </i>
    <i>
      <x v="112"/>
    </i>
    <i>
      <x v="8"/>
    </i>
    <i>
      <x v="78"/>
    </i>
    <i>
      <x v="83"/>
    </i>
    <i>
      <x v="60"/>
    </i>
    <i>
      <x v="19"/>
    </i>
    <i>
      <x v="40"/>
    </i>
    <i>
      <x v="23"/>
    </i>
    <i>
      <x v="65"/>
    </i>
    <i>
      <x v="27"/>
    </i>
    <i>
      <x v="61"/>
    </i>
    <i>
      <x v="9"/>
    </i>
    <i>
      <x v="39"/>
    </i>
    <i>
      <x v="30"/>
    </i>
    <i>
      <x v="47"/>
    </i>
    <i>
      <x v="17"/>
    </i>
    <i>
      <x v="110"/>
    </i>
    <i>
      <x v="101"/>
    </i>
    <i>
      <x v="6"/>
    </i>
    <i>
      <x v="104"/>
    </i>
    <i>
      <x v="106"/>
    </i>
    <i>
      <x v="66"/>
    </i>
    <i>
      <x v="31"/>
    </i>
    <i>
      <x v="37"/>
    </i>
    <i>
      <x v="63"/>
    </i>
    <i>
      <x v="16"/>
    </i>
    <i>
      <x v="70"/>
    </i>
    <i>
      <x v="71"/>
    </i>
    <i>
      <x v="103"/>
    </i>
    <i>
      <x v="42"/>
    </i>
    <i>
      <x v="2"/>
    </i>
    <i>
      <x v="50"/>
    </i>
    <i>
      <x v="64"/>
    </i>
    <i>
      <x v="57"/>
    </i>
    <i>
      <x v="80"/>
    </i>
    <i>
      <x v="107"/>
    </i>
    <i>
      <x v="46"/>
    </i>
    <i>
      <x v="24"/>
    </i>
    <i>
      <x v="14"/>
    </i>
    <i>
      <x v="88"/>
    </i>
    <i>
      <x v="105"/>
    </i>
    <i>
      <x v="95"/>
    </i>
    <i>
      <x v="67"/>
    </i>
    <i>
      <x v="15"/>
    </i>
    <i>
      <x v="18"/>
    </i>
    <i>
      <x v="98"/>
    </i>
    <i>
      <x v="82"/>
    </i>
    <i>
      <x v="26"/>
    </i>
    <i>
      <x v="7"/>
    </i>
    <i>
      <x v="48"/>
    </i>
    <i>
      <x v="36"/>
    </i>
    <i>
      <x v="113"/>
    </i>
    <i>
      <x v="109"/>
    </i>
    <i>
      <x v="38"/>
    </i>
    <i>
      <x v="45"/>
    </i>
    <i>
      <x v="100"/>
    </i>
    <i>
      <x v="62"/>
    </i>
    <i>
      <x v="81"/>
    </i>
    <i>
      <x v="41"/>
    </i>
    <i>
      <x v="74"/>
    </i>
    <i>
      <x v="28"/>
    </i>
    <i>
      <x v="73"/>
    </i>
    <i>
      <x v="12"/>
    </i>
    <i>
      <x v="56"/>
    </i>
    <i>
      <x v="35"/>
    </i>
    <i>
      <x v="79"/>
    </i>
    <i>
      <x v="43"/>
    </i>
    <i>
      <x v="115"/>
    </i>
    <i t="grand">
      <x/>
    </i>
  </rowItems>
  <colItems count="1">
    <i/>
  </colItems>
  <dataFields count="1">
    <dataField name="Suma de Minutos Mes" fld="12" baseField="1" baseItem="0" numFmtId="167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aDinámica4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compact="0" compactData="0" multipleFieldFilters="0" chartFormat="12">
  <location ref="F3:H22" firstHeaderRow="1" firstDataRow="1" firstDataCol="2"/>
  <pivotFields count="18">
    <pivotField compact="0" numFmtId="1" outline="0" showAll="0" defaultSubtotal="0"/>
    <pivotField compact="0" outline="0" showAll="0" defaultSubtotal="0">
      <items count="5">
        <item sd="0" m="1" x="3"/>
        <item sd="0" m="1" x="4"/>
        <item m="1" x="2"/>
        <item sd="0" x="0"/>
        <item sd="0" x="1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116">
        <item x="48"/>
        <item x="49"/>
        <item x="34"/>
        <item x="31"/>
        <item x="23"/>
        <item x="20"/>
        <item x="106"/>
        <item x="57"/>
        <item x="38"/>
        <item x="47"/>
        <item x="25"/>
        <item x="32"/>
        <item x="80"/>
        <item x="45"/>
        <item x="13"/>
        <item x="4"/>
        <item x="42"/>
        <item x="109"/>
        <item x="5"/>
        <item x="6"/>
        <item x="105"/>
        <item x="79"/>
        <item x="101"/>
        <item x="71"/>
        <item x="15"/>
        <item x="27"/>
        <item x="83"/>
        <item x="102"/>
        <item x="3"/>
        <item m="1" x="115"/>
        <item x="44"/>
        <item x="75"/>
        <item x="30"/>
        <item x="60"/>
        <item x="67"/>
        <item x="88"/>
        <item x="86"/>
        <item x="72"/>
        <item x="77"/>
        <item x="53"/>
        <item x="21"/>
        <item x="89"/>
        <item x="43"/>
        <item x="61"/>
        <item x="69"/>
        <item x="64"/>
        <item x="2"/>
        <item x="93"/>
        <item x="84"/>
        <item m="1" x="114"/>
        <item x="78"/>
        <item x="68"/>
        <item x="17"/>
        <item x="41"/>
        <item x="18"/>
        <item m="1" x="113"/>
        <item x="87"/>
        <item x="92"/>
        <item x="97"/>
        <item x="40"/>
        <item x="0"/>
        <item x="46"/>
        <item x="12"/>
        <item x="10"/>
        <item x="63"/>
        <item x="73"/>
        <item x="50"/>
        <item x="90"/>
        <item x="103"/>
        <item x="14"/>
        <item x="59"/>
        <item x="96"/>
        <item x="29"/>
        <item x="9"/>
        <item x="100"/>
        <item x="16"/>
        <item m="1" x="112"/>
        <item x="11"/>
        <item x="37"/>
        <item x="81"/>
        <item x="36"/>
        <item x="94"/>
        <item x="98"/>
        <item x="74"/>
        <item x="24"/>
        <item x="39"/>
        <item x="66"/>
        <item x="56"/>
        <item x="95"/>
        <item x="8"/>
        <item x="54"/>
        <item x="7"/>
        <item x="55"/>
        <item x="22"/>
        <item x="19"/>
        <item x="91"/>
        <item x="104"/>
        <item x="58"/>
        <item x="99"/>
        <item x="76"/>
        <item x="65"/>
        <item x="62"/>
        <item x="1"/>
        <item x="85"/>
        <item x="52"/>
        <item x="70"/>
        <item x="51"/>
        <item x="26"/>
        <item x="35"/>
        <item x="33"/>
        <item x="28"/>
        <item x="107"/>
        <item x="108"/>
        <item x="110"/>
        <item m="1" x="111"/>
        <item x="82"/>
      </items>
    </pivotField>
    <pivotField axis="axisRow" compact="0" outline="0" showAll="0" defaultSubtotal="0">
      <items count="5">
        <item x="3"/>
        <item x="0"/>
        <item x="2"/>
        <item x="1"/>
        <item m="1" x="4"/>
      </items>
    </pivotField>
    <pivotField compact="0" outline="0" showAll="0" defaultSubtotal="0"/>
    <pivotField axis="axisRow" compact="0" outline="0" showAll="0" defaultSubtotal="0">
      <items count="8">
        <item x="1"/>
        <item x="6"/>
        <item x="5"/>
        <item x="2"/>
        <item x="3"/>
        <item x="0"/>
        <item x="4"/>
        <item x="7"/>
      </items>
    </pivotField>
    <pivotField compact="0" outline="0" showAll="0" defaultSubtotal="0"/>
    <pivotField compact="0" numFmtId="1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6"/>
    <field x="8"/>
  </rowFields>
  <rowItems count="19">
    <i>
      <x/>
      <x v="1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2"/>
      <x/>
    </i>
    <i r="1">
      <x v="3"/>
    </i>
    <i r="1">
      <x v="4"/>
    </i>
    <i r="1">
      <x v="5"/>
    </i>
    <i r="1">
      <x v="7"/>
    </i>
    <i>
      <x v="3"/>
      <x v="2"/>
    </i>
    <i r="1">
      <x v="3"/>
    </i>
    <i r="1">
      <x v="4"/>
    </i>
    <i r="1">
      <x v="5"/>
    </i>
    <i t="grand">
      <x/>
    </i>
  </rowItems>
  <colItems count="1">
    <i/>
  </colItems>
  <dataFields count="1">
    <dataField name="Suma de Minutos Mes" fld="12" baseField="0" baseItem="0"/>
  </dataFields>
  <formats count="1">
    <format dxfId="0">
      <pivotArea outline="0" collapsedLevelsAreSubtotals="1" fieldPosition="0"/>
    </format>
  </formats>
  <chartFormats count="2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compact="0" compactData="0" multipleFieldFilters="0">
  <location ref="A3:C6" firstHeaderRow="1" firstDataRow="1" firstDataCol="2"/>
  <pivotFields count="18">
    <pivotField compact="0" numFmtId="1" outline="0" showAll="0"/>
    <pivotField axis="axisRow" compact="0" outline="0" showAll="0">
      <items count="6">
        <item sd="0" m="1" x="3"/>
        <item sd="0" m="1" x="4"/>
        <item m="1" x="2"/>
        <item sd="0" x="0"/>
        <item sd="0" x="1"/>
        <item t="default"/>
      </items>
    </pivotField>
    <pivotField compact="0" outline="0"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howAll="0" sortType="descending">
      <items count="117">
        <item x="48"/>
        <item x="49"/>
        <item x="34"/>
        <item x="31"/>
        <item x="23"/>
        <item x="20"/>
        <item x="106"/>
        <item x="57"/>
        <item x="38"/>
        <item x="47"/>
        <item x="25"/>
        <item x="32"/>
        <item x="80"/>
        <item x="45"/>
        <item x="13"/>
        <item x="4"/>
        <item x="42"/>
        <item x="109"/>
        <item x="5"/>
        <item x="6"/>
        <item x="105"/>
        <item x="79"/>
        <item x="101"/>
        <item x="71"/>
        <item x="15"/>
        <item x="27"/>
        <item x="83"/>
        <item x="102"/>
        <item x="3"/>
        <item m="1" x="115"/>
        <item x="44"/>
        <item x="75"/>
        <item x="30"/>
        <item x="60"/>
        <item x="67"/>
        <item x="88"/>
        <item x="86"/>
        <item x="72"/>
        <item x="77"/>
        <item x="53"/>
        <item x="21"/>
        <item x="89"/>
        <item x="43"/>
        <item x="61"/>
        <item x="69"/>
        <item x="64"/>
        <item x="2"/>
        <item x="93"/>
        <item x="84"/>
        <item m="1" x="114"/>
        <item x="78"/>
        <item x="68"/>
        <item x="17"/>
        <item x="41"/>
        <item x="18"/>
        <item m="1" x="113"/>
        <item x="87"/>
        <item x="92"/>
        <item x="97"/>
        <item x="40"/>
        <item x="0"/>
        <item x="46"/>
        <item x="12"/>
        <item x="10"/>
        <item x="63"/>
        <item x="73"/>
        <item x="50"/>
        <item x="90"/>
        <item x="103"/>
        <item x="14"/>
        <item x="59"/>
        <item x="96"/>
        <item x="29"/>
        <item x="9"/>
        <item x="100"/>
        <item x="16"/>
        <item m="1" x="112"/>
        <item x="11"/>
        <item x="37"/>
        <item x="81"/>
        <item x="36"/>
        <item x="94"/>
        <item x="98"/>
        <item x="74"/>
        <item x="24"/>
        <item x="39"/>
        <item x="66"/>
        <item x="56"/>
        <item x="95"/>
        <item x="8"/>
        <item x="54"/>
        <item x="7"/>
        <item x="55"/>
        <item x="22"/>
        <item x="19"/>
        <item x="91"/>
        <item x="104"/>
        <item x="58"/>
        <item x="99"/>
        <item x="76"/>
        <item x="65"/>
        <item x="62"/>
        <item x="1"/>
        <item x="85"/>
        <item x="52"/>
        <item x="70"/>
        <item x="51"/>
        <item x="26"/>
        <item x="35"/>
        <item x="33"/>
        <item x="28"/>
        <item x="107"/>
        <item x="108"/>
        <item x="110"/>
        <item m="1" x="111"/>
        <item x="8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compact="0" outline="0" showAll="0"/>
    <pivotField compact="0" outline="0" showAll="0"/>
    <pivotField compact="0" numFmtId="1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2">
    <field x="1"/>
    <field x="5"/>
  </rowFields>
  <rowItems count="3">
    <i>
      <x v="3"/>
    </i>
    <i>
      <x v="4"/>
    </i>
    <i t="grand">
      <x/>
    </i>
  </rowItems>
  <colItems count="1">
    <i/>
  </colItems>
  <dataFields count="1">
    <dataField name="Suma de Minutos Mes" fld="12" baseField="1" baseItem="0" numFmtId="167"/>
  </dataFields>
  <formats count="2">
    <format dxfId="2">
      <pivotArea outline="0" collapsedLevelsAreSubtotals="1" fieldPosition="0"/>
    </format>
    <format dxfId="1">
      <pivotArea collapsedLevelsAreSubtotals="1" fieldPosition="0">
        <references count="2">
          <reference field="1" count="1" selected="0">
            <x v="1"/>
          </reference>
          <reference field="5" count="1">
            <x v="9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iclo_PHVA" sourceName="Ciclo PHVA">
  <pivotTables>
    <pivotTable tabId="26" name="TablaDinámica4"/>
  </pivotTables>
  <data>
    <tabular pivotCacheId="1725642205">
      <items count="5">
        <i x="3" s="1"/>
        <i x="0" s="1"/>
        <i x="2" s="1"/>
        <i x="1" s="1"/>
        <i x="4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Ciclo PHVA" cache="SegmentaciónDeDatos_Ciclo_PHVA" caption="Ciclo PHVA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5" Type="http://schemas.microsoft.com/office/2007/relationships/slicer" Target="../slicers/slicer1.xml"/><Relationship Id="rId4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W238"/>
  <sheetViews>
    <sheetView showGridLines="0" tabSelected="1" zoomScale="70" zoomScaleNormal="70" workbookViewId="0">
      <selection activeCell="F4" sqref="F4"/>
    </sheetView>
  </sheetViews>
  <sheetFormatPr baseColWidth="10" defaultColWidth="10.85546875" defaultRowHeight="15" x14ac:dyDescent="0.25"/>
  <cols>
    <col min="1" max="1" width="5.5703125" style="6" customWidth="1"/>
    <col min="2" max="2" width="11.28515625" style="6" customWidth="1"/>
    <col min="3" max="3" width="34.140625" style="8" customWidth="1"/>
    <col min="4" max="4" width="49.7109375" style="8" customWidth="1"/>
    <col min="5" max="5" width="36.140625" style="8" customWidth="1"/>
    <col min="6" max="6" width="45.85546875" style="9" customWidth="1"/>
    <col min="7" max="7" width="15.140625" bestFit="1" customWidth="1"/>
    <col min="8" max="8" width="17.5703125" style="6" customWidth="1"/>
    <col min="9" max="9" width="21.140625" style="6" bestFit="1" customWidth="1"/>
    <col min="10" max="10" width="8.7109375" style="6" customWidth="1"/>
    <col min="11" max="11" width="17.140625" style="6" customWidth="1"/>
    <col min="12" max="12" width="11.140625" style="10" customWidth="1"/>
    <col min="13" max="13" width="21.85546875" style="10" customWidth="1"/>
    <col min="14" max="14" width="8.85546875" style="10" customWidth="1"/>
    <col min="15" max="15" width="21.42578125" style="9" customWidth="1"/>
    <col min="16" max="16" width="30" style="10" bestFit="1" customWidth="1"/>
    <col min="17" max="17" width="28" style="10" customWidth="1"/>
    <col min="18" max="18" width="30" style="10" customWidth="1"/>
    <col min="19" max="21" width="11" style="10" customWidth="1"/>
    <col min="22" max="16384" width="10.85546875" style="10"/>
  </cols>
  <sheetData>
    <row r="1" spans="1:23" x14ac:dyDescent="0.25">
      <c r="H1" s="2"/>
      <c r="I1" s="2"/>
      <c r="J1" s="2"/>
    </row>
    <row r="2" spans="1:23" ht="33" customHeight="1" x14ac:dyDescent="0.25">
      <c r="A2"/>
      <c r="B2"/>
      <c r="G2" s="93"/>
      <c r="H2" s="2"/>
      <c r="I2" s="10"/>
      <c r="K2" s="148" t="s">
        <v>0</v>
      </c>
      <c r="L2" s="97"/>
      <c r="M2" s="70" t="s">
        <v>21</v>
      </c>
      <c r="N2" s="72" t="s">
        <v>71</v>
      </c>
      <c r="O2" s="37"/>
    </row>
    <row r="3" spans="1:23" ht="13.5" customHeight="1" x14ac:dyDescent="0.25">
      <c r="C3" s="1" t="s">
        <v>1</v>
      </c>
      <c r="D3" s="54" t="s">
        <v>72</v>
      </c>
      <c r="E3" s="2"/>
      <c r="G3" s="91" t="s">
        <v>261</v>
      </c>
      <c r="H3" s="91" t="s">
        <v>2</v>
      </c>
      <c r="I3" s="52" t="s">
        <v>3</v>
      </c>
      <c r="J3" s="147" t="s">
        <v>4</v>
      </c>
      <c r="K3" s="149">
        <f>H10*5*4.3</f>
        <v>155.24999999999997</v>
      </c>
      <c r="M3" s="61" t="s">
        <v>60</v>
      </c>
      <c r="N3" s="71">
        <v>20</v>
      </c>
      <c r="O3" s="10"/>
    </row>
    <row r="4" spans="1:23" x14ac:dyDescent="0.25">
      <c r="C4" s="6"/>
      <c r="D4" s="57"/>
      <c r="E4" s="2"/>
      <c r="F4" s="2"/>
      <c r="G4" t="s">
        <v>5</v>
      </c>
      <c r="H4" s="73">
        <v>9</v>
      </c>
      <c r="I4" s="12">
        <f>H4*5*4.3</f>
        <v>193.5</v>
      </c>
      <c r="J4" s="13">
        <f>(I4*12)/9</f>
        <v>258</v>
      </c>
      <c r="M4" s="61" t="s">
        <v>59</v>
      </c>
      <c r="N4" s="71">
        <v>4.3</v>
      </c>
      <c r="O4" s="10"/>
    </row>
    <row r="5" spans="1:23" x14ac:dyDescent="0.25">
      <c r="C5" s="1" t="s">
        <v>6</v>
      </c>
      <c r="D5" s="55">
        <v>44864</v>
      </c>
      <c r="E5" s="2"/>
      <c r="F5" s="2"/>
      <c r="G5" t="s">
        <v>7</v>
      </c>
      <c r="H5" s="5">
        <f>+(I5/4.3)/5</f>
        <v>1.937984496124031E-2</v>
      </c>
      <c r="I5" s="12">
        <f>+J5/12</f>
        <v>0.41666666666666669</v>
      </c>
      <c r="J5" s="53">
        <v>5</v>
      </c>
      <c r="K5" s="10"/>
      <c r="M5" s="61" t="s">
        <v>58</v>
      </c>
      <c r="N5" s="71">
        <v>1.5</v>
      </c>
      <c r="O5" s="10"/>
    </row>
    <row r="6" spans="1:23" x14ac:dyDescent="0.25">
      <c r="C6" s="6"/>
      <c r="D6" s="57"/>
      <c r="E6" s="6"/>
      <c r="F6" s="6"/>
      <c r="G6" t="s">
        <v>8</v>
      </c>
      <c r="H6" s="5">
        <f>+(I6/4.3)/5</f>
        <v>1.937984496124031E-2</v>
      </c>
      <c r="I6" s="12">
        <f>+J6/12</f>
        <v>0.41666666666666669</v>
      </c>
      <c r="J6" s="53">
        <v>5</v>
      </c>
      <c r="K6" s="10"/>
      <c r="M6" s="61" t="s">
        <v>57</v>
      </c>
      <c r="N6" s="71">
        <v>2</v>
      </c>
      <c r="O6" s="10"/>
    </row>
    <row r="7" spans="1:23" x14ac:dyDescent="0.25">
      <c r="C7" s="1" t="s">
        <v>9</v>
      </c>
      <c r="D7" s="54" t="s">
        <v>250</v>
      </c>
      <c r="E7" s="6"/>
      <c r="F7" s="6"/>
      <c r="G7" t="s">
        <v>10</v>
      </c>
      <c r="H7" s="5">
        <f>+(I7/4.3)/5</f>
        <v>5.8139534883720936E-2</v>
      </c>
      <c r="I7" s="12">
        <f>+J7/12</f>
        <v>1.25</v>
      </c>
      <c r="J7" s="53">
        <v>15</v>
      </c>
      <c r="K7" s="10"/>
      <c r="M7" s="98" t="s">
        <v>56</v>
      </c>
      <c r="N7" s="99">
        <v>1</v>
      </c>
      <c r="O7" s="10"/>
    </row>
    <row r="8" spans="1:23" x14ac:dyDescent="0.25">
      <c r="C8" s="6"/>
      <c r="D8" s="57"/>
      <c r="E8" s="6"/>
      <c r="F8" s="6"/>
      <c r="G8" t="s">
        <v>11</v>
      </c>
      <c r="H8" s="5">
        <f>+(I8/4.3)/5</f>
        <v>3.1007751937984496E-2</v>
      </c>
      <c r="I8" s="12">
        <f>+J8/12</f>
        <v>0.66666666666666663</v>
      </c>
      <c r="J8" s="53">
        <v>8</v>
      </c>
      <c r="K8" s="10"/>
      <c r="M8" s="61" t="s">
        <v>54</v>
      </c>
      <c r="N8" s="71">
        <f>1/2</f>
        <v>0.5</v>
      </c>
      <c r="O8" s="10"/>
    </row>
    <row r="9" spans="1:23" x14ac:dyDescent="0.25">
      <c r="C9" s="1" t="s">
        <v>12</v>
      </c>
      <c r="D9" s="54" t="s">
        <v>72</v>
      </c>
      <c r="E9" s="6"/>
      <c r="F9" s="6"/>
      <c r="G9" t="s">
        <v>13</v>
      </c>
      <c r="H9" s="5">
        <f>+(I9/4.3)/5</f>
        <v>6.9767441860465115E-2</v>
      </c>
      <c r="I9" s="12">
        <f>+J9/12</f>
        <v>1.5</v>
      </c>
      <c r="J9" s="53">
        <v>18</v>
      </c>
      <c r="K9" s="10"/>
      <c r="M9" s="61" t="s">
        <v>52</v>
      </c>
      <c r="N9" s="71">
        <v>0.33333333333333331</v>
      </c>
      <c r="O9" s="10"/>
    </row>
    <row r="10" spans="1:23" x14ac:dyDescent="0.25">
      <c r="D10" s="9"/>
      <c r="E10" s="6"/>
      <c r="F10" s="6"/>
      <c r="G10" t="s">
        <v>14</v>
      </c>
      <c r="H10" s="12">
        <f>H4-(H4*(SUM(H5:H9)))</f>
        <v>7.220930232558139</v>
      </c>
      <c r="I10" s="12">
        <f>+H10*5*4.3</f>
        <v>155.24999999999997</v>
      </c>
      <c r="J10" s="13">
        <f>(I10*12)/9</f>
        <v>206.99999999999994</v>
      </c>
      <c r="K10" s="96"/>
      <c r="M10" s="61" t="s">
        <v>49</v>
      </c>
      <c r="N10" s="71">
        <v>0.16666666666666666</v>
      </c>
      <c r="O10" s="10"/>
    </row>
    <row r="11" spans="1:23" ht="15.75" x14ac:dyDescent="0.25">
      <c r="C11" s="1" t="s">
        <v>15</v>
      </c>
      <c r="D11" s="54" t="s">
        <v>249</v>
      </c>
      <c r="E11" s="6"/>
      <c r="F11" s="6"/>
      <c r="G11" t="s">
        <v>16</v>
      </c>
      <c r="H11" s="42">
        <f>H10/H4</f>
        <v>0.80232558139534882</v>
      </c>
      <c r="I11" s="14"/>
      <c r="J11" s="14"/>
      <c r="K11" s="10"/>
      <c r="M11" s="61" t="s">
        <v>46</v>
      </c>
      <c r="N11" s="71">
        <v>8.3333333333333329E-2</v>
      </c>
      <c r="O11" s="10"/>
    </row>
    <row r="12" spans="1:23" ht="15.75" x14ac:dyDescent="0.25">
      <c r="I12" s="4"/>
      <c r="J12" s="49"/>
      <c r="K12" s="14"/>
      <c r="L12" s="14"/>
    </row>
    <row r="13" spans="1:23" s="2" customFormat="1" x14ac:dyDescent="0.25">
      <c r="C13" s="15"/>
      <c r="D13" s="15"/>
      <c r="E13" s="15"/>
      <c r="F13" s="16"/>
      <c r="G13"/>
      <c r="O13" s="17"/>
      <c r="P13" s="11"/>
      <c r="Q13" s="11"/>
      <c r="R13" s="11"/>
      <c r="S13" s="11"/>
      <c r="T13" s="11"/>
      <c r="U13" s="11"/>
      <c r="V13" s="11"/>
      <c r="W13" s="11"/>
    </row>
    <row r="14" spans="1:23" s="2" customFormat="1" ht="49.5" customHeight="1" x14ac:dyDescent="0.25">
      <c r="A14" s="3" t="s">
        <v>17</v>
      </c>
      <c r="B14" s="3" t="s">
        <v>73</v>
      </c>
      <c r="C14" s="3" t="s">
        <v>12</v>
      </c>
      <c r="D14" s="3" t="s">
        <v>243</v>
      </c>
      <c r="E14" s="7" t="s">
        <v>18</v>
      </c>
      <c r="F14" s="92" t="s">
        <v>74</v>
      </c>
      <c r="G14" s="90" t="s">
        <v>19</v>
      </c>
      <c r="H14" s="46" t="s">
        <v>20</v>
      </c>
      <c r="I14" s="3" t="s">
        <v>21</v>
      </c>
      <c r="J14" s="3" t="s">
        <v>22</v>
      </c>
      <c r="K14" s="46" t="s">
        <v>255</v>
      </c>
      <c r="L14" s="50" t="s">
        <v>23</v>
      </c>
      <c r="M14" s="50" t="s">
        <v>24</v>
      </c>
      <c r="N14" s="51" t="s">
        <v>25</v>
      </c>
      <c r="O14" s="3" t="s">
        <v>26</v>
      </c>
      <c r="P14" s="46" t="s">
        <v>27</v>
      </c>
      <c r="Q14" s="46" t="s">
        <v>28</v>
      </c>
      <c r="R14" s="52" t="s">
        <v>29</v>
      </c>
      <c r="S14" s="1"/>
      <c r="T14" s="11"/>
      <c r="U14" s="11"/>
      <c r="V14" s="11"/>
      <c r="W14" s="11"/>
    </row>
    <row r="15" spans="1:23" s="29" customFormat="1" ht="28.5" x14ac:dyDescent="0.25">
      <c r="A15" s="34">
        <v>1</v>
      </c>
      <c r="B15" s="34" t="s">
        <v>259</v>
      </c>
      <c r="C15" s="62" t="s">
        <v>75</v>
      </c>
      <c r="D15" s="62" t="s">
        <v>253</v>
      </c>
      <c r="E15" s="62" t="s">
        <v>92</v>
      </c>
      <c r="F15" s="56" t="s">
        <v>109</v>
      </c>
      <c r="G15" s="88" t="s">
        <v>51</v>
      </c>
      <c r="H15" s="75" t="s">
        <v>258</v>
      </c>
      <c r="I15" s="38" t="s">
        <v>59</v>
      </c>
      <c r="J15" s="60">
        <v>2</v>
      </c>
      <c r="K15" s="60">
        <v>12</v>
      </c>
      <c r="L15" s="26">
        <f>IFERROR(VLOOKUP(I15,Combos!$A$2:$B$10,2,FALSE)*J15,"")</f>
        <v>8.6</v>
      </c>
      <c r="M15" s="26">
        <f>IFERROR(K15*L15,"")</f>
        <v>103.19999999999999</v>
      </c>
      <c r="N15" s="94">
        <f t="shared" ref="N15:N46" si="0">IFERROR(M15/$M$191,"")</f>
        <v>2.2818598041845885E-3</v>
      </c>
      <c r="O15" s="32"/>
      <c r="P15" s="33" t="s">
        <v>50</v>
      </c>
      <c r="Q15" s="47"/>
      <c r="R15" s="33" t="s">
        <v>64</v>
      </c>
      <c r="S15" s="24"/>
      <c r="T15" s="28"/>
      <c r="U15" s="28"/>
      <c r="V15" s="28"/>
      <c r="W15" s="28"/>
    </row>
    <row r="16" spans="1:23" s="30" customFormat="1" ht="28.5" x14ac:dyDescent="0.25">
      <c r="A16" s="25">
        <v>2</v>
      </c>
      <c r="B16" s="34" t="s">
        <v>259</v>
      </c>
      <c r="C16" s="62" t="s">
        <v>75</v>
      </c>
      <c r="D16" s="62" t="s">
        <v>253</v>
      </c>
      <c r="E16" s="62" t="s">
        <v>92</v>
      </c>
      <c r="F16" s="56" t="s">
        <v>110</v>
      </c>
      <c r="G16" s="88" t="s">
        <v>48</v>
      </c>
      <c r="H16" s="75" t="s">
        <v>258</v>
      </c>
      <c r="I16" s="38" t="s">
        <v>59</v>
      </c>
      <c r="J16" s="60">
        <v>2</v>
      </c>
      <c r="K16" s="60">
        <v>12</v>
      </c>
      <c r="L16" s="26">
        <f>IFERROR(VLOOKUP(I16,Combos!$A$2:$B$10,2,FALSE)*J16,"")</f>
        <v>8.6</v>
      </c>
      <c r="M16" s="26">
        <f t="shared" ref="M16:M46" si="1">IFERROR(K16*L16,"")</f>
        <v>103.19999999999999</v>
      </c>
      <c r="N16" s="94">
        <f t="shared" si="0"/>
        <v>2.2818598041845885E-3</v>
      </c>
      <c r="O16" s="27"/>
      <c r="P16" s="33" t="s">
        <v>50</v>
      </c>
      <c r="Q16" s="47"/>
      <c r="R16" s="33" t="s">
        <v>63</v>
      </c>
      <c r="S16" s="24"/>
      <c r="T16" s="28"/>
      <c r="U16" s="28"/>
      <c r="V16" s="28"/>
      <c r="W16" s="28"/>
    </row>
    <row r="17" spans="1:23" s="30" customFormat="1" ht="28.5" x14ac:dyDescent="0.25">
      <c r="A17" s="34">
        <v>3</v>
      </c>
      <c r="B17" s="34" t="s">
        <v>259</v>
      </c>
      <c r="C17" s="62" t="s">
        <v>75</v>
      </c>
      <c r="D17" s="62" t="s">
        <v>253</v>
      </c>
      <c r="E17" s="62" t="s">
        <v>92</v>
      </c>
      <c r="F17" s="56" t="s">
        <v>111</v>
      </c>
      <c r="G17" s="89" t="s">
        <v>51</v>
      </c>
      <c r="H17" s="75" t="s">
        <v>258</v>
      </c>
      <c r="I17" s="38" t="s">
        <v>46</v>
      </c>
      <c r="J17" s="60">
        <v>1</v>
      </c>
      <c r="K17" s="60">
        <v>480</v>
      </c>
      <c r="L17" s="26">
        <f>IFERROR(VLOOKUP(I17,Combos!$A$2:$B$10,2,FALSE)*J17,"")</f>
        <v>8.3333333333333329E-2</v>
      </c>
      <c r="M17" s="26">
        <f t="shared" si="1"/>
        <v>40</v>
      </c>
      <c r="N17" s="94">
        <f t="shared" si="0"/>
        <v>8.8444178456767008E-4</v>
      </c>
      <c r="O17" s="39"/>
      <c r="P17" s="33" t="s">
        <v>50</v>
      </c>
      <c r="Q17" s="47"/>
      <c r="R17" s="33" t="s">
        <v>64</v>
      </c>
      <c r="S17" s="24"/>
      <c r="T17" s="28"/>
      <c r="U17" s="28"/>
      <c r="V17" s="28"/>
      <c r="W17" s="28"/>
    </row>
    <row r="18" spans="1:23" s="30" customFormat="1" ht="42.75" x14ac:dyDescent="0.25">
      <c r="A18" s="25">
        <v>4</v>
      </c>
      <c r="B18" s="34" t="s">
        <v>259</v>
      </c>
      <c r="C18" s="62" t="s">
        <v>75</v>
      </c>
      <c r="D18" s="62" t="s">
        <v>229</v>
      </c>
      <c r="E18" s="62" t="s">
        <v>92</v>
      </c>
      <c r="F18" s="56" t="s">
        <v>112</v>
      </c>
      <c r="G18" s="87" t="s">
        <v>51</v>
      </c>
      <c r="H18" s="75" t="s">
        <v>258</v>
      </c>
      <c r="I18" s="38" t="s">
        <v>56</v>
      </c>
      <c r="J18" s="60">
        <v>1</v>
      </c>
      <c r="K18" s="60">
        <v>12</v>
      </c>
      <c r="L18" s="26">
        <f>IFERROR(VLOOKUP(I18,Combos!$A$2:$B$10,2,FALSE)*J18,"")</f>
        <v>1</v>
      </c>
      <c r="M18" s="26">
        <f t="shared" si="1"/>
        <v>12</v>
      </c>
      <c r="N18" s="94">
        <f t="shared" si="0"/>
        <v>2.65332535370301E-4</v>
      </c>
      <c r="O18" s="27"/>
      <c r="P18" s="33" t="s">
        <v>50</v>
      </c>
      <c r="Q18" s="47"/>
      <c r="R18" s="33" t="s">
        <v>64</v>
      </c>
      <c r="S18" s="24"/>
      <c r="T18" s="28"/>
      <c r="U18" s="28"/>
      <c r="V18" s="28"/>
      <c r="W18" s="28"/>
    </row>
    <row r="19" spans="1:23" s="30" customFormat="1" ht="28.5" x14ac:dyDescent="0.25">
      <c r="A19" s="34">
        <v>5</v>
      </c>
      <c r="B19" s="34" t="s">
        <v>259</v>
      </c>
      <c r="C19" s="62" t="s">
        <v>75</v>
      </c>
      <c r="D19" s="62" t="s">
        <v>230</v>
      </c>
      <c r="E19" s="62" t="s">
        <v>93</v>
      </c>
      <c r="F19" s="56" t="s">
        <v>113</v>
      </c>
      <c r="G19" s="88" t="s">
        <v>51</v>
      </c>
      <c r="H19" s="75" t="s">
        <v>258</v>
      </c>
      <c r="I19" s="38" t="s">
        <v>57</v>
      </c>
      <c r="J19" s="60">
        <v>1</v>
      </c>
      <c r="K19" s="60">
        <v>23</v>
      </c>
      <c r="L19" s="26">
        <f>IFERROR(VLOOKUP(I19,Combos!$A$2:$B$10,2,FALSE)*J19,"")</f>
        <v>2</v>
      </c>
      <c r="M19" s="26">
        <f t="shared" si="1"/>
        <v>46</v>
      </c>
      <c r="N19" s="94">
        <f t="shared" si="0"/>
        <v>1.0171080522528206E-3</v>
      </c>
      <c r="O19" s="40"/>
      <c r="P19" s="33" t="s">
        <v>47</v>
      </c>
      <c r="Q19" s="47"/>
      <c r="R19" s="33" t="s">
        <v>63</v>
      </c>
      <c r="S19" s="24"/>
      <c r="T19" s="28"/>
      <c r="U19" s="28"/>
      <c r="V19" s="28"/>
      <c r="W19" s="28"/>
    </row>
    <row r="20" spans="1:23" s="30" customFormat="1" ht="28.5" x14ac:dyDescent="0.25">
      <c r="A20" s="25">
        <v>6</v>
      </c>
      <c r="B20" s="34" t="s">
        <v>259</v>
      </c>
      <c r="C20" s="62" t="s">
        <v>75</v>
      </c>
      <c r="D20" s="62" t="s">
        <v>230</v>
      </c>
      <c r="E20" s="62" t="s">
        <v>93</v>
      </c>
      <c r="F20" s="56" t="s">
        <v>114</v>
      </c>
      <c r="G20" s="88" t="s">
        <v>51</v>
      </c>
      <c r="H20" s="75" t="s">
        <v>258</v>
      </c>
      <c r="I20" s="38" t="s">
        <v>57</v>
      </c>
      <c r="J20" s="60">
        <v>1</v>
      </c>
      <c r="K20" s="60">
        <v>23</v>
      </c>
      <c r="L20" s="26">
        <f>IFERROR(VLOOKUP(I20,Combos!$A$2:$B$10,2,FALSE)*J20,"")</f>
        <v>2</v>
      </c>
      <c r="M20" s="26">
        <f t="shared" si="1"/>
        <v>46</v>
      </c>
      <c r="N20" s="94">
        <f t="shared" si="0"/>
        <v>1.0171080522528206E-3</v>
      </c>
      <c r="O20" s="41"/>
      <c r="P20" s="33" t="s">
        <v>50</v>
      </c>
      <c r="Q20" s="48"/>
      <c r="R20" s="33" t="s">
        <v>63</v>
      </c>
      <c r="S20" s="31"/>
      <c r="T20" s="31"/>
      <c r="U20" s="31"/>
      <c r="V20" s="31"/>
      <c r="W20" s="31"/>
    </row>
    <row r="21" spans="1:23" s="30" customFormat="1" ht="28.5" x14ac:dyDescent="0.25">
      <c r="A21" s="34">
        <v>7</v>
      </c>
      <c r="B21" s="34" t="s">
        <v>259</v>
      </c>
      <c r="C21" s="62" t="s">
        <v>75</v>
      </c>
      <c r="D21" s="62" t="s">
        <v>230</v>
      </c>
      <c r="E21" s="62" t="s">
        <v>93</v>
      </c>
      <c r="F21" s="56" t="s">
        <v>115</v>
      </c>
      <c r="G21" s="88" t="s">
        <v>51</v>
      </c>
      <c r="H21" s="75" t="s">
        <v>258</v>
      </c>
      <c r="I21" s="38" t="s">
        <v>59</v>
      </c>
      <c r="J21" s="60">
        <v>3</v>
      </c>
      <c r="K21" s="60">
        <v>12</v>
      </c>
      <c r="L21" s="26">
        <f>IFERROR(VLOOKUP(I21,Combos!$A$2:$B$10,2,FALSE)*J21,"")</f>
        <v>12.899999999999999</v>
      </c>
      <c r="M21" s="26">
        <f t="shared" si="1"/>
        <v>154.79999999999998</v>
      </c>
      <c r="N21" s="94">
        <f t="shared" si="0"/>
        <v>3.4227897062768828E-3</v>
      </c>
      <c r="O21" s="27"/>
      <c r="P21" s="33" t="s">
        <v>50</v>
      </c>
      <c r="Q21" s="58"/>
      <c r="R21" s="33" t="s">
        <v>64</v>
      </c>
      <c r="S21" s="59"/>
      <c r="T21" s="59"/>
      <c r="U21" s="59"/>
      <c r="V21" s="59"/>
      <c r="W21" s="59"/>
    </row>
    <row r="22" spans="1:23" s="30" customFormat="1" ht="28.5" x14ac:dyDescent="0.25">
      <c r="A22" s="34">
        <v>8</v>
      </c>
      <c r="B22" s="34" t="s">
        <v>259</v>
      </c>
      <c r="C22" s="62" t="s">
        <v>75</v>
      </c>
      <c r="D22" s="62" t="s">
        <v>253</v>
      </c>
      <c r="E22" s="62" t="s">
        <v>93</v>
      </c>
      <c r="F22" s="56" t="s">
        <v>116</v>
      </c>
      <c r="G22" s="88" t="s">
        <v>51</v>
      </c>
      <c r="H22" s="75" t="s">
        <v>258</v>
      </c>
      <c r="I22" s="38" t="s">
        <v>59</v>
      </c>
      <c r="J22" s="60">
        <v>1</v>
      </c>
      <c r="K22" s="60">
        <v>480</v>
      </c>
      <c r="L22" s="26">
        <f>IFERROR(VLOOKUP(I22,Combos!$A$2:$B$10,2,FALSE)*J22,"")</f>
        <v>4.3</v>
      </c>
      <c r="M22" s="26">
        <f t="shared" si="1"/>
        <v>2064</v>
      </c>
      <c r="N22" s="94">
        <f t="shared" si="0"/>
        <v>4.5637196083691774E-2</v>
      </c>
      <c r="O22" s="39"/>
      <c r="P22" s="33" t="s">
        <v>50</v>
      </c>
      <c r="Q22" s="47"/>
      <c r="R22" s="33" t="s">
        <v>63</v>
      </c>
      <c r="S22" s="24"/>
      <c r="T22" s="28"/>
      <c r="U22" s="28"/>
      <c r="V22" s="28"/>
      <c r="W22" s="28"/>
    </row>
    <row r="23" spans="1:23" s="30" customFormat="1" ht="28.5" x14ac:dyDescent="0.25">
      <c r="A23" s="25">
        <v>9</v>
      </c>
      <c r="B23" s="34" t="s">
        <v>259</v>
      </c>
      <c r="C23" s="62" t="s">
        <v>75</v>
      </c>
      <c r="D23" s="62" t="s">
        <v>230</v>
      </c>
      <c r="E23" s="62" t="s">
        <v>93</v>
      </c>
      <c r="F23" s="56" t="s">
        <v>117</v>
      </c>
      <c r="G23" s="88" t="s">
        <v>51</v>
      </c>
      <c r="H23" s="75" t="s">
        <v>258</v>
      </c>
      <c r="I23" s="38" t="s">
        <v>57</v>
      </c>
      <c r="J23" s="60">
        <v>2</v>
      </c>
      <c r="K23" s="60">
        <v>300</v>
      </c>
      <c r="L23" s="26">
        <f>IFERROR(VLOOKUP(I23,Combos!$A$2:$B$10,2,FALSE)*J23,"")</f>
        <v>4</v>
      </c>
      <c r="M23" s="26">
        <f t="shared" si="1"/>
        <v>1200</v>
      </c>
      <c r="N23" s="94">
        <f t="shared" si="0"/>
        <v>2.6533253537030101E-2</v>
      </c>
      <c r="O23" s="27"/>
      <c r="P23" s="33" t="s">
        <v>50</v>
      </c>
      <c r="Q23" s="47"/>
      <c r="R23" s="33" t="s">
        <v>63</v>
      </c>
      <c r="S23" s="24"/>
      <c r="T23" s="28"/>
      <c r="U23" s="28"/>
      <c r="V23" s="28"/>
      <c r="W23" s="28"/>
    </row>
    <row r="24" spans="1:23" s="30" customFormat="1" ht="28.5" x14ac:dyDescent="0.25">
      <c r="A24" s="34">
        <v>10</v>
      </c>
      <c r="B24" s="34" t="s">
        <v>259</v>
      </c>
      <c r="C24" s="62" t="s">
        <v>75</v>
      </c>
      <c r="D24" s="62" t="s">
        <v>222</v>
      </c>
      <c r="E24" s="62" t="s">
        <v>93</v>
      </c>
      <c r="F24" s="56" t="s">
        <v>118</v>
      </c>
      <c r="G24" s="88" t="s">
        <v>51</v>
      </c>
      <c r="H24" s="75" t="s">
        <v>258</v>
      </c>
      <c r="I24" s="38" t="s">
        <v>56</v>
      </c>
      <c r="J24" s="60">
        <v>1</v>
      </c>
      <c r="K24" s="60">
        <v>12</v>
      </c>
      <c r="L24" s="26">
        <f>IFERROR(VLOOKUP(I24,Combos!$A$2:$B$10,2,FALSE)*J24,"")</f>
        <v>1</v>
      </c>
      <c r="M24" s="26">
        <f t="shared" si="1"/>
        <v>12</v>
      </c>
      <c r="N24" s="94">
        <f t="shared" si="0"/>
        <v>2.65332535370301E-4</v>
      </c>
      <c r="O24" s="40"/>
      <c r="P24" s="33" t="s">
        <v>50</v>
      </c>
      <c r="Q24" s="47"/>
      <c r="R24" s="33" t="s">
        <v>63</v>
      </c>
      <c r="S24" s="24"/>
      <c r="T24" s="28"/>
      <c r="U24" s="28"/>
      <c r="V24" s="28"/>
      <c r="W24" s="28"/>
    </row>
    <row r="25" spans="1:23" s="30" customFormat="1" ht="28.5" x14ac:dyDescent="0.25">
      <c r="A25" s="25">
        <v>11</v>
      </c>
      <c r="B25" s="34" t="s">
        <v>259</v>
      </c>
      <c r="C25" s="62" t="s">
        <v>75</v>
      </c>
      <c r="D25" s="62" t="s">
        <v>230</v>
      </c>
      <c r="E25" s="62" t="s">
        <v>93</v>
      </c>
      <c r="F25" s="56" t="s">
        <v>119</v>
      </c>
      <c r="G25" s="89" t="s">
        <v>51</v>
      </c>
      <c r="H25" s="75" t="s">
        <v>258</v>
      </c>
      <c r="I25" s="38" t="s">
        <v>57</v>
      </c>
      <c r="J25" s="60">
        <v>1</v>
      </c>
      <c r="K25" s="60">
        <v>50</v>
      </c>
      <c r="L25" s="26">
        <f>IFERROR(VLOOKUP(I25,Combos!$A$2:$B$10,2,FALSE)*J25,"")</f>
        <v>2</v>
      </c>
      <c r="M25" s="26">
        <f t="shared" si="1"/>
        <v>100</v>
      </c>
      <c r="N25" s="94">
        <f t="shared" si="0"/>
        <v>2.2111044614191752E-3</v>
      </c>
      <c r="O25" s="41"/>
      <c r="P25" s="33" t="s">
        <v>50</v>
      </c>
      <c r="Q25" s="48"/>
      <c r="R25" s="33" t="s">
        <v>63</v>
      </c>
      <c r="S25" s="31"/>
      <c r="T25" s="31"/>
      <c r="U25" s="31"/>
      <c r="V25" s="31"/>
      <c r="W25" s="31"/>
    </row>
    <row r="26" spans="1:23" s="30" customFormat="1" ht="28.5" x14ac:dyDescent="0.25">
      <c r="A26" s="34">
        <v>12</v>
      </c>
      <c r="B26" s="34" t="s">
        <v>259</v>
      </c>
      <c r="C26" s="62" t="s">
        <v>75</v>
      </c>
      <c r="D26" s="62" t="s">
        <v>230</v>
      </c>
      <c r="E26" s="62" t="s">
        <v>94</v>
      </c>
      <c r="F26" s="56" t="s">
        <v>120</v>
      </c>
      <c r="G26" s="87" t="s">
        <v>51</v>
      </c>
      <c r="H26" s="75" t="s">
        <v>258</v>
      </c>
      <c r="I26" s="38" t="s">
        <v>56</v>
      </c>
      <c r="J26" s="60">
        <v>2</v>
      </c>
      <c r="K26" s="60">
        <v>120</v>
      </c>
      <c r="L26" s="26">
        <f>IFERROR(VLOOKUP(I26,Combos!$A$2:$B$10,2,FALSE)*J26,"")</f>
        <v>2</v>
      </c>
      <c r="M26" s="26">
        <f t="shared" si="1"/>
        <v>240</v>
      </c>
      <c r="N26" s="94">
        <f t="shared" si="0"/>
        <v>5.3066507074060205E-3</v>
      </c>
      <c r="O26" s="27"/>
      <c r="P26" s="33" t="s">
        <v>50</v>
      </c>
      <c r="Q26" s="58"/>
      <c r="R26" s="33" t="s">
        <v>63</v>
      </c>
      <c r="S26" s="59"/>
      <c r="T26" s="59"/>
      <c r="U26" s="59"/>
      <c r="V26" s="59"/>
      <c r="W26" s="59"/>
    </row>
    <row r="27" spans="1:23" s="30" customFormat="1" ht="28.5" x14ac:dyDescent="0.25">
      <c r="A27" s="25">
        <v>13</v>
      </c>
      <c r="B27" s="34" t="s">
        <v>259</v>
      </c>
      <c r="C27" s="62" t="s">
        <v>75</v>
      </c>
      <c r="D27" s="62" t="s">
        <v>230</v>
      </c>
      <c r="E27" s="62" t="s">
        <v>94</v>
      </c>
      <c r="F27" s="56" t="s">
        <v>121</v>
      </c>
      <c r="G27" s="88" t="s">
        <v>51</v>
      </c>
      <c r="H27" s="75" t="s">
        <v>258</v>
      </c>
      <c r="I27" s="38" t="s">
        <v>46</v>
      </c>
      <c r="J27" s="60">
        <v>1</v>
      </c>
      <c r="K27" s="60">
        <v>240</v>
      </c>
      <c r="L27" s="26">
        <f>IFERROR(VLOOKUP(I27,Combos!$A$2:$B$10,2,FALSE)*J27,"")</f>
        <v>8.3333333333333329E-2</v>
      </c>
      <c r="M27" s="26">
        <f t="shared" si="1"/>
        <v>20</v>
      </c>
      <c r="N27" s="94">
        <f t="shared" si="0"/>
        <v>4.4222089228383504E-4</v>
      </c>
      <c r="O27" s="41"/>
      <c r="P27" s="33" t="s">
        <v>50</v>
      </c>
      <c r="Q27" s="48"/>
      <c r="R27" s="33" t="s">
        <v>63</v>
      </c>
      <c r="S27" s="31"/>
      <c r="T27" s="31"/>
      <c r="U27" s="31"/>
      <c r="V27" s="31"/>
      <c r="W27" s="31"/>
    </row>
    <row r="28" spans="1:23" s="30" customFormat="1" ht="42.75" x14ac:dyDescent="0.25">
      <c r="A28" s="34">
        <v>14</v>
      </c>
      <c r="B28" s="34" t="s">
        <v>259</v>
      </c>
      <c r="C28" s="62" t="s">
        <v>76</v>
      </c>
      <c r="D28" s="62" t="s">
        <v>227</v>
      </c>
      <c r="E28" s="62" t="s">
        <v>95</v>
      </c>
      <c r="F28" s="56" t="s">
        <v>122</v>
      </c>
      <c r="G28" s="88" t="s">
        <v>51</v>
      </c>
      <c r="H28" s="75" t="s">
        <v>258</v>
      </c>
      <c r="I28" s="38" t="s">
        <v>46</v>
      </c>
      <c r="J28" s="60">
        <v>1</v>
      </c>
      <c r="K28" s="60">
        <v>720</v>
      </c>
      <c r="L28" s="26">
        <f>IFERROR(VLOOKUP(I28,Combos!$A$2:$B$10,2,FALSE)*J28,"")</f>
        <v>8.3333333333333329E-2</v>
      </c>
      <c r="M28" s="26">
        <f t="shared" si="1"/>
        <v>60</v>
      </c>
      <c r="N28" s="94">
        <f t="shared" si="0"/>
        <v>1.3266626768515051E-3</v>
      </c>
      <c r="O28" s="27"/>
      <c r="P28" s="33" t="s">
        <v>50</v>
      </c>
      <c r="Q28" s="58"/>
      <c r="R28" s="33" t="s">
        <v>63</v>
      </c>
      <c r="S28" s="59"/>
      <c r="T28" s="59"/>
      <c r="U28" s="59"/>
      <c r="V28" s="59"/>
      <c r="W28" s="59"/>
    </row>
    <row r="29" spans="1:23" s="30" customFormat="1" ht="42.75" x14ac:dyDescent="0.25">
      <c r="A29" s="34">
        <v>15</v>
      </c>
      <c r="B29" s="34" t="s">
        <v>259</v>
      </c>
      <c r="C29" s="62" t="s">
        <v>76</v>
      </c>
      <c r="D29" s="62" t="s">
        <v>222</v>
      </c>
      <c r="E29" s="62" t="s">
        <v>95</v>
      </c>
      <c r="F29" s="56" t="s">
        <v>123</v>
      </c>
      <c r="G29" s="88" t="s">
        <v>51</v>
      </c>
      <c r="H29" s="75" t="s">
        <v>258</v>
      </c>
      <c r="I29" s="38" t="s">
        <v>49</v>
      </c>
      <c r="J29" s="60">
        <v>2</v>
      </c>
      <c r="K29" s="60">
        <v>240</v>
      </c>
      <c r="L29" s="26">
        <f>IFERROR(VLOOKUP(I29,Combos!$A$2:$B$10,2,FALSE)*J29,"")</f>
        <v>0.33333333333333331</v>
      </c>
      <c r="M29" s="26">
        <f t="shared" si="1"/>
        <v>80</v>
      </c>
      <c r="N29" s="94">
        <f t="shared" si="0"/>
        <v>1.7688835691353402E-3</v>
      </c>
      <c r="O29" s="39"/>
      <c r="P29" s="33" t="s">
        <v>50</v>
      </c>
      <c r="Q29" s="47"/>
      <c r="R29" s="33" t="s">
        <v>64</v>
      </c>
      <c r="S29" s="24"/>
      <c r="T29" s="28"/>
      <c r="U29" s="28"/>
      <c r="V29" s="28"/>
      <c r="W29" s="28"/>
    </row>
    <row r="30" spans="1:23" s="30" customFormat="1" ht="42.75" x14ac:dyDescent="0.25">
      <c r="A30" s="25">
        <v>16</v>
      </c>
      <c r="B30" s="34" t="s">
        <v>259</v>
      </c>
      <c r="C30" s="62" t="s">
        <v>76</v>
      </c>
      <c r="D30" s="62" t="s">
        <v>227</v>
      </c>
      <c r="E30" s="62" t="s">
        <v>95</v>
      </c>
      <c r="F30" s="56" t="s">
        <v>124</v>
      </c>
      <c r="G30" s="88" t="s">
        <v>51</v>
      </c>
      <c r="H30" s="75" t="s">
        <v>258</v>
      </c>
      <c r="I30" s="38" t="s">
        <v>49</v>
      </c>
      <c r="J30" s="60">
        <v>3</v>
      </c>
      <c r="K30" s="60">
        <v>120</v>
      </c>
      <c r="L30" s="26">
        <f>IFERROR(VLOOKUP(I30,Combos!$A$2:$B$10,2,FALSE)*J30,"")</f>
        <v>0.5</v>
      </c>
      <c r="M30" s="26">
        <f t="shared" si="1"/>
        <v>60</v>
      </c>
      <c r="N30" s="94">
        <f t="shared" si="0"/>
        <v>1.3266626768515051E-3</v>
      </c>
      <c r="O30" s="27"/>
      <c r="P30" s="33" t="s">
        <v>50</v>
      </c>
      <c r="Q30" s="47"/>
      <c r="R30" s="33" t="s">
        <v>64</v>
      </c>
      <c r="S30" s="24"/>
      <c r="T30" s="28"/>
      <c r="U30" s="28"/>
      <c r="V30" s="28"/>
      <c r="W30" s="28"/>
    </row>
    <row r="31" spans="1:23" s="30" customFormat="1" ht="42.75" x14ac:dyDescent="0.25">
      <c r="A31" s="34">
        <v>17</v>
      </c>
      <c r="B31" s="34" t="s">
        <v>259</v>
      </c>
      <c r="C31" s="62" t="s">
        <v>76</v>
      </c>
      <c r="D31" s="62" t="s">
        <v>221</v>
      </c>
      <c r="E31" s="62" t="s">
        <v>95</v>
      </c>
      <c r="F31" s="56" t="s">
        <v>125</v>
      </c>
      <c r="G31" s="88" t="s">
        <v>51</v>
      </c>
      <c r="H31" s="75" t="s">
        <v>258</v>
      </c>
      <c r="I31" s="38" t="s">
        <v>49</v>
      </c>
      <c r="J31" s="60">
        <v>2</v>
      </c>
      <c r="K31" s="60">
        <v>4320</v>
      </c>
      <c r="L31" s="26">
        <f>IFERROR(VLOOKUP(I31,Combos!$A$2:$B$10,2,FALSE)*J31,"")</f>
        <v>0.33333333333333331</v>
      </c>
      <c r="M31" s="26">
        <f t="shared" si="1"/>
        <v>1440</v>
      </c>
      <c r="N31" s="94">
        <f t="shared" si="0"/>
        <v>3.1839904244436119E-2</v>
      </c>
      <c r="O31" s="40"/>
      <c r="P31" s="33" t="s">
        <v>50</v>
      </c>
      <c r="Q31" s="47"/>
      <c r="R31" s="33" t="s">
        <v>64</v>
      </c>
      <c r="S31" s="24"/>
      <c r="T31" s="28"/>
      <c r="U31" s="28"/>
      <c r="V31" s="28"/>
      <c r="W31" s="28"/>
    </row>
    <row r="32" spans="1:23" s="30" customFormat="1" ht="42.75" x14ac:dyDescent="0.25">
      <c r="A32" s="25">
        <v>18</v>
      </c>
      <c r="B32" s="34" t="s">
        <v>259</v>
      </c>
      <c r="C32" s="62" t="s">
        <v>76</v>
      </c>
      <c r="D32" s="62" t="s">
        <v>231</v>
      </c>
      <c r="E32" s="62" t="s">
        <v>95</v>
      </c>
      <c r="F32" s="56" t="s">
        <v>126</v>
      </c>
      <c r="G32" s="88" t="s">
        <v>51</v>
      </c>
      <c r="H32" s="75" t="s">
        <v>258</v>
      </c>
      <c r="I32" s="38" t="s">
        <v>59</v>
      </c>
      <c r="J32" s="60">
        <v>2</v>
      </c>
      <c r="K32" s="60">
        <v>17</v>
      </c>
      <c r="L32" s="26">
        <f>IFERROR(VLOOKUP(I32,Combos!$A$2:$B$10,2,FALSE)*J32,"")</f>
        <v>8.6</v>
      </c>
      <c r="M32" s="26">
        <f t="shared" si="1"/>
        <v>146.19999999999999</v>
      </c>
      <c r="N32" s="94">
        <f t="shared" si="0"/>
        <v>3.2326347225948336E-3</v>
      </c>
      <c r="O32" s="41"/>
      <c r="P32" s="33" t="s">
        <v>50</v>
      </c>
      <c r="Q32" s="48"/>
      <c r="R32" s="33" t="s">
        <v>63</v>
      </c>
      <c r="S32" s="31"/>
      <c r="T32" s="31"/>
      <c r="U32" s="31"/>
      <c r="V32" s="31"/>
      <c r="W32" s="31"/>
    </row>
    <row r="33" spans="1:23" s="30" customFormat="1" ht="42.75" x14ac:dyDescent="0.25">
      <c r="A33" s="34">
        <v>19</v>
      </c>
      <c r="B33" s="34" t="s">
        <v>259</v>
      </c>
      <c r="C33" s="62" t="s">
        <v>76</v>
      </c>
      <c r="D33" s="62" t="s">
        <v>229</v>
      </c>
      <c r="E33" s="62" t="s">
        <v>95</v>
      </c>
      <c r="F33" s="56" t="s">
        <v>127</v>
      </c>
      <c r="G33" s="89" t="s">
        <v>48</v>
      </c>
      <c r="H33" s="75" t="s">
        <v>258</v>
      </c>
      <c r="I33" s="38" t="s">
        <v>57</v>
      </c>
      <c r="J33" s="60">
        <v>2</v>
      </c>
      <c r="K33" s="60">
        <v>42</v>
      </c>
      <c r="L33" s="26">
        <f>IFERROR(VLOOKUP(I33,Combos!$A$2:$B$10,2,FALSE)*J33,"")</f>
        <v>4</v>
      </c>
      <c r="M33" s="26">
        <f t="shared" si="1"/>
        <v>168</v>
      </c>
      <c r="N33" s="94">
        <f t="shared" si="0"/>
        <v>3.7146554951842142E-3</v>
      </c>
      <c r="O33" s="27"/>
      <c r="P33" s="33" t="s">
        <v>50</v>
      </c>
      <c r="Q33" s="58"/>
      <c r="R33" s="33" t="s">
        <v>63</v>
      </c>
      <c r="S33" s="59"/>
      <c r="T33" s="59"/>
      <c r="U33" s="59"/>
      <c r="V33" s="59"/>
      <c r="W33" s="59"/>
    </row>
    <row r="34" spans="1:23" s="30" customFormat="1" ht="42.75" x14ac:dyDescent="0.25">
      <c r="A34" s="25">
        <v>20</v>
      </c>
      <c r="B34" s="34" t="s">
        <v>259</v>
      </c>
      <c r="C34" s="62" t="s">
        <v>76</v>
      </c>
      <c r="D34" s="62" t="s">
        <v>227</v>
      </c>
      <c r="E34" s="62" t="s">
        <v>95</v>
      </c>
      <c r="F34" s="56" t="s">
        <v>128</v>
      </c>
      <c r="G34" s="87" t="s">
        <v>51</v>
      </c>
      <c r="H34" s="75" t="s">
        <v>258</v>
      </c>
      <c r="I34" s="38" t="s">
        <v>56</v>
      </c>
      <c r="J34" s="60">
        <v>4</v>
      </c>
      <c r="K34" s="60">
        <v>30</v>
      </c>
      <c r="L34" s="26">
        <f>IFERROR(VLOOKUP(I34,Combos!$A$2:$B$10,2,FALSE)*J34,"")</f>
        <v>4</v>
      </c>
      <c r="M34" s="26">
        <f t="shared" si="1"/>
        <v>120</v>
      </c>
      <c r="N34" s="94">
        <f t="shared" si="0"/>
        <v>2.6533253537030102E-3</v>
      </c>
      <c r="O34" s="41"/>
      <c r="P34" s="33" t="s">
        <v>50</v>
      </c>
      <c r="Q34" s="48"/>
      <c r="R34" s="33" t="s">
        <v>64</v>
      </c>
      <c r="S34" s="31"/>
      <c r="T34" s="31"/>
      <c r="U34" s="31"/>
      <c r="V34" s="31"/>
      <c r="W34" s="31"/>
    </row>
    <row r="35" spans="1:23" s="30" customFormat="1" ht="42.75" x14ac:dyDescent="0.25">
      <c r="A35" s="34">
        <v>21</v>
      </c>
      <c r="B35" s="34" t="s">
        <v>259</v>
      </c>
      <c r="C35" s="62" t="s">
        <v>76</v>
      </c>
      <c r="D35" s="62" t="s">
        <v>227</v>
      </c>
      <c r="E35" s="62" t="s">
        <v>95</v>
      </c>
      <c r="F35" s="56" t="s">
        <v>129</v>
      </c>
      <c r="G35" s="88" t="s">
        <v>51</v>
      </c>
      <c r="H35" s="75" t="s">
        <v>258</v>
      </c>
      <c r="I35" s="38" t="s">
        <v>59</v>
      </c>
      <c r="J35" s="60">
        <v>2</v>
      </c>
      <c r="K35" s="60">
        <v>120</v>
      </c>
      <c r="L35" s="26">
        <f>IFERROR(VLOOKUP(I35,Combos!$A$2:$B$10,2,FALSE)*J35,"")</f>
        <v>8.6</v>
      </c>
      <c r="M35" s="26">
        <f t="shared" si="1"/>
        <v>1032</v>
      </c>
      <c r="N35" s="94">
        <f t="shared" si="0"/>
        <v>2.2818598041845887E-2</v>
      </c>
      <c r="O35" s="27"/>
      <c r="P35" s="33" t="s">
        <v>50</v>
      </c>
      <c r="Q35" s="58"/>
      <c r="R35" s="33" t="s">
        <v>64</v>
      </c>
      <c r="S35" s="59"/>
      <c r="T35" s="59"/>
      <c r="U35" s="59"/>
      <c r="V35" s="59"/>
      <c r="W35" s="59"/>
    </row>
    <row r="36" spans="1:23" s="30" customFormat="1" ht="42.75" x14ac:dyDescent="0.25">
      <c r="A36" s="34">
        <v>22</v>
      </c>
      <c r="B36" s="34" t="s">
        <v>259</v>
      </c>
      <c r="C36" s="62" t="s">
        <v>76</v>
      </c>
      <c r="D36" s="62" t="s">
        <v>225</v>
      </c>
      <c r="E36" s="62" t="s">
        <v>95</v>
      </c>
      <c r="F36" s="56" t="s">
        <v>130</v>
      </c>
      <c r="G36" s="89" t="s">
        <v>51</v>
      </c>
      <c r="H36" s="75" t="s">
        <v>258</v>
      </c>
      <c r="I36" s="38" t="s">
        <v>57</v>
      </c>
      <c r="J36" s="60">
        <v>2</v>
      </c>
      <c r="K36" s="60">
        <v>23</v>
      </c>
      <c r="L36" s="26">
        <f>IFERROR(VLOOKUP(I36,Combos!$A$2:$B$10,2,FALSE)*J36,"")</f>
        <v>4</v>
      </c>
      <c r="M36" s="26">
        <f t="shared" si="1"/>
        <v>92</v>
      </c>
      <c r="N36" s="94">
        <f t="shared" si="0"/>
        <v>2.0342161045056413E-3</v>
      </c>
      <c r="O36" s="39"/>
      <c r="P36" s="33" t="s">
        <v>50</v>
      </c>
      <c r="Q36" s="47"/>
      <c r="R36" s="33" t="s">
        <v>63</v>
      </c>
      <c r="S36" s="24"/>
      <c r="T36" s="28"/>
      <c r="U36" s="28"/>
      <c r="V36" s="28"/>
      <c r="W36" s="28"/>
    </row>
    <row r="37" spans="1:23" s="30" customFormat="1" ht="42.75" x14ac:dyDescent="0.25">
      <c r="A37" s="25">
        <v>23</v>
      </c>
      <c r="B37" s="34" t="s">
        <v>259</v>
      </c>
      <c r="C37" s="62" t="s">
        <v>76</v>
      </c>
      <c r="D37" s="62" t="s">
        <v>232</v>
      </c>
      <c r="E37" s="62" t="s">
        <v>95</v>
      </c>
      <c r="F37" s="56" t="s">
        <v>131</v>
      </c>
      <c r="G37" s="61" t="s">
        <v>51</v>
      </c>
      <c r="H37" s="75" t="s">
        <v>258</v>
      </c>
      <c r="I37" s="38" t="s">
        <v>60</v>
      </c>
      <c r="J37" s="60">
        <v>1</v>
      </c>
      <c r="K37" s="60">
        <v>30</v>
      </c>
      <c r="L37" s="26">
        <f>IFERROR(VLOOKUP(I37,Combos!$A$2:$B$10,2,FALSE)*J37,"")</f>
        <v>20</v>
      </c>
      <c r="M37" s="26">
        <f t="shared" si="1"/>
        <v>600</v>
      </c>
      <c r="N37" s="94">
        <f t="shared" si="0"/>
        <v>1.326662676851505E-2</v>
      </c>
      <c r="O37" s="27"/>
      <c r="P37" s="33" t="s">
        <v>50</v>
      </c>
      <c r="Q37" s="47"/>
      <c r="R37" s="33" t="s">
        <v>63</v>
      </c>
      <c r="S37" s="24"/>
      <c r="T37" s="28"/>
      <c r="U37" s="28"/>
      <c r="V37" s="28"/>
      <c r="W37" s="28"/>
    </row>
    <row r="38" spans="1:23" s="30" customFormat="1" ht="42.75" x14ac:dyDescent="0.25">
      <c r="A38" s="34">
        <v>24</v>
      </c>
      <c r="B38" s="34" t="s">
        <v>259</v>
      </c>
      <c r="C38" s="62" t="s">
        <v>76</v>
      </c>
      <c r="D38" s="62" t="s">
        <v>225</v>
      </c>
      <c r="E38" s="62" t="s">
        <v>95</v>
      </c>
      <c r="F38" s="56" t="s">
        <v>132</v>
      </c>
      <c r="G38" t="s">
        <v>48</v>
      </c>
      <c r="H38" s="75" t="s">
        <v>258</v>
      </c>
      <c r="I38" s="38" t="s">
        <v>56</v>
      </c>
      <c r="J38" s="60">
        <v>2</v>
      </c>
      <c r="K38" s="60">
        <v>120</v>
      </c>
      <c r="L38" s="26">
        <f>IFERROR(VLOOKUP(I38,Combos!$A$2:$B$10,2,FALSE)*J38,"")</f>
        <v>2</v>
      </c>
      <c r="M38" s="26">
        <f t="shared" si="1"/>
        <v>240</v>
      </c>
      <c r="N38" s="94">
        <f t="shared" si="0"/>
        <v>5.3066507074060205E-3</v>
      </c>
      <c r="O38" s="40"/>
      <c r="P38" s="33" t="s">
        <v>50</v>
      </c>
      <c r="Q38" s="47"/>
      <c r="R38" s="33" t="s">
        <v>63</v>
      </c>
      <c r="S38" s="24"/>
      <c r="T38" s="28"/>
      <c r="U38" s="28"/>
      <c r="V38" s="28"/>
      <c r="W38" s="28"/>
    </row>
    <row r="39" spans="1:23" s="30" customFormat="1" ht="42.75" x14ac:dyDescent="0.25">
      <c r="A39" s="25">
        <v>25</v>
      </c>
      <c r="B39" s="34" t="s">
        <v>259</v>
      </c>
      <c r="C39" s="62" t="s">
        <v>76</v>
      </c>
      <c r="D39" s="62" t="s">
        <v>225</v>
      </c>
      <c r="E39" s="62" t="s">
        <v>95</v>
      </c>
      <c r="F39" s="56" t="s">
        <v>133</v>
      </c>
      <c r="G39" t="s">
        <v>48</v>
      </c>
      <c r="H39" s="75" t="s">
        <v>258</v>
      </c>
      <c r="I39" s="38" t="s">
        <v>56</v>
      </c>
      <c r="J39" s="60">
        <v>1</v>
      </c>
      <c r="K39" s="60">
        <v>120</v>
      </c>
      <c r="L39" s="26">
        <f>IFERROR(VLOOKUP(I39,Combos!$A$2:$B$10,2,FALSE)*J39,"")</f>
        <v>1</v>
      </c>
      <c r="M39" s="26">
        <f t="shared" si="1"/>
        <v>120</v>
      </c>
      <c r="N39" s="94">
        <f t="shared" si="0"/>
        <v>2.6533253537030102E-3</v>
      </c>
      <c r="O39" s="41"/>
      <c r="P39" s="33" t="s">
        <v>50</v>
      </c>
      <c r="Q39" s="48"/>
      <c r="R39" s="33" t="s">
        <v>64</v>
      </c>
      <c r="S39" s="31"/>
      <c r="T39" s="31"/>
      <c r="U39" s="31"/>
      <c r="V39" s="31"/>
      <c r="W39" s="31"/>
    </row>
    <row r="40" spans="1:23" s="30" customFormat="1" ht="42.75" x14ac:dyDescent="0.25">
      <c r="A40" s="34">
        <v>26</v>
      </c>
      <c r="B40" s="34" t="s">
        <v>259</v>
      </c>
      <c r="C40" s="62" t="s">
        <v>76</v>
      </c>
      <c r="D40" s="62" t="s">
        <v>221</v>
      </c>
      <c r="E40" s="62" t="s">
        <v>95</v>
      </c>
      <c r="F40" s="56" t="s">
        <v>134</v>
      </c>
      <c r="G40" t="s">
        <v>51</v>
      </c>
      <c r="H40" s="75" t="s">
        <v>258</v>
      </c>
      <c r="I40" s="38" t="s">
        <v>57</v>
      </c>
      <c r="J40" s="60">
        <v>1</v>
      </c>
      <c r="K40" s="60">
        <v>42</v>
      </c>
      <c r="L40" s="26">
        <f>IFERROR(VLOOKUP(I40,Combos!$A$2:$B$10,2,FALSE)*J40,"")</f>
        <v>2</v>
      </c>
      <c r="M40" s="26">
        <f t="shared" si="1"/>
        <v>84</v>
      </c>
      <c r="N40" s="94">
        <f t="shared" si="0"/>
        <v>1.8573277475921071E-3</v>
      </c>
      <c r="O40" s="27"/>
      <c r="P40" s="33" t="s">
        <v>50</v>
      </c>
      <c r="Q40" s="58"/>
      <c r="R40" s="33" t="s">
        <v>64</v>
      </c>
      <c r="S40" s="59"/>
      <c r="T40" s="59"/>
      <c r="U40" s="59"/>
      <c r="V40" s="59"/>
      <c r="W40" s="59"/>
    </row>
    <row r="41" spans="1:23" s="30" customFormat="1" ht="42.75" x14ac:dyDescent="0.25">
      <c r="A41" s="25">
        <v>27</v>
      </c>
      <c r="B41" s="34" t="s">
        <v>259</v>
      </c>
      <c r="C41" s="62" t="s">
        <v>76</v>
      </c>
      <c r="D41" s="62" t="s">
        <v>233</v>
      </c>
      <c r="E41" s="62" t="s">
        <v>95</v>
      </c>
      <c r="F41" s="56" t="s">
        <v>135</v>
      </c>
      <c r="G41" t="s">
        <v>51</v>
      </c>
      <c r="H41" s="75" t="s">
        <v>258</v>
      </c>
      <c r="I41" s="38" t="s">
        <v>57</v>
      </c>
      <c r="J41" s="60">
        <v>1</v>
      </c>
      <c r="K41" s="60">
        <v>17</v>
      </c>
      <c r="L41" s="26">
        <f>IFERROR(VLOOKUP(I41,Combos!$A$2:$B$10,2,FALSE)*J41,"")</f>
        <v>2</v>
      </c>
      <c r="M41" s="26">
        <f t="shared" si="1"/>
        <v>34</v>
      </c>
      <c r="N41" s="94">
        <f t="shared" si="0"/>
        <v>7.5177551688251952E-4</v>
      </c>
      <c r="O41" s="41"/>
      <c r="P41" s="33" t="s">
        <v>50</v>
      </c>
      <c r="Q41" s="48"/>
      <c r="R41" s="33" t="s">
        <v>64</v>
      </c>
      <c r="S41" s="31"/>
      <c r="T41" s="31"/>
      <c r="U41" s="31"/>
      <c r="V41" s="31"/>
      <c r="W41" s="31"/>
    </row>
    <row r="42" spans="1:23" s="30" customFormat="1" ht="42.75" x14ac:dyDescent="0.25">
      <c r="A42" s="34">
        <v>28</v>
      </c>
      <c r="B42" s="34" t="s">
        <v>259</v>
      </c>
      <c r="C42" s="62" t="s">
        <v>76</v>
      </c>
      <c r="D42" s="62" t="s">
        <v>233</v>
      </c>
      <c r="E42" s="62" t="s">
        <v>95</v>
      </c>
      <c r="F42" s="56" t="s">
        <v>136</v>
      </c>
      <c r="G42" t="s">
        <v>51</v>
      </c>
      <c r="H42" s="75" t="s">
        <v>258</v>
      </c>
      <c r="I42" s="38" t="s">
        <v>57</v>
      </c>
      <c r="J42" s="60">
        <v>1</v>
      </c>
      <c r="K42" s="60">
        <v>90</v>
      </c>
      <c r="L42" s="26">
        <f>IFERROR(VLOOKUP(I42,Combos!$A$2:$B$10,2,FALSE)*J42,"")</f>
        <v>2</v>
      </c>
      <c r="M42" s="26">
        <f t="shared" si="1"/>
        <v>180</v>
      </c>
      <c r="N42" s="94">
        <f t="shared" si="0"/>
        <v>3.9799880305545149E-3</v>
      </c>
      <c r="O42" s="41"/>
      <c r="P42" s="33" t="s">
        <v>50</v>
      </c>
      <c r="Q42" s="48"/>
      <c r="R42" s="33" t="s">
        <v>64</v>
      </c>
      <c r="S42" s="31"/>
      <c r="T42" s="31"/>
      <c r="U42" s="31"/>
      <c r="V42" s="31"/>
      <c r="W42" s="31"/>
    </row>
    <row r="43" spans="1:23" s="30" customFormat="1" ht="28.5" x14ac:dyDescent="0.25">
      <c r="A43" s="34">
        <v>29</v>
      </c>
      <c r="B43" s="34" t="s">
        <v>259</v>
      </c>
      <c r="C43" s="62" t="s">
        <v>76</v>
      </c>
      <c r="D43" s="62" t="s">
        <v>227</v>
      </c>
      <c r="E43" s="62" t="s">
        <v>96</v>
      </c>
      <c r="F43" s="56" t="s">
        <v>137</v>
      </c>
      <c r="G43" t="s">
        <v>48</v>
      </c>
      <c r="H43" s="75" t="s">
        <v>258</v>
      </c>
      <c r="I43" s="38" t="s">
        <v>59</v>
      </c>
      <c r="J43" s="60">
        <v>1</v>
      </c>
      <c r="K43" s="60">
        <v>30</v>
      </c>
      <c r="L43" s="26">
        <f>IFERROR(VLOOKUP(I43,Combos!$A$2:$B$10,2,FALSE)*J43,"")</f>
        <v>4.3</v>
      </c>
      <c r="M43" s="26">
        <f t="shared" si="1"/>
        <v>129</v>
      </c>
      <c r="N43" s="94">
        <f t="shared" si="0"/>
        <v>2.8523247552307359E-3</v>
      </c>
      <c r="O43" s="27"/>
      <c r="P43" s="33" t="s">
        <v>50</v>
      </c>
      <c r="Q43" s="58"/>
      <c r="R43" s="33" t="s">
        <v>63</v>
      </c>
      <c r="S43" s="59"/>
      <c r="T43" s="59"/>
      <c r="U43" s="59"/>
      <c r="V43" s="59"/>
      <c r="W43" s="59"/>
    </row>
    <row r="44" spans="1:23" s="30" customFormat="1" ht="28.5" x14ac:dyDescent="0.25">
      <c r="A44" s="25">
        <v>30</v>
      </c>
      <c r="B44" s="34" t="s">
        <v>259</v>
      </c>
      <c r="C44" s="62" t="s">
        <v>76</v>
      </c>
      <c r="D44" s="62" t="s">
        <v>227</v>
      </c>
      <c r="E44" s="62" t="s">
        <v>96</v>
      </c>
      <c r="F44" s="56" t="s">
        <v>138</v>
      </c>
      <c r="G44" t="s">
        <v>51</v>
      </c>
      <c r="H44" s="75" t="s">
        <v>258</v>
      </c>
      <c r="I44" s="38" t="s">
        <v>59</v>
      </c>
      <c r="J44" s="60">
        <v>1</v>
      </c>
      <c r="K44" s="60">
        <v>23</v>
      </c>
      <c r="L44" s="26">
        <f>IFERROR(VLOOKUP(I44,Combos!$A$2:$B$10,2,FALSE)*J44,"")</f>
        <v>4.3</v>
      </c>
      <c r="M44" s="26">
        <f t="shared" si="1"/>
        <v>98.899999999999991</v>
      </c>
      <c r="N44" s="94">
        <f t="shared" si="0"/>
        <v>2.1867823123435642E-3</v>
      </c>
      <c r="O44" s="39"/>
      <c r="P44" s="33" t="s">
        <v>50</v>
      </c>
      <c r="Q44" s="47"/>
      <c r="R44" s="33" t="s">
        <v>64</v>
      </c>
      <c r="S44" s="24"/>
      <c r="T44" s="28"/>
      <c r="U44" s="28"/>
      <c r="V44" s="28"/>
      <c r="W44" s="28"/>
    </row>
    <row r="45" spans="1:23" s="30" customFormat="1" ht="28.5" x14ac:dyDescent="0.25">
      <c r="A45" s="34">
        <v>31</v>
      </c>
      <c r="B45" s="34" t="s">
        <v>259</v>
      </c>
      <c r="C45" s="62" t="s">
        <v>76</v>
      </c>
      <c r="D45" s="62" t="s">
        <v>226</v>
      </c>
      <c r="E45" s="62" t="s">
        <v>96</v>
      </c>
      <c r="F45" s="56" t="s">
        <v>139</v>
      </c>
      <c r="G45" t="s">
        <v>51</v>
      </c>
      <c r="H45" s="75" t="s">
        <v>258</v>
      </c>
      <c r="I45" s="38" t="s">
        <v>59</v>
      </c>
      <c r="J45" s="60">
        <v>1</v>
      </c>
      <c r="K45" s="60">
        <v>12</v>
      </c>
      <c r="L45" s="26">
        <f>IFERROR(VLOOKUP(I45,Combos!$A$2:$B$10,2,FALSE)*J45,"")</f>
        <v>4.3</v>
      </c>
      <c r="M45" s="26">
        <f t="shared" si="1"/>
        <v>51.599999999999994</v>
      </c>
      <c r="N45" s="94">
        <f t="shared" si="0"/>
        <v>1.1409299020922943E-3</v>
      </c>
      <c r="O45" s="27"/>
      <c r="P45" s="33" t="s">
        <v>50</v>
      </c>
      <c r="Q45" s="47"/>
      <c r="R45" s="33" t="s">
        <v>64</v>
      </c>
      <c r="S45" s="24"/>
      <c r="T45" s="28"/>
      <c r="U45" s="28"/>
      <c r="V45" s="28"/>
      <c r="W45" s="28"/>
    </row>
    <row r="46" spans="1:23" s="30" customFormat="1" ht="28.5" x14ac:dyDescent="0.25">
      <c r="A46" s="25">
        <v>32</v>
      </c>
      <c r="B46" s="34" t="s">
        <v>259</v>
      </c>
      <c r="C46" s="62" t="s">
        <v>76</v>
      </c>
      <c r="D46" s="62" t="s">
        <v>222</v>
      </c>
      <c r="E46" s="62" t="s">
        <v>96</v>
      </c>
      <c r="F46" s="56" t="s">
        <v>140</v>
      </c>
      <c r="G46" t="s">
        <v>51</v>
      </c>
      <c r="H46" s="75" t="s">
        <v>258</v>
      </c>
      <c r="I46" s="38" t="s">
        <v>59</v>
      </c>
      <c r="J46" s="60">
        <v>1</v>
      </c>
      <c r="K46" s="60">
        <v>12</v>
      </c>
      <c r="L46" s="26">
        <f>IFERROR(VLOOKUP(I46,Combos!$A$2:$B$10,2,FALSE)*J46,"")</f>
        <v>4.3</v>
      </c>
      <c r="M46" s="26">
        <f t="shared" si="1"/>
        <v>51.599999999999994</v>
      </c>
      <c r="N46" s="94">
        <f t="shared" si="0"/>
        <v>1.1409299020922943E-3</v>
      </c>
      <c r="O46" s="40"/>
      <c r="P46" s="33" t="s">
        <v>50</v>
      </c>
      <c r="Q46" s="47"/>
      <c r="R46" s="33" t="s">
        <v>64</v>
      </c>
      <c r="S46" s="24"/>
      <c r="T46" s="28"/>
      <c r="U46" s="28"/>
      <c r="V46" s="28"/>
      <c r="W46" s="28"/>
    </row>
    <row r="47" spans="1:23" s="30" customFormat="1" ht="28.5" x14ac:dyDescent="0.25">
      <c r="A47" s="34">
        <v>33</v>
      </c>
      <c r="B47" s="34" t="s">
        <v>259</v>
      </c>
      <c r="C47" s="62" t="s">
        <v>76</v>
      </c>
      <c r="D47" s="62" t="s">
        <v>221</v>
      </c>
      <c r="E47" s="62" t="s">
        <v>96</v>
      </c>
      <c r="F47" s="56" t="s">
        <v>141</v>
      </c>
      <c r="G47" t="s">
        <v>51</v>
      </c>
      <c r="H47" s="75" t="s">
        <v>258</v>
      </c>
      <c r="I47" s="38" t="s">
        <v>59</v>
      </c>
      <c r="J47" s="60">
        <v>1</v>
      </c>
      <c r="K47" s="60">
        <v>12</v>
      </c>
      <c r="L47" s="26">
        <f>IFERROR(VLOOKUP(I47,Combos!$A$2:$B$10,2,FALSE)*J47,"")</f>
        <v>4.3</v>
      </c>
      <c r="M47" s="26">
        <f t="shared" ref="M47:M78" si="2">IFERROR(K47*L47,"")</f>
        <v>51.599999999999994</v>
      </c>
      <c r="N47" s="94">
        <f t="shared" ref="N47:N78" si="3">IFERROR(M47/$M$191,"")</f>
        <v>1.1409299020922943E-3</v>
      </c>
      <c r="O47" s="41"/>
      <c r="P47" s="33" t="s">
        <v>50</v>
      </c>
      <c r="Q47" s="48"/>
      <c r="R47" s="33" t="s">
        <v>64</v>
      </c>
      <c r="S47" s="31"/>
      <c r="T47" s="31"/>
      <c r="U47" s="31"/>
      <c r="V47" s="31"/>
      <c r="W47" s="31"/>
    </row>
    <row r="48" spans="1:23" s="30" customFormat="1" ht="28.5" x14ac:dyDescent="0.25">
      <c r="A48" s="25">
        <v>34</v>
      </c>
      <c r="B48" s="34" t="s">
        <v>259</v>
      </c>
      <c r="C48" s="62" t="s">
        <v>76</v>
      </c>
      <c r="D48" s="62" t="s">
        <v>224</v>
      </c>
      <c r="E48" s="62" t="s">
        <v>96</v>
      </c>
      <c r="F48" s="56" t="s">
        <v>142</v>
      </c>
      <c r="G48" t="s">
        <v>48</v>
      </c>
      <c r="H48" s="75" t="s">
        <v>258</v>
      </c>
      <c r="I48" s="38" t="s">
        <v>56</v>
      </c>
      <c r="J48" s="60">
        <v>1</v>
      </c>
      <c r="K48" s="60">
        <v>30</v>
      </c>
      <c r="L48" s="26">
        <f>IFERROR(VLOOKUP(I48,Combos!$A$2:$B$10,2,FALSE)*J48,"")</f>
        <v>1</v>
      </c>
      <c r="M48" s="26">
        <f t="shared" si="2"/>
        <v>30</v>
      </c>
      <c r="N48" s="94">
        <f t="shared" si="3"/>
        <v>6.6333133842575256E-4</v>
      </c>
      <c r="O48" s="27"/>
      <c r="P48" s="33" t="s">
        <v>50</v>
      </c>
      <c r="Q48" s="58"/>
      <c r="R48" s="33" t="s">
        <v>63</v>
      </c>
      <c r="S48" s="59"/>
      <c r="T48" s="59"/>
      <c r="U48" s="59"/>
      <c r="V48" s="59"/>
      <c r="W48" s="59"/>
    </row>
    <row r="49" spans="1:23" s="30" customFormat="1" ht="28.5" x14ac:dyDescent="0.25">
      <c r="A49" s="34">
        <v>35</v>
      </c>
      <c r="B49" s="34" t="s">
        <v>259</v>
      </c>
      <c r="C49" s="62" t="s">
        <v>76</v>
      </c>
      <c r="D49" s="62" t="s">
        <v>224</v>
      </c>
      <c r="E49" s="62" t="s">
        <v>96</v>
      </c>
      <c r="F49" s="56" t="s">
        <v>143</v>
      </c>
      <c r="G49" t="s">
        <v>51</v>
      </c>
      <c r="H49" s="75" t="s">
        <v>258</v>
      </c>
      <c r="I49" s="38" t="s">
        <v>56</v>
      </c>
      <c r="J49" s="60">
        <v>1</v>
      </c>
      <c r="K49" s="60">
        <v>30</v>
      </c>
      <c r="L49" s="26">
        <f>IFERROR(VLOOKUP(I49,Combos!$A$2:$B$10,2,FALSE)*J49,"")</f>
        <v>1</v>
      </c>
      <c r="M49" s="26">
        <f t="shared" si="2"/>
        <v>30</v>
      </c>
      <c r="N49" s="94">
        <f t="shared" si="3"/>
        <v>6.6333133842575256E-4</v>
      </c>
      <c r="O49" s="41"/>
      <c r="P49" s="33" t="s">
        <v>50</v>
      </c>
      <c r="Q49" s="48"/>
      <c r="R49" s="33" t="s">
        <v>63</v>
      </c>
      <c r="S49" s="31"/>
      <c r="T49" s="31"/>
      <c r="U49" s="31"/>
      <c r="V49" s="31"/>
      <c r="W49" s="31"/>
    </row>
    <row r="50" spans="1:23" s="30" customFormat="1" ht="28.5" x14ac:dyDescent="0.25">
      <c r="A50" s="34">
        <v>36</v>
      </c>
      <c r="B50" s="34" t="s">
        <v>259</v>
      </c>
      <c r="C50" s="62" t="s">
        <v>77</v>
      </c>
      <c r="D50" s="62" t="s">
        <v>224</v>
      </c>
      <c r="E50" s="62" t="s">
        <v>97</v>
      </c>
      <c r="F50" s="56" t="s">
        <v>144</v>
      </c>
      <c r="G50" t="s">
        <v>48</v>
      </c>
      <c r="H50" s="75" t="s">
        <v>258</v>
      </c>
      <c r="I50" s="38" t="s">
        <v>57</v>
      </c>
      <c r="J50" s="60">
        <v>2</v>
      </c>
      <c r="K50" s="60">
        <v>42</v>
      </c>
      <c r="L50" s="26">
        <f>IFERROR(VLOOKUP(I50,Combos!$A$2:$B$10,2,FALSE)*J50,"")</f>
        <v>4</v>
      </c>
      <c r="M50" s="26">
        <f t="shared" si="2"/>
        <v>168</v>
      </c>
      <c r="N50" s="94">
        <f t="shared" si="3"/>
        <v>3.7146554951842142E-3</v>
      </c>
      <c r="O50" s="27"/>
      <c r="P50" s="33" t="s">
        <v>50</v>
      </c>
      <c r="Q50" s="58"/>
      <c r="R50" s="33" t="s">
        <v>63</v>
      </c>
      <c r="S50" s="59"/>
      <c r="T50" s="59"/>
      <c r="U50" s="59"/>
      <c r="V50" s="59"/>
      <c r="W50" s="59"/>
    </row>
    <row r="51" spans="1:23" s="30" customFormat="1" ht="28.5" x14ac:dyDescent="0.25">
      <c r="A51" s="25">
        <v>37</v>
      </c>
      <c r="B51" s="34" t="s">
        <v>259</v>
      </c>
      <c r="C51" s="62" t="s">
        <v>77</v>
      </c>
      <c r="D51" s="62" t="s">
        <v>224</v>
      </c>
      <c r="E51" s="62" t="s">
        <v>97</v>
      </c>
      <c r="F51" s="56" t="s">
        <v>145</v>
      </c>
      <c r="G51" t="s">
        <v>51</v>
      </c>
      <c r="H51" s="75" t="s">
        <v>258</v>
      </c>
      <c r="I51" s="38" t="s">
        <v>57</v>
      </c>
      <c r="J51" s="60">
        <v>2</v>
      </c>
      <c r="K51" s="60">
        <v>17</v>
      </c>
      <c r="L51" s="26">
        <f>IFERROR(VLOOKUP(I51,Combos!$A$2:$B$10,2,FALSE)*J51,"")</f>
        <v>4</v>
      </c>
      <c r="M51" s="26">
        <f t="shared" si="2"/>
        <v>68</v>
      </c>
      <c r="N51" s="94">
        <f t="shared" si="3"/>
        <v>1.503551033765039E-3</v>
      </c>
      <c r="O51" s="39"/>
      <c r="P51" s="33" t="s">
        <v>50</v>
      </c>
      <c r="Q51" s="47"/>
      <c r="R51" s="33" t="s">
        <v>63</v>
      </c>
      <c r="S51" s="24"/>
      <c r="T51" s="28"/>
      <c r="U51" s="28"/>
      <c r="V51" s="28"/>
      <c r="W51" s="28"/>
    </row>
    <row r="52" spans="1:23" s="30" customFormat="1" ht="28.5" x14ac:dyDescent="0.25">
      <c r="A52" s="34">
        <v>38</v>
      </c>
      <c r="B52" s="34" t="s">
        <v>259</v>
      </c>
      <c r="C52" s="62" t="s">
        <v>77</v>
      </c>
      <c r="D52" s="62" t="s">
        <v>227</v>
      </c>
      <c r="E52" s="62" t="s">
        <v>97</v>
      </c>
      <c r="F52" s="56" t="s">
        <v>146</v>
      </c>
      <c r="G52" t="s">
        <v>51</v>
      </c>
      <c r="H52" s="75" t="s">
        <v>258</v>
      </c>
      <c r="I52" s="38" t="s">
        <v>57</v>
      </c>
      <c r="J52" s="60">
        <v>2</v>
      </c>
      <c r="K52" s="60">
        <v>12</v>
      </c>
      <c r="L52" s="26">
        <f>IFERROR(VLOOKUP(I52,Combos!$A$2:$B$10,2,FALSE)*J52,"")</f>
        <v>4</v>
      </c>
      <c r="M52" s="26">
        <f t="shared" si="2"/>
        <v>48</v>
      </c>
      <c r="N52" s="94">
        <f t="shared" si="3"/>
        <v>1.061330141481204E-3</v>
      </c>
      <c r="O52" s="27"/>
      <c r="P52" s="33" t="s">
        <v>50</v>
      </c>
      <c r="Q52" s="47"/>
      <c r="R52" s="33" t="s">
        <v>63</v>
      </c>
      <c r="S52" s="24"/>
      <c r="T52" s="28"/>
      <c r="U52" s="28"/>
      <c r="V52" s="28"/>
      <c r="W52" s="28"/>
    </row>
    <row r="53" spans="1:23" s="30" customFormat="1" ht="28.5" x14ac:dyDescent="0.25">
      <c r="A53" s="25">
        <v>39</v>
      </c>
      <c r="B53" s="34" t="s">
        <v>259</v>
      </c>
      <c r="C53" s="62" t="s">
        <v>77</v>
      </c>
      <c r="D53" s="62" t="s">
        <v>221</v>
      </c>
      <c r="E53" s="62" t="s">
        <v>97</v>
      </c>
      <c r="F53" s="56" t="s">
        <v>147</v>
      </c>
      <c r="G53" t="s">
        <v>51</v>
      </c>
      <c r="H53" s="75" t="s">
        <v>258</v>
      </c>
      <c r="I53" s="38" t="s">
        <v>57</v>
      </c>
      <c r="J53" s="60">
        <v>2</v>
      </c>
      <c r="K53" s="60">
        <v>12</v>
      </c>
      <c r="L53" s="26">
        <f>IFERROR(VLOOKUP(I53,Combos!$A$2:$B$10,2,FALSE)*J53,"")</f>
        <v>4</v>
      </c>
      <c r="M53" s="26">
        <f t="shared" si="2"/>
        <v>48</v>
      </c>
      <c r="N53" s="94">
        <f t="shared" si="3"/>
        <v>1.061330141481204E-3</v>
      </c>
      <c r="O53" s="40"/>
      <c r="P53" s="33" t="s">
        <v>50</v>
      </c>
      <c r="Q53" s="47"/>
      <c r="R53" s="33" t="s">
        <v>64</v>
      </c>
      <c r="S53" s="24"/>
      <c r="T53" s="28"/>
      <c r="U53" s="28"/>
      <c r="V53" s="28"/>
      <c r="W53" s="28"/>
    </row>
    <row r="54" spans="1:23" s="30" customFormat="1" ht="28.5" x14ac:dyDescent="0.25">
      <c r="A54" s="34">
        <v>40</v>
      </c>
      <c r="B54" s="34" t="s">
        <v>259</v>
      </c>
      <c r="C54" s="62" t="s">
        <v>77</v>
      </c>
      <c r="D54" s="62" t="s">
        <v>229</v>
      </c>
      <c r="E54" s="62" t="s">
        <v>97</v>
      </c>
      <c r="F54" s="56" t="s">
        <v>148</v>
      </c>
      <c r="G54" t="s">
        <v>48</v>
      </c>
      <c r="H54" s="75" t="s">
        <v>258</v>
      </c>
      <c r="I54" s="38" t="s">
        <v>57</v>
      </c>
      <c r="J54" s="60">
        <v>2</v>
      </c>
      <c r="K54" s="60">
        <v>23</v>
      </c>
      <c r="L54" s="26">
        <f>IFERROR(VLOOKUP(I54,Combos!$A$2:$B$10,2,FALSE)*J54,"")</f>
        <v>4</v>
      </c>
      <c r="M54" s="26">
        <f t="shared" si="2"/>
        <v>92</v>
      </c>
      <c r="N54" s="94">
        <f t="shared" si="3"/>
        <v>2.0342161045056413E-3</v>
      </c>
      <c r="O54" s="41"/>
      <c r="P54" s="33" t="s">
        <v>50</v>
      </c>
      <c r="Q54" s="48"/>
      <c r="R54" s="33" t="s">
        <v>63</v>
      </c>
      <c r="S54" s="31"/>
      <c r="T54" s="31"/>
      <c r="U54" s="31"/>
      <c r="V54" s="31"/>
      <c r="W54" s="31"/>
    </row>
    <row r="55" spans="1:23" s="30" customFormat="1" ht="28.5" x14ac:dyDescent="0.25">
      <c r="A55" s="25">
        <v>41</v>
      </c>
      <c r="B55" s="34" t="s">
        <v>259</v>
      </c>
      <c r="C55" s="62" t="s">
        <v>78</v>
      </c>
      <c r="D55" s="62" t="s">
        <v>236</v>
      </c>
      <c r="E55" s="62" t="s">
        <v>98</v>
      </c>
      <c r="F55" s="56" t="s">
        <v>149</v>
      </c>
      <c r="G55" t="s">
        <v>51</v>
      </c>
      <c r="H55" s="75" t="s">
        <v>258</v>
      </c>
      <c r="I55" s="38" t="s">
        <v>59</v>
      </c>
      <c r="J55" s="60">
        <v>1</v>
      </c>
      <c r="K55" s="60">
        <v>12</v>
      </c>
      <c r="L55" s="26">
        <f>IFERROR(VLOOKUP(I55,Combos!$A$2:$B$10,2,FALSE)*J55,"")</f>
        <v>4.3</v>
      </c>
      <c r="M55" s="26">
        <f t="shared" si="2"/>
        <v>51.599999999999994</v>
      </c>
      <c r="N55" s="94">
        <f t="shared" si="3"/>
        <v>1.1409299020922943E-3</v>
      </c>
      <c r="O55" s="27"/>
      <c r="P55" s="33" t="s">
        <v>50</v>
      </c>
      <c r="Q55" s="58"/>
      <c r="R55" s="33" t="s">
        <v>63</v>
      </c>
      <c r="S55" s="59"/>
      <c r="T55" s="59"/>
      <c r="U55" s="59"/>
      <c r="V55" s="59"/>
      <c r="W55" s="59"/>
    </row>
    <row r="56" spans="1:23" s="30" customFormat="1" ht="28.5" x14ac:dyDescent="0.25">
      <c r="A56" s="34">
        <v>42</v>
      </c>
      <c r="B56" s="34" t="s">
        <v>259</v>
      </c>
      <c r="C56" s="62" t="s">
        <v>78</v>
      </c>
      <c r="D56" s="62" t="s">
        <v>222</v>
      </c>
      <c r="E56" s="62" t="s">
        <v>98</v>
      </c>
      <c r="F56" s="56" t="s">
        <v>150</v>
      </c>
      <c r="G56" t="s">
        <v>51</v>
      </c>
      <c r="H56" s="75" t="s">
        <v>258</v>
      </c>
      <c r="I56" s="38" t="s">
        <v>59</v>
      </c>
      <c r="J56" s="60">
        <v>1</v>
      </c>
      <c r="K56" s="60">
        <v>17</v>
      </c>
      <c r="L56" s="26">
        <f>IFERROR(VLOOKUP(I56,Combos!$A$2:$B$10,2,FALSE)*J56,"")</f>
        <v>4.3</v>
      </c>
      <c r="M56" s="26">
        <f t="shared" si="2"/>
        <v>73.099999999999994</v>
      </c>
      <c r="N56" s="94">
        <f t="shared" si="3"/>
        <v>1.6163173612974168E-3</v>
      </c>
      <c r="O56" s="41"/>
      <c r="P56" s="33" t="s">
        <v>50</v>
      </c>
      <c r="Q56" s="48"/>
      <c r="R56" s="33" t="s">
        <v>64</v>
      </c>
      <c r="S56" s="31"/>
      <c r="T56" s="31"/>
      <c r="U56" s="31"/>
      <c r="V56" s="31"/>
      <c r="W56" s="31"/>
    </row>
    <row r="57" spans="1:23" s="30" customFormat="1" ht="28.5" x14ac:dyDescent="0.25">
      <c r="A57" s="34">
        <v>43</v>
      </c>
      <c r="B57" s="34" t="s">
        <v>259</v>
      </c>
      <c r="C57" s="62" t="s">
        <v>78</v>
      </c>
      <c r="D57" s="62" t="s">
        <v>236</v>
      </c>
      <c r="E57" s="62" t="s">
        <v>98</v>
      </c>
      <c r="F57" s="56" t="s">
        <v>210</v>
      </c>
      <c r="G57" t="s">
        <v>51</v>
      </c>
      <c r="H57" s="75" t="s">
        <v>258</v>
      </c>
      <c r="I57" s="38" t="s">
        <v>59</v>
      </c>
      <c r="J57" s="60">
        <v>1</v>
      </c>
      <c r="K57" s="60">
        <v>23</v>
      </c>
      <c r="L57" s="26">
        <f>IFERROR(VLOOKUP(I57,Combos!$A$2:$B$10,2,FALSE)*J57,"")</f>
        <v>4.3</v>
      </c>
      <c r="M57" s="26">
        <f t="shared" si="2"/>
        <v>98.899999999999991</v>
      </c>
      <c r="N57" s="94">
        <f t="shared" si="3"/>
        <v>2.1867823123435642E-3</v>
      </c>
      <c r="O57" s="27"/>
      <c r="P57" s="33" t="s">
        <v>50</v>
      </c>
      <c r="Q57" s="58"/>
      <c r="R57" s="33" t="s">
        <v>63</v>
      </c>
      <c r="S57" s="59"/>
      <c r="T57" s="59"/>
      <c r="U57" s="59"/>
      <c r="V57" s="59"/>
      <c r="W57" s="59"/>
    </row>
    <row r="58" spans="1:23" s="30" customFormat="1" ht="28.5" x14ac:dyDescent="0.25">
      <c r="A58" s="25">
        <v>44</v>
      </c>
      <c r="B58" s="34" t="s">
        <v>259</v>
      </c>
      <c r="C58" s="62" t="s">
        <v>78</v>
      </c>
      <c r="D58" s="62" t="s">
        <v>236</v>
      </c>
      <c r="E58" s="62" t="s">
        <v>98</v>
      </c>
      <c r="F58" s="56" t="s">
        <v>211</v>
      </c>
      <c r="G58" t="s">
        <v>51</v>
      </c>
      <c r="H58" s="75" t="s">
        <v>258</v>
      </c>
      <c r="I58" s="38" t="s">
        <v>59</v>
      </c>
      <c r="J58" s="60">
        <v>1</v>
      </c>
      <c r="K58" s="60">
        <v>1</v>
      </c>
      <c r="L58" s="26">
        <f>IFERROR(VLOOKUP(I58,Combos!$A$2:$B$10,2,FALSE)*J58,"")</f>
        <v>4.3</v>
      </c>
      <c r="M58" s="26">
        <f t="shared" si="2"/>
        <v>4.3</v>
      </c>
      <c r="N58" s="94">
        <f t="shared" si="3"/>
        <v>9.507749184102453E-5</v>
      </c>
      <c r="O58" s="39"/>
      <c r="P58" s="33" t="s">
        <v>50</v>
      </c>
      <c r="Q58" s="47"/>
      <c r="R58" s="33" t="s">
        <v>63</v>
      </c>
      <c r="S58" s="24"/>
      <c r="T58" s="28"/>
      <c r="U58" s="28"/>
      <c r="V58" s="28"/>
      <c r="W58" s="28"/>
    </row>
    <row r="59" spans="1:23" s="30" customFormat="1" ht="28.5" x14ac:dyDescent="0.25">
      <c r="A59" s="34">
        <v>45</v>
      </c>
      <c r="B59" s="34" t="s">
        <v>259</v>
      </c>
      <c r="C59" s="62" t="s">
        <v>78</v>
      </c>
      <c r="D59" s="62" t="s">
        <v>236</v>
      </c>
      <c r="E59" s="62" t="s">
        <v>98</v>
      </c>
      <c r="F59" s="56" t="s">
        <v>151</v>
      </c>
      <c r="G59" t="s">
        <v>51</v>
      </c>
      <c r="H59" s="75" t="s">
        <v>258</v>
      </c>
      <c r="I59" s="38" t="s">
        <v>59</v>
      </c>
      <c r="J59" s="60">
        <v>1</v>
      </c>
      <c r="K59" s="60">
        <v>1</v>
      </c>
      <c r="L59" s="26">
        <f>IFERROR(VLOOKUP(I59,Combos!$A$2:$B$10,2,FALSE)*J59,"")</f>
        <v>4.3</v>
      </c>
      <c r="M59" s="26">
        <f t="shared" si="2"/>
        <v>4.3</v>
      </c>
      <c r="N59" s="94">
        <f t="shared" si="3"/>
        <v>9.507749184102453E-5</v>
      </c>
      <c r="O59" s="27"/>
      <c r="P59" s="33" t="s">
        <v>50</v>
      </c>
      <c r="Q59" s="47"/>
      <c r="R59" s="33" t="s">
        <v>63</v>
      </c>
      <c r="S59" s="24"/>
      <c r="T59" s="28"/>
      <c r="U59" s="28"/>
      <c r="V59" s="28"/>
      <c r="W59" s="28"/>
    </row>
    <row r="60" spans="1:23" s="30" customFormat="1" ht="28.5" x14ac:dyDescent="0.25">
      <c r="A60" s="25">
        <v>46</v>
      </c>
      <c r="B60" s="34" t="s">
        <v>259</v>
      </c>
      <c r="C60" s="62" t="s">
        <v>78</v>
      </c>
      <c r="D60" s="62" t="s">
        <v>236</v>
      </c>
      <c r="E60" s="62" t="s">
        <v>98</v>
      </c>
      <c r="F60" s="56" t="s">
        <v>152</v>
      </c>
      <c r="G60" t="s">
        <v>51</v>
      </c>
      <c r="H60" s="75" t="s">
        <v>258</v>
      </c>
      <c r="I60" s="38" t="s">
        <v>59</v>
      </c>
      <c r="J60" s="60">
        <v>1</v>
      </c>
      <c r="K60" s="60">
        <v>17</v>
      </c>
      <c r="L60" s="26">
        <f>IFERROR(VLOOKUP(I60,Combos!$A$2:$B$10,2,FALSE)*J60,"")</f>
        <v>4.3</v>
      </c>
      <c r="M60" s="26">
        <f t="shared" si="2"/>
        <v>73.099999999999994</v>
      </c>
      <c r="N60" s="94">
        <f t="shared" si="3"/>
        <v>1.6163173612974168E-3</v>
      </c>
      <c r="O60" s="40"/>
      <c r="P60" s="33" t="s">
        <v>50</v>
      </c>
      <c r="Q60" s="47"/>
      <c r="R60" s="33" t="s">
        <v>63</v>
      </c>
      <c r="S60" s="24"/>
      <c r="T60" s="28"/>
      <c r="U60" s="28"/>
      <c r="V60" s="28"/>
      <c r="W60" s="28"/>
    </row>
    <row r="61" spans="1:23" s="30" customFormat="1" ht="28.5" x14ac:dyDescent="0.25">
      <c r="A61" s="34">
        <v>47</v>
      </c>
      <c r="B61" s="34" t="s">
        <v>259</v>
      </c>
      <c r="C61" s="62" t="s">
        <v>78</v>
      </c>
      <c r="D61" s="62" t="s">
        <v>236</v>
      </c>
      <c r="E61" s="62" t="s">
        <v>98</v>
      </c>
      <c r="F61" s="56" t="s">
        <v>153</v>
      </c>
      <c r="G61" t="s">
        <v>51</v>
      </c>
      <c r="H61" s="75" t="s">
        <v>258</v>
      </c>
      <c r="I61" s="38" t="s">
        <v>59</v>
      </c>
      <c r="J61" s="60">
        <v>1</v>
      </c>
      <c r="K61" s="60">
        <v>17</v>
      </c>
      <c r="L61" s="26">
        <f>IFERROR(VLOOKUP(I61,Combos!$A$2:$B$10,2,FALSE)*J61,"")</f>
        <v>4.3</v>
      </c>
      <c r="M61" s="26">
        <f t="shared" si="2"/>
        <v>73.099999999999994</v>
      </c>
      <c r="N61" s="94">
        <f t="shared" si="3"/>
        <v>1.6163173612974168E-3</v>
      </c>
      <c r="O61" s="41"/>
      <c r="P61" s="33" t="s">
        <v>50</v>
      </c>
      <c r="Q61" s="48"/>
      <c r="R61" s="33" t="s">
        <v>64</v>
      </c>
      <c r="S61" s="31"/>
      <c r="T61" s="31"/>
      <c r="U61" s="31"/>
      <c r="V61" s="31"/>
      <c r="W61" s="31"/>
    </row>
    <row r="62" spans="1:23" s="30" customFormat="1" ht="28.5" x14ac:dyDescent="0.25">
      <c r="A62" s="25">
        <v>48</v>
      </c>
      <c r="B62" s="34" t="s">
        <v>259</v>
      </c>
      <c r="C62" s="62" t="s">
        <v>78</v>
      </c>
      <c r="D62" s="62" t="s">
        <v>221</v>
      </c>
      <c r="E62" s="62" t="s">
        <v>98</v>
      </c>
      <c r="F62" s="56" t="s">
        <v>154</v>
      </c>
      <c r="G62" t="s">
        <v>51</v>
      </c>
      <c r="H62" s="75" t="s">
        <v>258</v>
      </c>
      <c r="I62" s="38" t="s">
        <v>59</v>
      </c>
      <c r="J62" s="60">
        <v>1</v>
      </c>
      <c r="K62" s="60">
        <v>12</v>
      </c>
      <c r="L62" s="26">
        <f>IFERROR(VLOOKUP(I62,Combos!$A$2:$B$10,2,FALSE)*J62,"")</f>
        <v>4.3</v>
      </c>
      <c r="M62" s="26">
        <f t="shared" si="2"/>
        <v>51.599999999999994</v>
      </c>
      <c r="N62" s="94">
        <f t="shared" si="3"/>
        <v>1.1409299020922943E-3</v>
      </c>
      <c r="O62" s="27"/>
      <c r="P62" s="33" t="s">
        <v>50</v>
      </c>
      <c r="Q62" s="58"/>
      <c r="R62" s="33" t="s">
        <v>63</v>
      </c>
      <c r="S62" s="59"/>
      <c r="T62" s="59"/>
      <c r="U62" s="59"/>
      <c r="V62" s="59"/>
      <c r="W62" s="59"/>
    </row>
    <row r="63" spans="1:23" s="30" customFormat="1" ht="28.5" x14ac:dyDescent="0.25">
      <c r="A63" s="34">
        <v>49</v>
      </c>
      <c r="B63" s="34" t="s">
        <v>259</v>
      </c>
      <c r="C63" s="62" t="s">
        <v>78</v>
      </c>
      <c r="D63" s="62" t="s">
        <v>223</v>
      </c>
      <c r="E63" s="62" t="s">
        <v>98</v>
      </c>
      <c r="F63" s="56" t="s">
        <v>155</v>
      </c>
      <c r="G63" t="s">
        <v>51</v>
      </c>
      <c r="H63" s="75" t="s">
        <v>258</v>
      </c>
      <c r="I63" s="38" t="s">
        <v>57</v>
      </c>
      <c r="J63" s="60">
        <v>1</v>
      </c>
      <c r="K63" s="60">
        <v>180</v>
      </c>
      <c r="L63" s="26">
        <f>IFERROR(VLOOKUP(I63,Combos!$A$2:$B$10,2,FALSE)*J63,"")</f>
        <v>2</v>
      </c>
      <c r="M63" s="26">
        <f t="shared" si="2"/>
        <v>360</v>
      </c>
      <c r="N63" s="94">
        <f t="shared" si="3"/>
        <v>7.9599760611090298E-3</v>
      </c>
      <c r="O63" s="41"/>
      <c r="P63" s="33" t="s">
        <v>50</v>
      </c>
      <c r="Q63" s="48"/>
      <c r="R63" s="33" t="s">
        <v>63</v>
      </c>
      <c r="S63" s="31"/>
      <c r="T63" s="31"/>
      <c r="U63" s="31"/>
      <c r="V63" s="31"/>
      <c r="W63" s="31"/>
    </row>
    <row r="64" spans="1:23" s="30" customFormat="1" ht="28.5" x14ac:dyDescent="0.25">
      <c r="A64" s="34">
        <v>50</v>
      </c>
      <c r="B64" s="34" t="s">
        <v>259</v>
      </c>
      <c r="C64" s="62" t="s">
        <v>78</v>
      </c>
      <c r="D64" s="62" t="s">
        <v>223</v>
      </c>
      <c r="E64" s="62" t="s">
        <v>98</v>
      </c>
      <c r="F64" s="56" t="s">
        <v>156</v>
      </c>
      <c r="G64" t="s">
        <v>51</v>
      </c>
      <c r="H64" s="75" t="s">
        <v>258</v>
      </c>
      <c r="I64" s="38" t="s">
        <v>56</v>
      </c>
      <c r="J64" s="60">
        <v>1</v>
      </c>
      <c r="K64" s="60">
        <v>420</v>
      </c>
      <c r="L64" s="26">
        <f>IFERROR(VLOOKUP(I64,Combos!$A$2:$B$10,2,FALSE)*J64,"")</f>
        <v>1</v>
      </c>
      <c r="M64" s="26">
        <f t="shared" si="2"/>
        <v>420</v>
      </c>
      <c r="N64" s="94">
        <f t="shared" si="3"/>
        <v>9.2866387379605363E-3</v>
      </c>
      <c r="O64" s="27"/>
      <c r="P64" s="33" t="s">
        <v>50</v>
      </c>
      <c r="Q64" s="58"/>
      <c r="R64" s="33" t="s">
        <v>63</v>
      </c>
      <c r="S64" s="59"/>
      <c r="T64" s="59"/>
      <c r="U64" s="59"/>
      <c r="V64" s="59"/>
      <c r="W64" s="59"/>
    </row>
    <row r="65" spans="1:23" s="30" customFormat="1" ht="28.5" x14ac:dyDescent="0.25">
      <c r="A65" s="25">
        <v>51</v>
      </c>
      <c r="B65" s="34" t="s">
        <v>259</v>
      </c>
      <c r="C65" s="62" t="s">
        <v>78</v>
      </c>
      <c r="D65" s="62" t="s">
        <v>236</v>
      </c>
      <c r="E65" s="62" t="s">
        <v>98</v>
      </c>
      <c r="F65" s="56" t="s">
        <v>157</v>
      </c>
      <c r="G65" t="s">
        <v>51</v>
      </c>
      <c r="H65" s="75" t="s">
        <v>258</v>
      </c>
      <c r="I65" s="38" t="s">
        <v>59</v>
      </c>
      <c r="J65" s="60">
        <v>1</v>
      </c>
      <c r="K65" s="60">
        <v>12</v>
      </c>
      <c r="L65" s="26">
        <f>IFERROR(VLOOKUP(I65,Combos!$A$2:$B$10,2,FALSE)*J65,"")</f>
        <v>4.3</v>
      </c>
      <c r="M65" s="26">
        <f t="shared" si="2"/>
        <v>51.599999999999994</v>
      </c>
      <c r="N65" s="94">
        <f t="shared" si="3"/>
        <v>1.1409299020922943E-3</v>
      </c>
      <c r="O65" s="39"/>
      <c r="P65" s="33" t="s">
        <v>50</v>
      </c>
      <c r="Q65" s="47"/>
      <c r="R65" s="33" t="s">
        <v>63</v>
      </c>
      <c r="S65" s="24"/>
      <c r="T65" s="28"/>
      <c r="U65" s="28"/>
      <c r="V65" s="28"/>
      <c r="W65" s="28"/>
    </row>
    <row r="66" spans="1:23" s="30" customFormat="1" ht="28.5" x14ac:dyDescent="0.25">
      <c r="A66" s="34">
        <v>52</v>
      </c>
      <c r="B66" s="34" t="s">
        <v>259</v>
      </c>
      <c r="C66" s="62" t="s">
        <v>78</v>
      </c>
      <c r="D66" s="62" t="s">
        <v>233</v>
      </c>
      <c r="E66" s="62" t="s">
        <v>98</v>
      </c>
      <c r="F66" s="56" t="s">
        <v>158</v>
      </c>
      <c r="G66" t="s">
        <v>51</v>
      </c>
      <c r="H66" s="75" t="s">
        <v>258</v>
      </c>
      <c r="I66" s="38" t="s">
        <v>59</v>
      </c>
      <c r="J66" s="60">
        <v>1</v>
      </c>
      <c r="K66" s="60">
        <v>12</v>
      </c>
      <c r="L66" s="26">
        <f>IFERROR(VLOOKUP(I66,Combos!$A$2:$B$10,2,FALSE)*J66,"")</f>
        <v>4.3</v>
      </c>
      <c r="M66" s="26">
        <f t="shared" si="2"/>
        <v>51.599999999999994</v>
      </c>
      <c r="N66" s="94">
        <f t="shared" si="3"/>
        <v>1.1409299020922943E-3</v>
      </c>
      <c r="O66" s="27"/>
      <c r="P66" s="33" t="s">
        <v>50</v>
      </c>
      <c r="Q66" s="47"/>
      <c r="R66" s="33" t="s">
        <v>63</v>
      </c>
      <c r="S66" s="24"/>
      <c r="T66" s="28"/>
      <c r="U66" s="28"/>
      <c r="V66" s="28"/>
      <c r="W66" s="28"/>
    </row>
    <row r="67" spans="1:23" s="30" customFormat="1" ht="28.5" x14ac:dyDescent="0.25">
      <c r="A67" s="25">
        <v>53</v>
      </c>
      <c r="B67" s="34" t="s">
        <v>259</v>
      </c>
      <c r="C67" s="62" t="s">
        <v>78</v>
      </c>
      <c r="D67" s="62" t="s">
        <v>226</v>
      </c>
      <c r="E67" s="62" t="s">
        <v>98</v>
      </c>
      <c r="F67" s="56" t="s">
        <v>159</v>
      </c>
      <c r="G67" t="s">
        <v>51</v>
      </c>
      <c r="H67" s="75" t="s">
        <v>258</v>
      </c>
      <c r="I67" s="38" t="s">
        <v>59</v>
      </c>
      <c r="J67" s="60">
        <v>1</v>
      </c>
      <c r="K67" s="60">
        <v>12</v>
      </c>
      <c r="L67" s="26">
        <f>IFERROR(VLOOKUP(I67,Combos!$A$2:$B$10,2,FALSE)*J67,"")</f>
        <v>4.3</v>
      </c>
      <c r="M67" s="26">
        <f t="shared" si="2"/>
        <v>51.599999999999994</v>
      </c>
      <c r="N67" s="94">
        <f t="shared" si="3"/>
        <v>1.1409299020922943E-3</v>
      </c>
      <c r="O67" s="27"/>
      <c r="P67" s="33" t="s">
        <v>50</v>
      </c>
      <c r="Q67" s="58"/>
      <c r="R67" s="33" t="s">
        <v>63</v>
      </c>
      <c r="S67" s="59"/>
      <c r="T67" s="59"/>
      <c r="U67" s="59"/>
      <c r="V67" s="59"/>
      <c r="W67" s="59"/>
    </row>
    <row r="68" spans="1:23" s="30" customFormat="1" ht="28.5" x14ac:dyDescent="0.25">
      <c r="A68" s="34">
        <v>54</v>
      </c>
      <c r="B68" s="34" t="s">
        <v>259</v>
      </c>
      <c r="C68" s="62" t="s">
        <v>78</v>
      </c>
      <c r="D68" s="62" t="s">
        <v>225</v>
      </c>
      <c r="E68" s="62" t="s">
        <v>98</v>
      </c>
      <c r="F68" s="56" t="s">
        <v>160</v>
      </c>
      <c r="G68" t="s">
        <v>51</v>
      </c>
      <c r="H68" s="75" t="s">
        <v>258</v>
      </c>
      <c r="I68" s="38" t="s">
        <v>59</v>
      </c>
      <c r="J68" s="60">
        <v>1</v>
      </c>
      <c r="K68" s="60">
        <v>12</v>
      </c>
      <c r="L68" s="26">
        <f>IFERROR(VLOOKUP(I68,Combos!$A$2:$B$10,2,FALSE)*J68,"")</f>
        <v>4.3</v>
      </c>
      <c r="M68" s="26">
        <f t="shared" si="2"/>
        <v>51.599999999999994</v>
      </c>
      <c r="N68" s="94">
        <f t="shared" si="3"/>
        <v>1.1409299020922943E-3</v>
      </c>
      <c r="O68" s="41"/>
      <c r="P68" s="33" t="s">
        <v>50</v>
      </c>
      <c r="Q68" s="48"/>
      <c r="R68" s="33" t="s">
        <v>63</v>
      </c>
      <c r="S68" s="31"/>
      <c r="T68" s="31"/>
      <c r="U68" s="31"/>
      <c r="V68" s="31"/>
      <c r="W68" s="31"/>
    </row>
    <row r="69" spans="1:23" s="30" customFormat="1" ht="28.5" x14ac:dyDescent="0.25">
      <c r="A69" s="25">
        <v>55</v>
      </c>
      <c r="B69" s="34" t="s">
        <v>259</v>
      </c>
      <c r="C69" s="62" t="s">
        <v>78</v>
      </c>
      <c r="D69" s="62" t="s">
        <v>253</v>
      </c>
      <c r="E69" s="62" t="s">
        <v>98</v>
      </c>
      <c r="F69" s="56" t="s">
        <v>161</v>
      </c>
      <c r="G69" t="s">
        <v>51</v>
      </c>
      <c r="H69" s="75" t="s">
        <v>258</v>
      </c>
      <c r="I69" s="38" t="s">
        <v>59</v>
      </c>
      <c r="J69" s="60">
        <v>1</v>
      </c>
      <c r="K69" s="60">
        <v>23</v>
      </c>
      <c r="L69" s="26">
        <f>IFERROR(VLOOKUP(I69,Combos!$A$2:$B$10,2,FALSE)*J69,"")</f>
        <v>4.3</v>
      </c>
      <c r="M69" s="26">
        <f t="shared" si="2"/>
        <v>98.899999999999991</v>
      </c>
      <c r="N69" s="94">
        <f t="shared" si="3"/>
        <v>2.1867823123435642E-3</v>
      </c>
      <c r="O69" s="41"/>
      <c r="P69" s="33" t="s">
        <v>50</v>
      </c>
      <c r="Q69" s="48"/>
      <c r="R69" s="33" t="s">
        <v>63</v>
      </c>
      <c r="S69" s="31"/>
      <c r="T69" s="31"/>
      <c r="U69" s="31"/>
      <c r="V69" s="31"/>
      <c r="W69" s="31"/>
    </row>
    <row r="70" spans="1:23" s="30" customFormat="1" ht="28.5" x14ac:dyDescent="0.25">
      <c r="A70" s="34">
        <v>56</v>
      </c>
      <c r="B70" s="34" t="s">
        <v>259</v>
      </c>
      <c r="C70" s="62" t="s">
        <v>78</v>
      </c>
      <c r="D70" s="62" t="s">
        <v>237</v>
      </c>
      <c r="E70" s="62" t="s">
        <v>98</v>
      </c>
      <c r="F70" s="56" t="s">
        <v>162</v>
      </c>
      <c r="G70" t="s">
        <v>51</v>
      </c>
      <c r="H70" s="75" t="s">
        <v>258</v>
      </c>
      <c r="I70" s="38" t="s">
        <v>59</v>
      </c>
      <c r="J70" s="60">
        <v>1</v>
      </c>
      <c r="K70" s="60">
        <v>30</v>
      </c>
      <c r="L70" s="26">
        <f>IFERROR(VLOOKUP(I70,Combos!$A$2:$B$10,2,FALSE)*J70,"")</f>
        <v>4.3</v>
      </c>
      <c r="M70" s="26">
        <f t="shared" si="2"/>
        <v>129</v>
      </c>
      <c r="N70" s="94">
        <f t="shared" si="3"/>
        <v>2.8523247552307359E-3</v>
      </c>
      <c r="O70" s="27"/>
      <c r="P70" s="33" t="s">
        <v>50</v>
      </c>
      <c r="Q70" s="58"/>
      <c r="R70" s="33" t="s">
        <v>64</v>
      </c>
      <c r="S70" s="59"/>
      <c r="T70" s="59"/>
      <c r="U70" s="59"/>
      <c r="V70" s="59"/>
      <c r="W70" s="59"/>
    </row>
    <row r="71" spans="1:23" s="30" customFormat="1" ht="28.5" x14ac:dyDescent="0.25">
      <c r="A71" s="34">
        <v>57</v>
      </c>
      <c r="B71" s="34" t="s">
        <v>259</v>
      </c>
      <c r="C71" s="62" t="s">
        <v>78</v>
      </c>
      <c r="D71" s="62" t="s">
        <v>226</v>
      </c>
      <c r="E71" s="62" t="s">
        <v>98</v>
      </c>
      <c r="F71" s="56" t="s">
        <v>163</v>
      </c>
      <c r="G71" t="s">
        <v>51</v>
      </c>
      <c r="H71" s="75" t="s">
        <v>258</v>
      </c>
      <c r="I71" s="38" t="s">
        <v>59</v>
      </c>
      <c r="J71" s="60">
        <v>1</v>
      </c>
      <c r="K71" s="60">
        <v>42</v>
      </c>
      <c r="L71" s="26">
        <f>IFERROR(VLOOKUP(I71,Combos!$A$2:$B$10,2,FALSE)*J71,"")</f>
        <v>4.3</v>
      </c>
      <c r="M71" s="26">
        <f t="shared" si="2"/>
        <v>180.6</v>
      </c>
      <c r="N71" s="94">
        <f t="shared" si="3"/>
        <v>3.9932546573230301E-3</v>
      </c>
      <c r="O71" s="39"/>
      <c r="P71" s="33" t="s">
        <v>50</v>
      </c>
      <c r="Q71" s="47"/>
      <c r="R71" s="33" t="s">
        <v>64</v>
      </c>
      <c r="S71" s="24"/>
      <c r="T71" s="28"/>
      <c r="U71" s="28"/>
      <c r="V71" s="28"/>
      <c r="W71" s="28"/>
    </row>
    <row r="72" spans="1:23" s="30" customFormat="1" ht="28.5" x14ac:dyDescent="0.25">
      <c r="A72" s="25">
        <v>58</v>
      </c>
      <c r="B72" s="34" t="s">
        <v>259</v>
      </c>
      <c r="C72" s="62" t="s">
        <v>78</v>
      </c>
      <c r="D72" s="62" t="s">
        <v>221</v>
      </c>
      <c r="E72" s="62" t="s">
        <v>98</v>
      </c>
      <c r="F72" s="56" t="s">
        <v>164</v>
      </c>
      <c r="G72" t="s">
        <v>51</v>
      </c>
      <c r="H72" s="75" t="s">
        <v>258</v>
      </c>
      <c r="I72" s="38" t="s">
        <v>57</v>
      </c>
      <c r="J72" s="60">
        <v>1</v>
      </c>
      <c r="K72" s="60">
        <v>17</v>
      </c>
      <c r="L72" s="26">
        <f>IFERROR(VLOOKUP(I72,Combos!$A$2:$B$10,2,FALSE)*J72,"")</f>
        <v>2</v>
      </c>
      <c r="M72" s="26">
        <f t="shared" si="2"/>
        <v>34</v>
      </c>
      <c r="N72" s="94">
        <f t="shared" si="3"/>
        <v>7.5177551688251952E-4</v>
      </c>
      <c r="O72" s="27"/>
      <c r="P72" s="33" t="s">
        <v>50</v>
      </c>
      <c r="Q72" s="47"/>
      <c r="R72" s="33" t="s">
        <v>64</v>
      </c>
      <c r="S72" s="24"/>
      <c r="T72" s="28"/>
      <c r="U72" s="28"/>
      <c r="V72" s="28"/>
      <c r="W72" s="28"/>
    </row>
    <row r="73" spans="1:23" s="30" customFormat="1" ht="28.5" x14ac:dyDescent="0.25">
      <c r="A73" s="34">
        <v>59</v>
      </c>
      <c r="B73" s="34" t="s">
        <v>259</v>
      </c>
      <c r="C73" s="62" t="s">
        <v>79</v>
      </c>
      <c r="D73" s="62" t="s">
        <v>226</v>
      </c>
      <c r="E73" s="62" t="s">
        <v>99</v>
      </c>
      <c r="F73" s="56" t="s">
        <v>165</v>
      </c>
      <c r="G73" t="s">
        <v>53</v>
      </c>
      <c r="H73" s="75" t="s">
        <v>258</v>
      </c>
      <c r="I73" s="38" t="s">
        <v>59</v>
      </c>
      <c r="J73" s="60">
        <v>1</v>
      </c>
      <c r="K73" s="60">
        <v>17</v>
      </c>
      <c r="L73" s="26">
        <f>IFERROR(VLOOKUP(I73,Combos!$A$2:$B$10,2,FALSE)*J73,"")</f>
        <v>4.3</v>
      </c>
      <c r="M73" s="26">
        <f t="shared" si="2"/>
        <v>73.099999999999994</v>
      </c>
      <c r="N73" s="94">
        <f t="shared" si="3"/>
        <v>1.6163173612974168E-3</v>
      </c>
      <c r="O73" s="40"/>
      <c r="P73" s="33" t="s">
        <v>50</v>
      </c>
      <c r="Q73" s="47"/>
      <c r="R73" s="33" t="s">
        <v>63</v>
      </c>
      <c r="S73" s="24"/>
      <c r="T73" s="28"/>
      <c r="U73" s="28"/>
      <c r="V73" s="28"/>
      <c r="W73" s="28"/>
    </row>
    <row r="74" spans="1:23" s="30" customFormat="1" ht="28.5" x14ac:dyDescent="0.25">
      <c r="A74" s="25">
        <v>60</v>
      </c>
      <c r="B74" s="34" t="s">
        <v>259</v>
      </c>
      <c r="C74" s="62" t="s">
        <v>79</v>
      </c>
      <c r="D74" s="62" t="s">
        <v>226</v>
      </c>
      <c r="E74" s="62" t="s">
        <v>99</v>
      </c>
      <c r="F74" s="56" t="s">
        <v>166</v>
      </c>
      <c r="G74" t="s">
        <v>51</v>
      </c>
      <c r="H74" s="75" t="s">
        <v>258</v>
      </c>
      <c r="I74" s="38" t="s">
        <v>59</v>
      </c>
      <c r="J74" s="60">
        <v>1</v>
      </c>
      <c r="K74" s="60">
        <v>23</v>
      </c>
      <c r="L74" s="26">
        <f>IFERROR(VLOOKUP(I74,Combos!$A$2:$B$10,2,FALSE)*J74,"")</f>
        <v>4.3</v>
      </c>
      <c r="M74" s="26">
        <f t="shared" si="2"/>
        <v>98.899999999999991</v>
      </c>
      <c r="N74" s="94">
        <f t="shared" si="3"/>
        <v>2.1867823123435642E-3</v>
      </c>
      <c r="O74" s="41"/>
      <c r="P74" s="33" t="s">
        <v>50</v>
      </c>
      <c r="Q74" s="48"/>
      <c r="R74" s="33" t="s">
        <v>63</v>
      </c>
      <c r="S74" s="31"/>
      <c r="T74" s="31"/>
      <c r="U74" s="31"/>
      <c r="V74" s="31"/>
      <c r="W74" s="31"/>
    </row>
    <row r="75" spans="1:23" s="30" customFormat="1" ht="28.5" x14ac:dyDescent="0.25">
      <c r="A75" s="34">
        <v>61</v>
      </c>
      <c r="B75" s="34" t="s">
        <v>259</v>
      </c>
      <c r="C75" s="62" t="s">
        <v>79</v>
      </c>
      <c r="D75" s="62" t="s">
        <v>226</v>
      </c>
      <c r="E75" s="62" t="s">
        <v>99</v>
      </c>
      <c r="F75" s="56" t="s">
        <v>167</v>
      </c>
      <c r="G75" t="s">
        <v>51</v>
      </c>
      <c r="H75" s="75" t="s">
        <v>258</v>
      </c>
      <c r="I75" s="38" t="s">
        <v>59</v>
      </c>
      <c r="J75" s="60">
        <v>1</v>
      </c>
      <c r="K75" s="60">
        <v>12</v>
      </c>
      <c r="L75" s="26">
        <f>IFERROR(VLOOKUP(I75,Combos!$A$2:$B$10,2,FALSE)*J75,"")</f>
        <v>4.3</v>
      </c>
      <c r="M75" s="26">
        <f t="shared" si="2"/>
        <v>51.599999999999994</v>
      </c>
      <c r="N75" s="94">
        <f t="shared" si="3"/>
        <v>1.1409299020922943E-3</v>
      </c>
      <c r="O75" s="27"/>
      <c r="P75" s="33" t="s">
        <v>50</v>
      </c>
      <c r="Q75" s="58"/>
      <c r="R75" s="33" t="s">
        <v>63</v>
      </c>
      <c r="S75" s="59"/>
      <c r="T75" s="59"/>
      <c r="U75" s="59"/>
      <c r="V75" s="59"/>
      <c r="W75" s="59"/>
    </row>
    <row r="76" spans="1:23" s="30" customFormat="1" ht="28.5" x14ac:dyDescent="0.25">
      <c r="A76" s="25">
        <v>62</v>
      </c>
      <c r="B76" s="34" t="s">
        <v>259</v>
      </c>
      <c r="C76" s="62" t="s">
        <v>80</v>
      </c>
      <c r="D76" s="62" t="s">
        <v>224</v>
      </c>
      <c r="E76" s="62" t="s">
        <v>100</v>
      </c>
      <c r="F76" s="56" t="s">
        <v>168</v>
      </c>
      <c r="G76" t="s">
        <v>51</v>
      </c>
      <c r="H76" s="75" t="s">
        <v>258</v>
      </c>
      <c r="I76" s="38" t="s">
        <v>59</v>
      </c>
      <c r="J76" s="60">
        <v>1</v>
      </c>
      <c r="K76" s="60">
        <v>1</v>
      </c>
      <c r="L76" s="26">
        <f>IFERROR(VLOOKUP(I76,Combos!$A$2:$B$10,2,FALSE)*J76,"")</f>
        <v>4.3</v>
      </c>
      <c r="M76" s="26">
        <f t="shared" si="2"/>
        <v>4.3</v>
      </c>
      <c r="N76" s="94">
        <f t="shared" si="3"/>
        <v>9.507749184102453E-5</v>
      </c>
      <c r="O76" s="41"/>
      <c r="P76" s="33" t="s">
        <v>50</v>
      </c>
      <c r="Q76" s="48"/>
      <c r="R76" s="33" t="s">
        <v>63</v>
      </c>
      <c r="S76" s="31"/>
      <c r="T76" s="31"/>
      <c r="U76" s="31"/>
      <c r="V76" s="31"/>
      <c r="W76" s="31"/>
    </row>
    <row r="77" spans="1:23" s="30" customFormat="1" ht="28.5" x14ac:dyDescent="0.25">
      <c r="A77" s="34">
        <v>63</v>
      </c>
      <c r="B77" s="34" t="s">
        <v>259</v>
      </c>
      <c r="C77" s="62" t="s">
        <v>80</v>
      </c>
      <c r="D77" s="62" t="s">
        <v>224</v>
      </c>
      <c r="E77" s="62" t="s">
        <v>100</v>
      </c>
      <c r="F77" s="56" t="s">
        <v>169</v>
      </c>
      <c r="G77" t="s">
        <v>48</v>
      </c>
      <c r="H77" s="75" t="s">
        <v>258</v>
      </c>
      <c r="I77" s="38" t="s">
        <v>56</v>
      </c>
      <c r="J77" s="60">
        <v>1</v>
      </c>
      <c r="K77" s="60">
        <v>42</v>
      </c>
      <c r="L77" s="26">
        <f>IFERROR(VLOOKUP(I77,Combos!$A$2:$B$10,2,FALSE)*J77,"")</f>
        <v>1</v>
      </c>
      <c r="M77" s="26">
        <f t="shared" si="2"/>
        <v>42</v>
      </c>
      <c r="N77" s="94">
        <f t="shared" si="3"/>
        <v>9.2866387379605356E-4</v>
      </c>
      <c r="O77" s="27"/>
      <c r="P77" s="33" t="s">
        <v>50</v>
      </c>
      <c r="Q77" s="58"/>
      <c r="R77" s="33" t="s">
        <v>64</v>
      </c>
      <c r="S77" s="59"/>
      <c r="T77" s="59"/>
      <c r="U77" s="59"/>
      <c r="V77" s="59"/>
      <c r="W77" s="59"/>
    </row>
    <row r="78" spans="1:23" s="30" customFormat="1" ht="28.5" x14ac:dyDescent="0.25">
      <c r="A78" s="34">
        <v>64</v>
      </c>
      <c r="B78" s="34" t="s">
        <v>259</v>
      </c>
      <c r="C78" s="62" t="s">
        <v>80</v>
      </c>
      <c r="D78" s="62" t="s">
        <v>226</v>
      </c>
      <c r="E78" s="62" t="s">
        <v>100</v>
      </c>
      <c r="F78" s="56" t="s">
        <v>170</v>
      </c>
      <c r="G78" t="s">
        <v>51</v>
      </c>
      <c r="H78" s="75" t="s">
        <v>258</v>
      </c>
      <c r="I78" s="38" t="s">
        <v>59</v>
      </c>
      <c r="J78" s="60">
        <v>1</v>
      </c>
      <c r="K78" s="60">
        <v>17</v>
      </c>
      <c r="L78" s="26">
        <f>IFERROR(VLOOKUP(I78,Combos!$A$2:$B$10,2,FALSE)*J78,"")</f>
        <v>4.3</v>
      </c>
      <c r="M78" s="26">
        <f t="shared" si="2"/>
        <v>73.099999999999994</v>
      </c>
      <c r="N78" s="94">
        <f t="shared" si="3"/>
        <v>1.6163173612974168E-3</v>
      </c>
      <c r="O78" s="39"/>
      <c r="P78" s="33" t="s">
        <v>50</v>
      </c>
      <c r="Q78" s="47"/>
      <c r="R78" s="33" t="s">
        <v>63</v>
      </c>
      <c r="S78" s="24"/>
      <c r="T78" s="28"/>
      <c r="U78" s="28"/>
      <c r="V78" s="28"/>
      <c r="W78" s="28"/>
    </row>
    <row r="79" spans="1:23" s="30" customFormat="1" ht="28.5" x14ac:dyDescent="0.25">
      <c r="A79" s="25">
        <v>65</v>
      </c>
      <c r="B79" s="34" t="s">
        <v>259</v>
      </c>
      <c r="C79" s="62" t="s">
        <v>80</v>
      </c>
      <c r="D79" s="62" t="s">
        <v>240</v>
      </c>
      <c r="E79" s="62" t="s">
        <v>100</v>
      </c>
      <c r="F79" s="56" t="s">
        <v>171</v>
      </c>
      <c r="G79" t="s">
        <v>51</v>
      </c>
      <c r="H79" s="75" t="s">
        <v>258</v>
      </c>
      <c r="I79" s="38" t="s">
        <v>56</v>
      </c>
      <c r="J79" s="60">
        <v>1</v>
      </c>
      <c r="K79" s="60">
        <v>23</v>
      </c>
      <c r="L79" s="26">
        <f>IFERROR(VLOOKUP(I79,Combos!$A$2:$B$10,2,FALSE)*J79,"")</f>
        <v>1</v>
      </c>
      <c r="M79" s="26">
        <f t="shared" ref="M79:M110" si="4">IFERROR(K79*L79,"")</f>
        <v>23</v>
      </c>
      <c r="N79" s="94">
        <f t="shared" ref="N79:N110" si="5">IFERROR(M79/$M$191,"")</f>
        <v>5.0855402612641032E-4</v>
      </c>
      <c r="O79" s="27"/>
      <c r="P79" s="33" t="s">
        <v>50</v>
      </c>
      <c r="Q79" s="47"/>
      <c r="R79" s="33" t="s">
        <v>63</v>
      </c>
      <c r="S79" s="24"/>
      <c r="T79" s="28"/>
      <c r="U79" s="28"/>
      <c r="V79" s="28"/>
      <c r="W79" s="28"/>
    </row>
    <row r="80" spans="1:23" s="30" customFormat="1" ht="42.75" x14ac:dyDescent="0.25">
      <c r="A80" s="34">
        <v>66</v>
      </c>
      <c r="B80" s="34" t="s">
        <v>259</v>
      </c>
      <c r="C80" s="62" t="s">
        <v>81</v>
      </c>
      <c r="D80" s="62" t="s">
        <v>224</v>
      </c>
      <c r="E80" s="62" t="s">
        <v>101</v>
      </c>
      <c r="F80" s="56" t="s">
        <v>172</v>
      </c>
      <c r="G80" t="s">
        <v>48</v>
      </c>
      <c r="H80" s="75" t="s">
        <v>258</v>
      </c>
      <c r="I80" s="38" t="s">
        <v>56</v>
      </c>
      <c r="J80" s="60">
        <v>1</v>
      </c>
      <c r="K80" s="60">
        <v>23</v>
      </c>
      <c r="L80" s="26">
        <f>IFERROR(VLOOKUP(I80,Combos!$A$2:$B$10,2,FALSE)*J80,"")</f>
        <v>1</v>
      </c>
      <c r="M80" s="26">
        <f t="shared" si="4"/>
        <v>23</v>
      </c>
      <c r="N80" s="94">
        <f t="shared" si="5"/>
        <v>5.0855402612641032E-4</v>
      </c>
      <c r="O80" s="40"/>
      <c r="P80" s="33" t="s">
        <v>50</v>
      </c>
      <c r="Q80" s="47"/>
      <c r="R80" s="33" t="s">
        <v>63</v>
      </c>
      <c r="S80" s="24"/>
      <c r="T80" s="28"/>
      <c r="U80" s="28"/>
      <c r="V80" s="28"/>
      <c r="W80" s="28"/>
    </row>
    <row r="81" spans="1:23" s="30" customFormat="1" ht="28.5" x14ac:dyDescent="0.25">
      <c r="A81" s="25">
        <v>67</v>
      </c>
      <c r="B81" s="34" t="s">
        <v>259</v>
      </c>
      <c r="C81" s="62" t="s">
        <v>81</v>
      </c>
      <c r="D81" s="62" t="s">
        <v>224</v>
      </c>
      <c r="E81" s="62" t="s">
        <v>101</v>
      </c>
      <c r="F81" s="56" t="s">
        <v>173</v>
      </c>
      <c r="G81" t="s">
        <v>51</v>
      </c>
      <c r="H81" s="75" t="s">
        <v>258</v>
      </c>
      <c r="I81" s="38" t="s">
        <v>60</v>
      </c>
      <c r="J81" s="60">
        <v>3</v>
      </c>
      <c r="K81" s="60">
        <v>17</v>
      </c>
      <c r="L81" s="26">
        <f>IFERROR(VLOOKUP(I81,Combos!$A$2:$B$10,2,FALSE)*J81,"")</f>
        <v>60</v>
      </c>
      <c r="M81" s="26">
        <f t="shared" si="4"/>
        <v>1020</v>
      </c>
      <c r="N81" s="94">
        <f t="shared" si="5"/>
        <v>2.2553265506475587E-2</v>
      </c>
      <c r="O81" s="41"/>
      <c r="P81" s="33" t="s">
        <v>50</v>
      </c>
      <c r="Q81" s="48"/>
      <c r="R81" s="33" t="s">
        <v>64</v>
      </c>
      <c r="S81" s="31"/>
      <c r="T81" s="31"/>
      <c r="U81" s="31"/>
      <c r="V81" s="31"/>
      <c r="W81" s="31"/>
    </row>
    <row r="82" spans="1:23" s="30" customFormat="1" ht="28.5" x14ac:dyDescent="0.25">
      <c r="A82" s="34">
        <v>68</v>
      </c>
      <c r="B82" s="34" t="s">
        <v>259</v>
      </c>
      <c r="C82" s="62" t="s">
        <v>81</v>
      </c>
      <c r="D82" s="62" t="s">
        <v>224</v>
      </c>
      <c r="E82" s="62" t="s">
        <v>101</v>
      </c>
      <c r="F82" s="56" t="s">
        <v>174</v>
      </c>
      <c r="G82" t="s">
        <v>51</v>
      </c>
      <c r="H82" s="75" t="s">
        <v>258</v>
      </c>
      <c r="I82" s="38" t="s">
        <v>60</v>
      </c>
      <c r="J82" s="60">
        <v>3</v>
      </c>
      <c r="K82" s="60">
        <v>12</v>
      </c>
      <c r="L82" s="26">
        <f>IFERROR(VLOOKUP(I82,Combos!$A$2:$B$10,2,FALSE)*J82,"")</f>
        <v>60</v>
      </c>
      <c r="M82" s="26">
        <f t="shared" si="4"/>
        <v>720</v>
      </c>
      <c r="N82" s="94">
        <f t="shared" si="5"/>
        <v>1.591995212221806E-2</v>
      </c>
      <c r="O82" s="27"/>
      <c r="P82" s="33" t="s">
        <v>50</v>
      </c>
      <c r="Q82" s="58"/>
      <c r="R82" s="33" t="s">
        <v>64</v>
      </c>
      <c r="S82" s="59"/>
      <c r="T82" s="59"/>
      <c r="U82" s="59"/>
      <c r="V82" s="59"/>
      <c r="W82" s="59"/>
    </row>
    <row r="83" spans="1:23" s="30" customFormat="1" ht="28.5" x14ac:dyDescent="0.25">
      <c r="A83" s="25">
        <v>69</v>
      </c>
      <c r="B83" s="34" t="s">
        <v>259</v>
      </c>
      <c r="C83" s="62" t="s">
        <v>81</v>
      </c>
      <c r="D83" s="62" t="s">
        <v>224</v>
      </c>
      <c r="E83" s="62" t="s">
        <v>101</v>
      </c>
      <c r="F83" s="56" t="s">
        <v>175</v>
      </c>
      <c r="G83" t="s">
        <v>51</v>
      </c>
      <c r="H83" s="75" t="s">
        <v>258</v>
      </c>
      <c r="I83" s="38" t="s">
        <v>60</v>
      </c>
      <c r="J83" s="60">
        <v>1</v>
      </c>
      <c r="K83" s="60">
        <v>12</v>
      </c>
      <c r="L83" s="26">
        <f>IFERROR(VLOOKUP(I83,Combos!$A$2:$B$10,2,FALSE)*J83,"")</f>
        <v>20</v>
      </c>
      <c r="M83" s="26">
        <f t="shared" si="4"/>
        <v>240</v>
      </c>
      <c r="N83" s="94">
        <f t="shared" si="5"/>
        <v>5.3066507074060205E-3</v>
      </c>
      <c r="O83" s="41"/>
      <c r="P83" s="33" t="s">
        <v>50</v>
      </c>
      <c r="Q83" s="48"/>
      <c r="R83" s="33" t="s">
        <v>63</v>
      </c>
      <c r="S83" s="31"/>
      <c r="T83" s="31"/>
      <c r="U83" s="31"/>
      <c r="V83" s="31"/>
      <c r="W83" s="31"/>
    </row>
    <row r="84" spans="1:23" s="30" customFormat="1" ht="28.5" x14ac:dyDescent="0.25">
      <c r="A84" s="34">
        <v>70</v>
      </c>
      <c r="B84" s="34" t="s">
        <v>259</v>
      </c>
      <c r="C84" s="62" t="s">
        <v>81</v>
      </c>
      <c r="D84" s="62" t="s">
        <v>224</v>
      </c>
      <c r="E84" s="62" t="s">
        <v>101</v>
      </c>
      <c r="F84" s="56" t="s">
        <v>176</v>
      </c>
      <c r="G84" t="s">
        <v>51</v>
      </c>
      <c r="H84" s="75" t="s">
        <v>258</v>
      </c>
      <c r="I84" s="38" t="s">
        <v>60</v>
      </c>
      <c r="J84" s="60">
        <v>3</v>
      </c>
      <c r="K84" s="60">
        <v>12</v>
      </c>
      <c r="L84" s="26">
        <f>IFERROR(VLOOKUP(I84,Combos!$A$2:$B$10,2,FALSE)*J84,"")</f>
        <v>60</v>
      </c>
      <c r="M84" s="26">
        <f t="shared" si="4"/>
        <v>720</v>
      </c>
      <c r="N84" s="94">
        <f t="shared" si="5"/>
        <v>1.591995212221806E-2</v>
      </c>
      <c r="O84" s="27"/>
      <c r="P84" s="33" t="s">
        <v>50</v>
      </c>
      <c r="Q84" s="58"/>
      <c r="R84" s="33" t="s">
        <v>63</v>
      </c>
      <c r="S84" s="59"/>
      <c r="T84" s="59"/>
      <c r="U84" s="59"/>
      <c r="V84" s="59"/>
      <c r="W84" s="59"/>
    </row>
    <row r="85" spans="1:23" s="30" customFormat="1" ht="28.5" x14ac:dyDescent="0.25">
      <c r="A85" s="34">
        <v>71</v>
      </c>
      <c r="B85" s="34" t="s">
        <v>259</v>
      </c>
      <c r="C85" s="62" t="s">
        <v>82</v>
      </c>
      <c r="D85" s="62" t="s">
        <v>224</v>
      </c>
      <c r="E85" s="62" t="s">
        <v>102</v>
      </c>
      <c r="F85" s="56" t="s">
        <v>177</v>
      </c>
      <c r="G85" t="s">
        <v>51</v>
      </c>
      <c r="H85" s="75" t="s">
        <v>258</v>
      </c>
      <c r="I85" s="38" t="s">
        <v>59</v>
      </c>
      <c r="J85" s="60">
        <v>1</v>
      </c>
      <c r="K85" s="60">
        <v>12</v>
      </c>
      <c r="L85" s="26">
        <f>IFERROR(VLOOKUP(I85,Combos!$A$2:$B$10,2,FALSE)*J85,"")</f>
        <v>4.3</v>
      </c>
      <c r="M85" s="26">
        <f t="shared" si="4"/>
        <v>51.599999999999994</v>
      </c>
      <c r="N85" s="94">
        <f t="shared" si="5"/>
        <v>1.1409299020922943E-3</v>
      </c>
      <c r="O85" s="39"/>
      <c r="P85" s="33" t="s">
        <v>50</v>
      </c>
      <c r="Q85" s="47"/>
      <c r="R85" s="33" t="s">
        <v>64</v>
      </c>
      <c r="S85" s="24"/>
      <c r="T85" s="28"/>
      <c r="U85" s="28"/>
      <c r="V85" s="28"/>
      <c r="W85" s="28"/>
    </row>
    <row r="86" spans="1:23" s="30" customFormat="1" ht="28.5" x14ac:dyDescent="0.25">
      <c r="A86" s="25">
        <v>72</v>
      </c>
      <c r="B86" s="34" t="s">
        <v>259</v>
      </c>
      <c r="C86" s="62" t="s">
        <v>82</v>
      </c>
      <c r="D86" s="62" t="s">
        <v>235</v>
      </c>
      <c r="E86" s="62" t="s">
        <v>102</v>
      </c>
      <c r="F86" s="56" t="s">
        <v>178</v>
      </c>
      <c r="G86" t="s">
        <v>51</v>
      </c>
      <c r="H86" s="75" t="s">
        <v>258</v>
      </c>
      <c r="I86" s="38" t="s">
        <v>59</v>
      </c>
      <c r="J86" s="60">
        <v>2</v>
      </c>
      <c r="K86" s="60">
        <v>17</v>
      </c>
      <c r="L86" s="26">
        <f>IFERROR(VLOOKUP(I86,Combos!$A$2:$B$10,2,FALSE)*J86,"")</f>
        <v>8.6</v>
      </c>
      <c r="M86" s="26">
        <f t="shared" si="4"/>
        <v>146.19999999999999</v>
      </c>
      <c r="N86" s="94">
        <f t="shared" si="5"/>
        <v>3.2326347225948336E-3</v>
      </c>
      <c r="O86" s="27"/>
      <c r="P86" s="33" t="s">
        <v>50</v>
      </c>
      <c r="Q86" s="47"/>
      <c r="R86" s="33" t="s">
        <v>64</v>
      </c>
      <c r="S86" s="24"/>
      <c r="T86" s="28"/>
      <c r="U86" s="28"/>
      <c r="V86" s="28"/>
      <c r="W86" s="28"/>
    </row>
    <row r="87" spans="1:23" s="30" customFormat="1" ht="28.5" x14ac:dyDescent="0.25">
      <c r="A87" s="34">
        <v>73</v>
      </c>
      <c r="B87" s="34" t="s">
        <v>259</v>
      </c>
      <c r="C87" s="62" t="s">
        <v>82</v>
      </c>
      <c r="D87" s="62" t="s">
        <v>235</v>
      </c>
      <c r="E87" s="62" t="s">
        <v>102</v>
      </c>
      <c r="F87" s="56" t="s">
        <v>179</v>
      </c>
      <c r="G87" t="s">
        <v>51</v>
      </c>
      <c r="H87" s="75" t="s">
        <v>258</v>
      </c>
      <c r="I87" s="38" t="s">
        <v>59</v>
      </c>
      <c r="J87" s="60">
        <v>2</v>
      </c>
      <c r="K87" s="60">
        <v>12</v>
      </c>
      <c r="L87" s="26">
        <f>IFERROR(VLOOKUP(I87,Combos!$A$2:$B$10,2,FALSE)*J87,"")</f>
        <v>8.6</v>
      </c>
      <c r="M87" s="26">
        <f t="shared" si="4"/>
        <v>103.19999999999999</v>
      </c>
      <c r="N87" s="94">
        <f t="shared" si="5"/>
        <v>2.2818598041845885E-3</v>
      </c>
      <c r="O87" s="40"/>
      <c r="P87" s="33" t="s">
        <v>50</v>
      </c>
      <c r="Q87" s="47"/>
      <c r="R87" s="33" t="s">
        <v>63</v>
      </c>
      <c r="S87" s="24"/>
      <c r="T87" s="28"/>
      <c r="U87" s="28"/>
      <c r="V87" s="28"/>
      <c r="W87" s="28"/>
    </row>
    <row r="88" spans="1:23" s="30" customFormat="1" ht="28.5" x14ac:dyDescent="0.25">
      <c r="A88" s="25">
        <v>74</v>
      </c>
      <c r="B88" s="34" t="s">
        <v>259</v>
      </c>
      <c r="C88" s="62" t="s">
        <v>82</v>
      </c>
      <c r="D88" s="62" t="s">
        <v>235</v>
      </c>
      <c r="E88" s="62" t="s">
        <v>102</v>
      </c>
      <c r="F88" s="56" t="s">
        <v>180</v>
      </c>
      <c r="G88" t="s">
        <v>51</v>
      </c>
      <c r="H88" s="75" t="s">
        <v>258</v>
      </c>
      <c r="I88" s="38" t="s">
        <v>59</v>
      </c>
      <c r="J88" s="60">
        <v>2</v>
      </c>
      <c r="K88" s="60">
        <v>17</v>
      </c>
      <c r="L88" s="26">
        <f>IFERROR(VLOOKUP(I88,Combos!$A$2:$B$10,2,FALSE)*J88,"")</f>
        <v>8.6</v>
      </c>
      <c r="M88" s="26">
        <f t="shared" si="4"/>
        <v>146.19999999999999</v>
      </c>
      <c r="N88" s="94">
        <f t="shared" si="5"/>
        <v>3.2326347225948336E-3</v>
      </c>
      <c r="O88" s="41"/>
      <c r="P88" s="33" t="s">
        <v>50</v>
      </c>
      <c r="Q88" s="48"/>
      <c r="R88" s="33" t="s">
        <v>64</v>
      </c>
      <c r="S88" s="31"/>
      <c r="T88" s="31"/>
      <c r="U88" s="31"/>
      <c r="V88" s="31"/>
      <c r="W88" s="31"/>
    </row>
    <row r="89" spans="1:23" s="30" customFormat="1" ht="28.5" x14ac:dyDescent="0.25">
      <c r="A89" s="34">
        <v>75</v>
      </c>
      <c r="B89" s="34" t="s">
        <v>259</v>
      </c>
      <c r="C89" s="62" t="s">
        <v>83</v>
      </c>
      <c r="D89" s="62" t="s">
        <v>241</v>
      </c>
      <c r="E89" s="62" t="s">
        <v>103</v>
      </c>
      <c r="F89" s="56" t="s">
        <v>181</v>
      </c>
      <c r="G89" t="s">
        <v>51</v>
      </c>
      <c r="H89" s="75" t="s">
        <v>258</v>
      </c>
      <c r="I89" s="38" t="s">
        <v>57</v>
      </c>
      <c r="J89" s="60">
        <v>1</v>
      </c>
      <c r="K89" s="60">
        <v>23</v>
      </c>
      <c r="L89" s="26">
        <f>IFERROR(VLOOKUP(I89,Combos!$A$2:$B$10,2,FALSE)*J89,"")</f>
        <v>2</v>
      </c>
      <c r="M89" s="26">
        <f t="shared" si="4"/>
        <v>46</v>
      </c>
      <c r="N89" s="94">
        <f t="shared" si="5"/>
        <v>1.0171080522528206E-3</v>
      </c>
      <c r="O89" s="27"/>
      <c r="P89" s="33" t="s">
        <v>47</v>
      </c>
      <c r="Q89" s="58"/>
      <c r="R89" s="33" t="s">
        <v>63</v>
      </c>
      <c r="S89" s="59"/>
      <c r="T89" s="59"/>
      <c r="U89" s="59"/>
      <c r="V89" s="59"/>
      <c r="W89" s="59"/>
    </row>
    <row r="90" spans="1:23" s="30" customFormat="1" ht="28.5" x14ac:dyDescent="0.25">
      <c r="A90" s="25">
        <v>76</v>
      </c>
      <c r="B90" s="34" t="s">
        <v>259</v>
      </c>
      <c r="C90" s="62" t="s">
        <v>83</v>
      </c>
      <c r="D90" s="62" t="s">
        <v>241</v>
      </c>
      <c r="E90" s="62" t="s">
        <v>103</v>
      </c>
      <c r="F90" s="56" t="s">
        <v>182</v>
      </c>
      <c r="G90" t="s">
        <v>51</v>
      </c>
      <c r="H90" s="75" t="s">
        <v>258</v>
      </c>
      <c r="I90" s="38" t="s">
        <v>57</v>
      </c>
      <c r="J90" s="60">
        <v>1</v>
      </c>
      <c r="K90" s="60">
        <v>12</v>
      </c>
      <c r="L90" s="26">
        <f>IFERROR(VLOOKUP(I90,Combos!$A$2:$B$10,2,FALSE)*J90,"")</f>
        <v>2</v>
      </c>
      <c r="M90" s="26">
        <f t="shared" si="4"/>
        <v>24</v>
      </c>
      <c r="N90" s="94">
        <f t="shared" si="5"/>
        <v>5.30665070740602E-4</v>
      </c>
      <c r="O90" s="41"/>
      <c r="P90" s="33" t="s">
        <v>47</v>
      </c>
      <c r="Q90" s="48"/>
      <c r="R90" s="33" t="s">
        <v>63</v>
      </c>
      <c r="S90" s="31"/>
      <c r="T90" s="31"/>
      <c r="U90" s="31"/>
      <c r="V90" s="31"/>
      <c r="W90" s="31"/>
    </row>
    <row r="91" spans="1:23" s="30" customFormat="1" ht="28.5" x14ac:dyDescent="0.25">
      <c r="A91" s="34">
        <v>77</v>
      </c>
      <c r="B91" s="34" t="s">
        <v>259</v>
      </c>
      <c r="C91" s="62" t="s">
        <v>83</v>
      </c>
      <c r="D91" s="62" t="s">
        <v>241</v>
      </c>
      <c r="E91" s="62" t="s">
        <v>103</v>
      </c>
      <c r="F91" s="56" t="s">
        <v>183</v>
      </c>
      <c r="G91" t="s">
        <v>48</v>
      </c>
      <c r="H91" s="75" t="s">
        <v>258</v>
      </c>
      <c r="I91" s="38" t="s">
        <v>57</v>
      </c>
      <c r="J91" s="60">
        <v>1</v>
      </c>
      <c r="K91" s="60">
        <v>23</v>
      </c>
      <c r="L91" s="26">
        <f>IFERROR(VLOOKUP(I91,Combos!$A$2:$B$10,2,FALSE)*J91,"")</f>
        <v>2</v>
      </c>
      <c r="M91" s="26">
        <f t="shared" si="4"/>
        <v>46</v>
      </c>
      <c r="N91" s="94">
        <f t="shared" si="5"/>
        <v>1.0171080522528206E-3</v>
      </c>
      <c r="O91" s="27"/>
      <c r="P91" s="33" t="s">
        <v>47</v>
      </c>
      <c r="Q91" s="58"/>
      <c r="R91" s="33" t="s">
        <v>63</v>
      </c>
      <c r="S91" s="59"/>
      <c r="T91" s="59"/>
      <c r="U91" s="59"/>
      <c r="V91" s="59"/>
      <c r="W91" s="59"/>
    </row>
    <row r="92" spans="1:23" s="30" customFormat="1" ht="28.5" x14ac:dyDescent="0.25">
      <c r="A92" s="34">
        <v>78</v>
      </c>
      <c r="B92" s="34" t="s">
        <v>259</v>
      </c>
      <c r="C92" s="62" t="s">
        <v>83</v>
      </c>
      <c r="D92" s="62" t="s">
        <v>237</v>
      </c>
      <c r="E92" s="62" t="s">
        <v>103</v>
      </c>
      <c r="F92" s="56" t="s">
        <v>184</v>
      </c>
      <c r="G92" t="s">
        <v>51</v>
      </c>
      <c r="H92" s="75" t="s">
        <v>258</v>
      </c>
      <c r="I92" s="38" t="s">
        <v>57</v>
      </c>
      <c r="J92" s="60">
        <v>1</v>
      </c>
      <c r="K92" s="60">
        <v>12</v>
      </c>
      <c r="L92" s="26">
        <f>IFERROR(VLOOKUP(I92,Combos!$A$2:$B$10,2,FALSE)*J92,"")</f>
        <v>2</v>
      </c>
      <c r="M92" s="26">
        <f t="shared" si="4"/>
        <v>24</v>
      </c>
      <c r="N92" s="94">
        <f t="shared" si="5"/>
        <v>5.30665070740602E-4</v>
      </c>
      <c r="O92" s="39"/>
      <c r="P92" s="33" t="s">
        <v>47</v>
      </c>
      <c r="Q92" s="47"/>
      <c r="R92" s="33" t="s">
        <v>63</v>
      </c>
      <c r="S92" s="24"/>
      <c r="T92" s="28"/>
      <c r="U92" s="28"/>
      <c r="V92" s="28"/>
      <c r="W92" s="28"/>
    </row>
    <row r="93" spans="1:23" s="30" customFormat="1" ht="28.5" x14ac:dyDescent="0.25">
      <c r="A93" s="25">
        <v>79</v>
      </c>
      <c r="B93" s="34" t="s">
        <v>259</v>
      </c>
      <c r="C93" s="62" t="s">
        <v>83</v>
      </c>
      <c r="D93" s="62" t="s">
        <v>241</v>
      </c>
      <c r="E93" s="62" t="s">
        <v>103</v>
      </c>
      <c r="F93" s="56" t="s">
        <v>185</v>
      </c>
      <c r="G93" t="s">
        <v>51</v>
      </c>
      <c r="H93" s="75" t="s">
        <v>258</v>
      </c>
      <c r="I93" s="38" t="s">
        <v>57</v>
      </c>
      <c r="J93" s="60">
        <v>1</v>
      </c>
      <c r="K93" s="60">
        <v>23</v>
      </c>
      <c r="L93" s="26">
        <f>IFERROR(VLOOKUP(I93,Combos!$A$2:$B$10,2,FALSE)*J93,"")</f>
        <v>2</v>
      </c>
      <c r="M93" s="26">
        <f t="shared" si="4"/>
        <v>46</v>
      </c>
      <c r="N93" s="94">
        <f t="shared" si="5"/>
        <v>1.0171080522528206E-3</v>
      </c>
      <c r="O93" s="27"/>
      <c r="P93" s="33" t="s">
        <v>50</v>
      </c>
      <c r="Q93" s="47"/>
      <c r="R93" s="33" t="s">
        <v>63</v>
      </c>
      <c r="S93" s="24"/>
      <c r="T93" s="28"/>
      <c r="U93" s="28"/>
      <c r="V93" s="28"/>
      <c r="W93" s="28"/>
    </row>
    <row r="94" spans="1:23" s="30" customFormat="1" ht="28.5" x14ac:dyDescent="0.25">
      <c r="A94" s="34">
        <v>80</v>
      </c>
      <c r="B94" s="34" t="s">
        <v>259</v>
      </c>
      <c r="C94" s="62" t="s">
        <v>84</v>
      </c>
      <c r="D94" s="62" t="s">
        <v>231</v>
      </c>
      <c r="E94" s="62" t="s">
        <v>84</v>
      </c>
      <c r="F94" s="56" t="s">
        <v>186</v>
      </c>
      <c r="G94" t="s">
        <v>51</v>
      </c>
      <c r="H94" s="75" t="s">
        <v>258</v>
      </c>
      <c r="I94" s="38" t="s">
        <v>60</v>
      </c>
      <c r="J94" s="60">
        <v>1</v>
      </c>
      <c r="K94" s="60">
        <v>65</v>
      </c>
      <c r="L94" s="26">
        <f>IFERROR(VLOOKUP(I94,Combos!$A$2:$B$10,2,FALSE)*J94,"")</f>
        <v>20</v>
      </c>
      <c r="M94" s="26">
        <f t="shared" si="4"/>
        <v>1300</v>
      </c>
      <c r="N94" s="94">
        <f t="shared" si="5"/>
        <v>2.8744357998449276E-2</v>
      </c>
      <c r="O94" s="40"/>
      <c r="P94" s="33" t="s">
        <v>50</v>
      </c>
      <c r="Q94" s="47"/>
      <c r="R94" s="33" t="s">
        <v>63</v>
      </c>
      <c r="S94" s="24"/>
      <c r="T94" s="28"/>
      <c r="U94" s="28"/>
      <c r="V94" s="28"/>
      <c r="W94" s="28"/>
    </row>
    <row r="95" spans="1:23" s="30" customFormat="1" ht="28.5" x14ac:dyDescent="0.25">
      <c r="A95" s="25">
        <v>81</v>
      </c>
      <c r="B95" s="34" t="s">
        <v>259</v>
      </c>
      <c r="C95" s="62" t="s">
        <v>85</v>
      </c>
      <c r="D95" s="62" t="s">
        <v>222</v>
      </c>
      <c r="E95" s="62" t="s">
        <v>104</v>
      </c>
      <c r="F95" s="56" t="s">
        <v>187</v>
      </c>
      <c r="G95" t="s">
        <v>51</v>
      </c>
      <c r="H95" s="75" t="s">
        <v>258</v>
      </c>
      <c r="I95" s="38" t="s">
        <v>49</v>
      </c>
      <c r="J95" s="60">
        <v>1</v>
      </c>
      <c r="K95" s="60">
        <v>65</v>
      </c>
      <c r="L95" s="26">
        <f>IFERROR(VLOOKUP(I95,Combos!$A$2:$B$10,2,FALSE)*J95,"")</f>
        <v>0.16666666666666666</v>
      </c>
      <c r="M95" s="26">
        <f t="shared" si="4"/>
        <v>10.833333333333332</v>
      </c>
      <c r="N95" s="94">
        <f t="shared" si="5"/>
        <v>2.3953631665374393E-4</v>
      </c>
      <c r="O95" s="41"/>
      <c r="P95" s="33" t="s">
        <v>50</v>
      </c>
      <c r="Q95" s="48"/>
      <c r="R95" s="33" t="s">
        <v>63</v>
      </c>
      <c r="S95" s="31"/>
      <c r="T95" s="31"/>
      <c r="U95" s="31"/>
      <c r="V95" s="31"/>
      <c r="W95" s="31"/>
    </row>
    <row r="96" spans="1:23" s="30" customFormat="1" ht="28.5" x14ac:dyDescent="0.25">
      <c r="A96" s="34">
        <v>82</v>
      </c>
      <c r="B96" s="34" t="s">
        <v>259</v>
      </c>
      <c r="C96" s="62" t="s">
        <v>85</v>
      </c>
      <c r="D96" s="62" t="s">
        <v>241</v>
      </c>
      <c r="E96" s="62" t="s">
        <v>104</v>
      </c>
      <c r="F96" s="56" t="s">
        <v>188</v>
      </c>
      <c r="G96" t="s">
        <v>53</v>
      </c>
      <c r="H96" s="75" t="s">
        <v>258</v>
      </c>
      <c r="I96" s="38" t="s">
        <v>46</v>
      </c>
      <c r="J96" s="60">
        <v>1</v>
      </c>
      <c r="K96" s="60">
        <v>65</v>
      </c>
      <c r="L96" s="26">
        <f>IFERROR(VLOOKUP(I96,Combos!$A$2:$B$10,2,FALSE)*J96,"")</f>
        <v>8.3333333333333329E-2</v>
      </c>
      <c r="M96" s="26">
        <f t="shared" si="4"/>
        <v>5.4166666666666661</v>
      </c>
      <c r="N96" s="94">
        <f t="shared" si="5"/>
        <v>1.1976815832687197E-4</v>
      </c>
      <c r="O96" s="27"/>
      <c r="P96" s="33" t="s">
        <v>47</v>
      </c>
      <c r="Q96" s="58"/>
      <c r="R96" s="33" t="s">
        <v>63</v>
      </c>
      <c r="S96" s="59"/>
      <c r="T96" s="59"/>
      <c r="U96" s="59"/>
      <c r="V96" s="59"/>
      <c r="W96" s="59"/>
    </row>
    <row r="97" spans="1:23" s="30" customFormat="1" ht="28.5" x14ac:dyDescent="0.25">
      <c r="A97" s="25">
        <v>83</v>
      </c>
      <c r="B97" s="34" t="s">
        <v>259</v>
      </c>
      <c r="C97" s="62" t="s">
        <v>85</v>
      </c>
      <c r="D97" s="62" t="s">
        <v>241</v>
      </c>
      <c r="E97" s="62" t="s">
        <v>104</v>
      </c>
      <c r="F97" s="56" t="s">
        <v>238</v>
      </c>
      <c r="G97" t="s">
        <v>51</v>
      </c>
      <c r="H97" s="75" t="s">
        <v>258</v>
      </c>
      <c r="I97" s="38" t="s">
        <v>46</v>
      </c>
      <c r="J97" s="60">
        <v>1</v>
      </c>
      <c r="K97" s="60">
        <v>23</v>
      </c>
      <c r="L97" s="26">
        <f>IFERROR(VLOOKUP(I97,Combos!$A$2:$B$10,2,FALSE)*J97,"")</f>
        <v>8.3333333333333329E-2</v>
      </c>
      <c r="M97" s="26">
        <f t="shared" si="4"/>
        <v>1.9166666666666665</v>
      </c>
      <c r="N97" s="94">
        <f t="shared" si="5"/>
        <v>4.2379502177200853E-5</v>
      </c>
      <c r="O97" s="41"/>
      <c r="P97" s="33" t="s">
        <v>47</v>
      </c>
      <c r="Q97" s="48"/>
      <c r="R97" s="33" t="s">
        <v>63</v>
      </c>
      <c r="S97" s="31"/>
      <c r="T97" s="31"/>
      <c r="U97" s="31"/>
      <c r="V97" s="31"/>
      <c r="W97" s="31"/>
    </row>
    <row r="98" spans="1:23" s="30" customFormat="1" ht="28.5" x14ac:dyDescent="0.25">
      <c r="A98" s="34">
        <v>84</v>
      </c>
      <c r="B98" s="34" t="s">
        <v>259</v>
      </c>
      <c r="C98" s="62" t="s">
        <v>85</v>
      </c>
      <c r="D98" s="62" t="s">
        <v>225</v>
      </c>
      <c r="E98" s="62" t="s">
        <v>104</v>
      </c>
      <c r="F98" s="56" t="s">
        <v>189</v>
      </c>
      <c r="G98" t="s">
        <v>51</v>
      </c>
      <c r="H98" s="75" t="s">
        <v>258</v>
      </c>
      <c r="I98" s="38" t="s">
        <v>54</v>
      </c>
      <c r="J98" s="60">
        <v>1</v>
      </c>
      <c r="K98" s="60">
        <v>12</v>
      </c>
      <c r="L98" s="26">
        <f>IFERROR(VLOOKUP(I98,Combos!$A$2:$B$10,2,FALSE)*J98,"")</f>
        <v>0.5</v>
      </c>
      <c r="M98" s="26">
        <f t="shared" si="4"/>
        <v>6</v>
      </c>
      <c r="N98" s="94">
        <f t="shared" si="5"/>
        <v>1.326662676851505E-4</v>
      </c>
      <c r="O98" s="27"/>
      <c r="P98" s="33" t="s">
        <v>50</v>
      </c>
      <c r="Q98" s="58"/>
      <c r="R98" s="33" t="s">
        <v>64</v>
      </c>
      <c r="S98" s="59"/>
      <c r="T98" s="59"/>
      <c r="U98" s="59"/>
      <c r="V98" s="59"/>
      <c r="W98" s="59"/>
    </row>
    <row r="99" spans="1:23" s="30" customFormat="1" ht="28.5" x14ac:dyDescent="0.25">
      <c r="A99" s="34">
        <v>85</v>
      </c>
      <c r="B99" s="34" t="s">
        <v>259</v>
      </c>
      <c r="C99" s="62" t="s">
        <v>85</v>
      </c>
      <c r="D99" s="62" t="s">
        <v>225</v>
      </c>
      <c r="E99" s="62" t="s">
        <v>104</v>
      </c>
      <c r="F99" s="56" t="s">
        <v>190</v>
      </c>
      <c r="G99" t="s">
        <v>51</v>
      </c>
      <c r="H99" s="75" t="s">
        <v>258</v>
      </c>
      <c r="I99" s="38" t="s">
        <v>54</v>
      </c>
      <c r="J99" s="60">
        <v>1</v>
      </c>
      <c r="K99" s="60">
        <v>65</v>
      </c>
      <c r="L99" s="26">
        <f>IFERROR(VLOOKUP(I99,Combos!$A$2:$B$10,2,FALSE)*J99,"")</f>
        <v>0.5</v>
      </c>
      <c r="M99" s="26">
        <f t="shared" si="4"/>
        <v>32.5</v>
      </c>
      <c r="N99" s="94">
        <f t="shared" si="5"/>
        <v>7.1860894996123189E-4</v>
      </c>
      <c r="O99" s="39"/>
      <c r="P99" s="33" t="s">
        <v>50</v>
      </c>
      <c r="Q99" s="47"/>
      <c r="R99" s="33" t="s">
        <v>63</v>
      </c>
      <c r="S99" s="24"/>
      <c r="T99" s="28"/>
      <c r="U99" s="28"/>
      <c r="V99" s="28"/>
      <c r="W99" s="28"/>
    </row>
    <row r="100" spans="1:23" s="30" customFormat="1" ht="28.5" x14ac:dyDescent="0.25">
      <c r="A100" s="25">
        <v>86</v>
      </c>
      <c r="B100" s="34" t="s">
        <v>259</v>
      </c>
      <c r="C100" s="62" t="s">
        <v>85</v>
      </c>
      <c r="D100" s="62" t="s">
        <v>225</v>
      </c>
      <c r="E100" s="62" t="s">
        <v>104</v>
      </c>
      <c r="F100" s="56" t="s">
        <v>191</v>
      </c>
      <c r="G100" t="s">
        <v>51</v>
      </c>
      <c r="H100" s="75" t="s">
        <v>258</v>
      </c>
      <c r="I100" s="38" t="s">
        <v>54</v>
      </c>
      <c r="J100" s="60">
        <v>1</v>
      </c>
      <c r="K100" s="60">
        <v>65</v>
      </c>
      <c r="L100" s="26">
        <f>IFERROR(VLOOKUP(I100,Combos!$A$2:$B$10,2,FALSE)*J100,"")</f>
        <v>0.5</v>
      </c>
      <c r="M100" s="26">
        <f t="shared" si="4"/>
        <v>32.5</v>
      </c>
      <c r="N100" s="94">
        <f t="shared" si="5"/>
        <v>7.1860894996123189E-4</v>
      </c>
      <c r="O100" s="27"/>
      <c r="P100" s="33" t="s">
        <v>50</v>
      </c>
      <c r="Q100" s="47"/>
      <c r="R100" s="33" t="s">
        <v>63</v>
      </c>
      <c r="S100" s="24"/>
      <c r="T100" s="28"/>
      <c r="U100" s="28"/>
      <c r="V100" s="28"/>
      <c r="W100" s="28"/>
    </row>
    <row r="101" spans="1:23" s="30" customFormat="1" ht="28.5" x14ac:dyDescent="0.25">
      <c r="A101" s="34">
        <v>87</v>
      </c>
      <c r="B101" s="34" t="s">
        <v>259</v>
      </c>
      <c r="C101" s="62" t="s">
        <v>85</v>
      </c>
      <c r="D101" s="62" t="s">
        <v>239</v>
      </c>
      <c r="E101" s="62" t="s">
        <v>104</v>
      </c>
      <c r="F101" s="56" t="s">
        <v>192</v>
      </c>
      <c r="G101" t="s">
        <v>51</v>
      </c>
      <c r="H101" s="75" t="s">
        <v>258</v>
      </c>
      <c r="I101" s="38" t="s">
        <v>56</v>
      </c>
      <c r="J101" s="60">
        <v>1</v>
      </c>
      <c r="K101" s="60">
        <v>12</v>
      </c>
      <c r="L101" s="26">
        <f>IFERROR(VLOOKUP(I101,Combos!$A$2:$B$10,2,FALSE)*J101,"")</f>
        <v>1</v>
      </c>
      <c r="M101" s="26">
        <f t="shared" si="4"/>
        <v>12</v>
      </c>
      <c r="N101" s="94">
        <f t="shared" si="5"/>
        <v>2.65332535370301E-4</v>
      </c>
      <c r="O101" s="40"/>
      <c r="P101" s="33" t="s">
        <v>50</v>
      </c>
      <c r="Q101" s="47"/>
      <c r="R101" s="33" t="s">
        <v>63</v>
      </c>
      <c r="S101" s="24"/>
      <c r="T101" s="28"/>
      <c r="U101" s="28"/>
      <c r="V101" s="28"/>
      <c r="W101" s="28"/>
    </row>
    <row r="102" spans="1:23" s="30" customFormat="1" ht="28.5" x14ac:dyDescent="0.25">
      <c r="A102" s="25">
        <v>88</v>
      </c>
      <c r="B102" s="34" t="s">
        <v>259</v>
      </c>
      <c r="C102" s="62" t="s">
        <v>85</v>
      </c>
      <c r="D102" s="62" t="s">
        <v>239</v>
      </c>
      <c r="E102" s="62" t="s">
        <v>104</v>
      </c>
      <c r="F102" s="56" t="s">
        <v>212</v>
      </c>
      <c r="G102" t="s">
        <v>45</v>
      </c>
      <c r="H102" s="75" t="s">
        <v>258</v>
      </c>
      <c r="I102" s="38" t="s">
        <v>54</v>
      </c>
      <c r="J102" s="60">
        <v>1</v>
      </c>
      <c r="K102" s="60">
        <v>17</v>
      </c>
      <c r="L102" s="26">
        <f>IFERROR(VLOOKUP(I102,Combos!$A$2:$B$10,2,FALSE)*J102,"")</f>
        <v>0.5</v>
      </c>
      <c r="M102" s="26">
        <f t="shared" si="4"/>
        <v>8.5</v>
      </c>
      <c r="N102" s="94">
        <f t="shared" si="5"/>
        <v>1.8794387922062988E-4</v>
      </c>
      <c r="O102" s="41"/>
      <c r="P102" s="33" t="s">
        <v>50</v>
      </c>
      <c r="Q102" s="48"/>
      <c r="R102" s="33" t="s">
        <v>63</v>
      </c>
      <c r="S102" s="31"/>
      <c r="T102" s="31"/>
      <c r="U102" s="31"/>
      <c r="V102" s="31"/>
      <c r="W102" s="31"/>
    </row>
    <row r="103" spans="1:23" s="30" customFormat="1" ht="28.5" x14ac:dyDescent="0.25">
      <c r="A103" s="34">
        <v>89</v>
      </c>
      <c r="B103" s="34" t="s">
        <v>259</v>
      </c>
      <c r="C103" s="62" t="s">
        <v>85</v>
      </c>
      <c r="D103" s="62" t="s">
        <v>239</v>
      </c>
      <c r="E103" s="62" t="s">
        <v>104</v>
      </c>
      <c r="F103" s="56" t="s">
        <v>193</v>
      </c>
      <c r="G103" t="s">
        <v>51</v>
      </c>
      <c r="H103" s="75" t="s">
        <v>258</v>
      </c>
      <c r="I103" s="38" t="s">
        <v>54</v>
      </c>
      <c r="J103" s="60">
        <v>1</v>
      </c>
      <c r="K103" s="60">
        <v>12</v>
      </c>
      <c r="L103" s="26">
        <f>IFERROR(VLOOKUP(I103,Combos!$A$2:$B$10,2,FALSE)*J103,"")</f>
        <v>0.5</v>
      </c>
      <c r="M103" s="26">
        <f t="shared" si="4"/>
        <v>6</v>
      </c>
      <c r="N103" s="94">
        <f t="shared" si="5"/>
        <v>1.326662676851505E-4</v>
      </c>
      <c r="O103" s="27"/>
      <c r="P103" s="33" t="s">
        <v>50</v>
      </c>
      <c r="Q103" s="58"/>
      <c r="R103" s="33" t="s">
        <v>63</v>
      </c>
      <c r="S103" s="59"/>
      <c r="T103" s="59"/>
      <c r="U103" s="59"/>
      <c r="V103" s="59"/>
      <c r="W103" s="59"/>
    </row>
    <row r="104" spans="1:23" s="30" customFormat="1" ht="28.5" x14ac:dyDescent="0.25">
      <c r="A104" s="25">
        <v>90</v>
      </c>
      <c r="B104" s="34" t="s">
        <v>259</v>
      </c>
      <c r="C104" s="62" t="s">
        <v>85</v>
      </c>
      <c r="D104" s="62" t="s">
        <v>229</v>
      </c>
      <c r="E104" s="62" t="s">
        <v>104</v>
      </c>
      <c r="F104" s="56" t="s">
        <v>194</v>
      </c>
      <c r="G104" t="s">
        <v>51</v>
      </c>
      <c r="H104" s="75" t="s">
        <v>258</v>
      </c>
      <c r="I104" s="38" t="s">
        <v>54</v>
      </c>
      <c r="J104" s="60">
        <v>1</v>
      </c>
      <c r="K104" s="60">
        <v>30</v>
      </c>
      <c r="L104" s="26">
        <f>IFERROR(VLOOKUP(I104,Combos!$A$2:$B$10,2,FALSE)*J104,"")</f>
        <v>0.5</v>
      </c>
      <c r="M104" s="26">
        <f t="shared" si="4"/>
        <v>15</v>
      </c>
      <c r="N104" s="94">
        <f t="shared" si="5"/>
        <v>3.3166566921287628E-4</v>
      </c>
      <c r="O104" s="41"/>
      <c r="P104" s="33" t="s">
        <v>50</v>
      </c>
      <c r="Q104" s="48"/>
      <c r="R104" s="33" t="s">
        <v>63</v>
      </c>
      <c r="S104" s="31"/>
      <c r="T104" s="31"/>
      <c r="U104" s="31"/>
      <c r="V104" s="31"/>
      <c r="W104" s="31"/>
    </row>
    <row r="105" spans="1:23" s="30" customFormat="1" ht="28.5" x14ac:dyDescent="0.25">
      <c r="A105" s="34">
        <v>91</v>
      </c>
      <c r="B105" s="34" t="s">
        <v>259</v>
      </c>
      <c r="C105" s="62" t="s">
        <v>85</v>
      </c>
      <c r="D105" s="62" t="s">
        <v>227</v>
      </c>
      <c r="E105" s="62" t="s">
        <v>104</v>
      </c>
      <c r="F105" s="56" t="s">
        <v>195</v>
      </c>
      <c r="G105" t="s">
        <v>51</v>
      </c>
      <c r="H105" s="75" t="s">
        <v>258</v>
      </c>
      <c r="I105" s="38" t="s">
        <v>54</v>
      </c>
      <c r="J105" s="60">
        <v>4</v>
      </c>
      <c r="K105" s="60">
        <v>23</v>
      </c>
      <c r="L105" s="26">
        <f>IFERROR(VLOOKUP(I105,Combos!$A$2:$B$10,2,FALSE)*J105,"")</f>
        <v>2</v>
      </c>
      <c r="M105" s="26">
        <f t="shared" si="4"/>
        <v>46</v>
      </c>
      <c r="N105" s="94">
        <f t="shared" si="5"/>
        <v>1.0171080522528206E-3</v>
      </c>
      <c r="O105" s="27"/>
      <c r="P105" s="33" t="s">
        <v>50</v>
      </c>
      <c r="Q105" s="58"/>
      <c r="R105" s="33" t="s">
        <v>63</v>
      </c>
      <c r="S105" s="59"/>
      <c r="T105" s="59"/>
      <c r="U105" s="59"/>
      <c r="V105" s="59"/>
      <c r="W105" s="59"/>
    </row>
    <row r="106" spans="1:23" s="30" customFormat="1" ht="28.5" x14ac:dyDescent="0.25">
      <c r="A106" s="34">
        <v>92</v>
      </c>
      <c r="B106" s="34" t="s">
        <v>259</v>
      </c>
      <c r="C106" s="62" t="s">
        <v>85</v>
      </c>
      <c r="D106" s="62" t="s">
        <v>229</v>
      </c>
      <c r="E106" s="62" t="s">
        <v>104</v>
      </c>
      <c r="F106" s="56" t="s">
        <v>196</v>
      </c>
      <c r="G106" t="s">
        <v>51</v>
      </c>
      <c r="H106" s="75" t="s">
        <v>258</v>
      </c>
      <c r="I106" s="38" t="s">
        <v>54</v>
      </c>
      <c r="J106" s="60">
        <v>4</v>
      </c>
      <c r="K106" s="60">
        <v>23</v>
      </c>
      <c r="L106" s="26">
        <f>IFERROR(VLOOKUP(I106,Combos!$A$2:$B$10,2,FALSE)*J106,"")</f>
        <v>2</v>
      </c>
      <c r="M106" s="26">
        <f t="shared" si="4"/>
        <v>46</v>
      </c>
      <c r="N106" s="94">
        <f t="shared" si="5"/>
        <v>1.0171080522528206E-3</v>
      </c>
      <c r="O106" s="39"/>
      <c r="P106" s="33" t="s">
        <v>50</v>
      </c>
      <c r="Q106" s="47"/>
      <c r="R106" s="33" t="s">
        <v>63</v>
      </c>
      <c r="S106" s="24"/>
      <c r="T106" s="28"/>
      <c r="U106" s="28"/>
      <c r="V106" s="28"/>
      <c r="W106" s="28"/>
    </row>
    <row r="107" spans="1:23" s="30" customFormat="1" ht="28.5" x14ac:dyDescent="0.25">
      <c r="A107" s="25">
        <v>93</v>
      </c>
      <c r="B107" s="34" t="s">
        <v>259</v>
      </c>
      <c r="C107" s="62" t="s">
        <v>85</v>
      </c>
      <c r="D107" s="62" t="s">
        <v>224</v>
      </c>
      <c r="E107" s="62" t="s">
        <v>104</v>
      </c>
      <c r="F107" s="56" t="s">
        <v>197</v>
      </c>
      <c r="G107" t="s">
        <v>51</v>
      </c>
      <c r="H107" s="75" t="s">
        <v>258</v>
      </c>
      <c r="I107" s="38" t="s">
        <v>54</v>
      </c>
      <c r="J107" s="60">
        <v>1</v>
      </c>
      <c r="K107" s="60">
        <v>80</v>
      </c>
      <c r="L107" s="26">
        <f>IFERROR(VLOOKUP(I107,Combos!$A$2:$B$10,2,FALSE)*J107,"")</f>
        <v>0.5</v>
      </c>
      <c r="M107" s="26">
        <f t="shared" si="4"/>
        <v>40</v>
      </c>
      <c r="N107" s="94">
        <f t="shared" si="5"/>
        <v>8.8444178456767008E-4</v>
      </c>
      <c r="O107" s="27"/>
      <c r="P107" s="33" t="s">
        <v>50</v>
      </c>
      <c r="Q107" s="47"/>
      <c r="R107" s="33" t="s">
        <v>63</v>
      </c>
      <c r="S107" s="24"/>
      <c r="T107" s="28"/>
      <c r="U107" s="28"/>
      <c r="V107" s="28"/>
      <c r="W107" s="28"/>
    </row>
    <row r="108" spans="1:23" s="30" customFormat="1" ht="42.75" x14ac:dyDescent="0.25">
      <c r="A108" s="34">
        <v>94</v>
      </c>
      <c r="B108" s="34" t="s">
        <v>259</v>
      </c>
      <c r="C108" s="62" t="s">
        <v>85</v>
      </c>
      <c r="D108" s="62" t="s">
        <v>229</v>
      </c>
      <c r="E108" s="62" t="s">
        <v>104</v>
      </c>
      <c r="F108" s="56" t="s">
        <v>198</v>
      </c>
      <c r="G108" t="s">
        <v>48</v>
      </c>
      <c r="H108" s="75" t="s">
        <v>258</v>
      </c>
      <c r="I108" s="38" t="s">
        <v>57</v>
      </c>
      <c r="J108" s="60">
        <v>1</v>
      </c>
      <c r="K108" s="60">
        <v>65</v>
      </c>
      <c r="L108" s="26">
        <f>IFERROR(VLOOKUP(I108,Combos!$A$2:$B$10,2,FALSE)*J108,"")</f>
        <v>2</v>
      </c>
      <c r="M108" s="26">
        <f t="shared" si="4"/>
        <v>130</v>
      </c>
      <c r="N108" s="94">
        <f t="shared" si="5"/>
        <v>2.8744357998449275E-3</v>
      </c>
      <c r="O108" s="40"/>
      <c r="P108" s="33" t="s">
        <v>50</v>
      </c>
      <c r="Q108" s="47"/>
      <c r="R108" s="33" t="s">
        <v>63</v>
      </c>
      <c r="S108" s="24"/>
      <c r="T108" s="28"/>
      <c r="U108" s="28"/>
      <c r="V108" s="28"/>
      <c r="W108" s="28"/>
    </row>
    <row r="109" spans="1:23" s="30" customFormat="1" ht="28.5" x14ac:dyDescent="0.25">
      <c r="A109" s="25">
        <v>95</v>
      </c>
      <c r="B109" s="34" t="s">
        <v>259</v>
      </c>
      <c r="C109" s="62" t="s">
        <v>86</v>
      </c>
      <c r="D109" s="62" t="s">
        <v>234</v>
      </c>
      <c r="E109" s="62" t="s">
        <v>105</v>
      </c>
      <c r="F109" s="56" t="s">
        <v>199</v>
      </c>
      <c r="G109" t="s">
        <v>51</v>
      </c>
      <c r="H109" s="75" t="s">
        <v>258</v>
      </c>
      <c r="I109" s="38" t="s">
        <v>56</v>
      </c>
      <c r="J109" s="60">
        <v>1</v>
      </c>
      <c r="K109" s="60">
        <v>17</v>
      </c>
      <c r="L109" s="26">
        <f>IFERROR(VLOOKUP(I109,Combos!$A$2:$B$10,2,FALSE)*J109,"")</f>
        <v>1</v>
      </c>
      <c r="M109" s="26">
        <f t="shared" si="4"/>
        <v>17</v>
      </c>
      <c r="N109" s="94">
        <f t="shared" si="5"/>
        <v>3.7588775844125976E-4</v>
      </c>
      <c r="O109" s="41"/>
      <c r="P109" s="33" t="s">
        <v>50</v>
      </c>
      <c r="Q109" s="48"/>
      <c r="R109" s="33" t="s">
        <v>64</v>
      </c>
      <c r="S109" s="31"/>
      <c r="T109" s="31"/>
      <c r="U109" s="31"/>
      <c r="V109" s="31"/>
      <c r="W109" s="31"/>
    </row>
    <row r="110" spans="1:23" s="30" customFormat="1" ht="28.5" x14ac:dyDescent="0.25">
      <c r="A110" s="34">
        <v>96</v>
      </c>
      <c r="B110" s="34" t="s">
        <v>259</v>
      </c>
      <c r="C110" s="62" t="s">
        <v>86</v>
      </c>
      <c r="D110" s="62" t="s">
        <v>234</v>
      </c>
      <c r="E110" s="62" t="s">
        <v>105</v>
      </c>
      <c r="F110" s="56" t="s">
        <v>200</v>
      </c>
      <c r="G110" t="s">
        <v>51</v>
      </c>
      <c r="H110" s="75" t="s">
        <v>258</v>
      </c>
      <c r="I110" s="38" t="s">
        <v>56</v>
      </c>
      <c r="J110" s="60">
        <v>1</v>
      </c>
      <c r="K110" s="60">
        <v>23</v>
      </c>
      <c r="L110" s="26">
        <f>IFERROR(VLOOKUP(I110,Combos!$A$2:$B$10,2,FALSE)*J110,"")</f>
        <v>1</v>
      </c>
      <c r="M110" s="26">
        <f t="shared" si="4"/>
        <v>23</v>
      </c>
      <c r="N110" s="94">
        <f t="shared" si="5"/>
        <v>5.0855402612641032E-4</v>
      </c>
      <c r="O110" s="27"/>
      <c r="P110" s="33" t="s">
        <v>50</v>
      </c>
      <c r="Q110" s="58"/>
      <c r="R110" s="33" t="s">
        <v>64</v>
      </c>
      <c r="S110" s="59"/>
      <c r="T110" s="59"/>
      <c r="U110" s="59"/>
      <c r="V110" s="59"/>
      <c r="W110" s="59"/>
    </row>
    <row r="111" spans="1:23" s="30" customFormat="1" ht="28.5" x14ac:dyDescent="0.25">
      <c r="A111" s="25">
        <v>97</v>
      </c>
      <c r="B111" s="34" t="s">
        <v>259</v>
      </c>
      <c r="C111" s="62" t="s">
        <v>86</v>
      </c>
      <c r="D111" s="62" t="s">
        <v>234</v>
      </c>
      <c r="E111" s="62" t="s">
        <v>105</v>
      </c>
      <c r="F111" s="56" t="s">
        <v>201</v>
      </c>
      <c r="G111" t="s">
        <v>51</v>
      </c>
      <c r="H111" s="75" t="s">
        <v>258</v>
      </c>
      <c r="I111" s="38" t="s">
        <v>54</v>
      </c>
      <c r="J111" s="60">
        <v>1</v>
      </c>
      <c r="K111" s="60">
        <v>65</v>
      </c>
      <c r="L111" s="26">
        <f>IFERROR(VLOOKUP(I111,Combos!$A$2:$B$10,2,FALSE)*J111,"")</f>
        <v>0.5</v>
      </c>
      <c r="M111" s="26">
        <f t="shared" ref="M111:M121" si="6">IFERROR(K111*L111,"")</f>
        <v>32.5</v>
      </c>
      <c r="N111" s="94">
        <f t="shared" ref="N111:N142" si="7">IFERROR(M111/$M$191,"")</f>
        <v>7.1860894996123189E-4</v>
      </c>
      <c r="O111" s="39"/>
      <c r="P111" s="33" t="s">
        <v>50</v>
      </c>
      <c r="Q111" s="47"/>
      <c r="R111" s="33" t="s">
        <v>63</v>
      </c>
      <c r="S111" s="24"/>
      <c r="T111" s="28"/>
      <c r="U111" s="28"/>
      <c r="V111" s="28"/>
      <c r="W111" s="28"/>
    </row>
    <row r="112" spans="1:23" s="30" customFormat="1" ht="28.5" x14ac:dyDescent="0.25">
      <c r="A112" s="34">
        <v>98</v>
      </c>
      <c r="B112" s="34" t="s">
        <v>259</v>
      </c>
      <c r="C112" s="62" t="s">
        <v>86</v>
      </c>
      <c r="D112" s="62" t="s">
        <v>234</v>
      </c>
      <c r="E112" s="62" t="s">
        <v>105</v>
      </c>
      <c r="F112" s="56" t="s">
        <v>202</v>
      </c>
      <c r="G112" t="s">
        <v>51</v>
      </c>
      <c r="H112" s="75" t="s">
        <v>258</v>
      </c>
      <c r="I112" s="38" t="s">
        <v>56</v>
      </c>
      <c r="J112" s="60">
        <v>1</v>
      </c>
      <c r="K112" s="60">
        <v>17</v>
      </c>
      <c r="L112" s="26">
        <f>IFERROR(VLOOKUP(I112,Combos!$A$2:$B$10,2,FALSE)*J112,"")</f>
        <v>1</v>
      </c>
      <c r="M112" s="26">
        <f t="shared" si="6"/>
        <v>17</v>
      </c>
      <c r="N112" s="94">
        <f t="shared" si="7"/>
        <v>3.7588775844125976E-4</v>
      </c>
      <c r="O112" s="27"/>
      <c r="P112" s="33" t="s">
        <v>50</v>
      </c>
      <c r="Q112" s="47"/>
      <c r="R112" s="33" t="s">
        <v>64</v>
      </c>
      <c r="S112" s="24"/>
      <c r="T112" s="28"/>
      <c r="U112" s="28"/>
      <c r="V112" s="28"/>
      <c r="W112" s="28"/>
    </row>
    <row r="113" spans="1:23" s="30" customFormat="1" ht="28.5" x14ac:dyDescent="0.25">
      <c r="A113" s="34">
        <v>99</v>
      </c>
      <c r="B113" s="34" t="s">
        <v>259</v>
      </c>
      <c r="C113" s="62" t="s">
        <v>87</v>
      </c>
      <c r="D113" s="62" t="s">
        <v>240</v>
      </c>
      <c r="E113" s="62" t="s">
        <v>106</v>
      </c>
      <c r="F113" s="56" t="s">
        <v>203</v>
      </c>
      <c r="G113" t="s">
        <v>53</v>
      </c>
      <c r="H113" s="75" t="s">
        <v>258</v>
      </c>
      <c r="I113" s="38" t="s">
        <v>46</v>
      </c>
      <c r="J113" s="60">
        <v>1</v>
      </c>
      <c r="K113" s="60">
        <v>480</v>
      </c>
      <c r="L113" s="26">
        <f>IFERROR(VLOOKUP(I113,Combos!$A$2:$B$10,2,FALSE)*J113,"")</f>
        <v>8.3333333333333329E-2</v>
      </c>
      <c r="M113" s="26">
        <f t="shared" si="6"/>
        <v>40</v>
      </c>
      <c r="N113" s="94">
        <f t="shared" si="7"/>
        <v>8.8444178456767008E-4</v>
      </c>
      <c r="O113" s="40"/>
      <c r="P113" s="33" t="s">
        <v>47</v>
      </c>
      <c r="Q113" s="47"/>
      <c r="R113" s="33" t="s">
        <v>63</v>
      </c>
      <c r="S113" s="24"/>
      <c r="T113" s="28"/>
      <c r="U113" s="28"/>
      <c r="V113" s="28"/>
      <c r="W113" s="28"/>
    </row>
    <row r="114" spans="1:23" s="30" customFormat="1" ht="28.5" x14ac:dyDescent="0.25">
      <c r="A114" s="25">
        <v>100</v>
      </c>
      <c r="B114" s="34" t="s">
        <v>259</v>
      </c>
      <c r="C114" s="62" t="s">
        <v>87</v>
      </c>
      <c r="D114" s="62" t="s">
        <v>240</v>
      </c>
      <c r="E114" s="62" t="s">
        <v>106</v>
      </c>
      <c r="F114" s="56" t="s">
        <v>204</v>
      </c>
      <c r="G114" t="s">
        <v>48</v>
      </c>
      <c r="H114" s="75" t="s">
        <v>258</v>
      </c>
      <c r="I114" s="38" t="s">
        <v>56</v>
      </c>
      <c r="J114" s="60">
        <v>1</v>
      </c>
      <c r="K114" s="60">
        <v>42</v>
      </c>
      <c r="L114" s="26">
        <f>IFERROR(VLOOKUP(I114,Combos!$A$2:$B$10,2,FALSE)*J114,"")</f>
        <v>1</v>
      </c>
      <c r="M114" s="26">
        <f t="shared" si="6"/>
        <v>42</v>
      </c>
      <c r="N114" s="94">
        <f t="shared" si="7"/>
        <v>9.2866387379605356E-4</v>
      </c>
      <c r="O114" s="41"/>
      <c r="P114" s="33" t="s">
        <v>50</v>
      </c>
      <c r="Q114" s="48"/>
      <c r="R114" s="33" t="s">
        <v>64</v>
      </c>
      <c r="S114" s="31"/>
      <c r="T114" s="31"/>
      <c r="U114" s="31"/>
      <c r="V114" s="31"/>
      <c r="W114" s="31"/>
    </row>
    <row r="115" spans="1:23" s="30" customFormat="1" ht="28.5" x14ac:dyDescent="0.25">
      <c r="A115" s="34">
        <v>101</v>
      </c>
      <c r="B115" s="34" t="s">
        <v>259</v>
      </c>
      <c r="C115" s="62" t="s">
        <v>87</v>
      </c>
      <c r="D115" s="62" t="s">
        <v>240</v>
      </c>
      <c r="E115" s="62" t="s">
        <v>106</v>
      </c>
      <c r="F115" s="56" t="s">
        <v>205</v>
      </c>
      <c r="G115" t="s">
        <v>53</v>
      </c>
      <c r="H115" s="75" t="s">
        <v>258</v>
      </c>
      <c r="I115" s="38" t="s">
        <v>52</v>
      </c>
      <c r="J115" s="60">
        <v>1</v>
      </c>
      <c r="K115" s="60">
        <v>42</v>
      </c>
      <c r="L115" s="26">
        <f>IFERROR(VLOOKUP(I115,Combos!$A$2:$B$10,2,FALSE)*J115,"")</f>
        <v>0.33333333333333331</v>
      </c>
      <c r="M115" s="26">
        <f t="shared" si="6"/>
        <v>14</v>
      </c>
      <c r="N115" s="94">
        <f t="shared" si="7"/>
        <v>3.0955462459868454E-4</v>
      </c>
      <c r="O115" s="27"/>
      <c r="P115" s="33" t="s">
        <v>50</v>
      </c>
      <c r="Q115" s="58"/>
      <c r="R115" s="33" t="s">
        <v>63</v>
      </c>
      <c r="S115" s="59"/>
      <c r="T115" s="59"/>
      <c r="U115" s="59"/>
      <c r="V115" s="59"/>
      <c r="W115" s="59"/>
    </row>
    <row r="116" spans="1:23" s="30" customFormat="1" ht="42.75" x14ac:dyDescent="0.25">
      <c r="A116" s="25">
        <v>102</v>
      </c>
      <c r="B116" s="34" t="s">
        <v>259</v>
      </c>
      <c r="C116" s="62" t="s">
        <v>88</v>
      </c>
      <c r="D116" s="62" t="s">
        <v>241</v>
      </c>
      <c r="E116" s="62" t="s">
        <v>107</v>
      </c>
      <c r="F116" s="56" t="s">
        <v>206</v>
      </c>
      <c r="G116" t="s">
        <v>53</v>
      </c>
      <c r="H116" s="75" t="s">
        <v>258</v>
      </c>
      <c r="I116" s="38" t="s">
        <v>56</v>
      </c>
      <c r="J116" s="60">
        <v>1</v>
      </c>
      <c r="K116" s="60">
        <v>42</v>
      </c>
      <c r="L116" s="26">
        <f>IFERROR(VLOOKUP(I116,Combos!$A$2:$B$10,2,FALSE)*J116,"")</f>
        <v>1</v>
      </c>
      <c r="M116" s="26">
        <f t="shared" si="6"/>
        <v>42</v>
      </c>
      <c r="N116" s="94">
        <f t="shared" si="7"/>
        <v>9.2866387379605356E-4</v>
      </c>
      <c r="O116" s="39"/>
      <c r="P116" s="33" t="s">
        <v>47</v>
      </c>
      <c r="Q116" s="47"/>
      <c r="R116" s="33" t="s">
        <v>63</v>
      </c>
      <c r="S116" s="24"/>
      <c r="T116" s="28"/>
      <c r="U116" s="28"/>
      <c r="V116" s="28"/>
      <c r="W116" s="28"/>
    </row>
    <row r="117" spans="1:23" s="30" customFormat="1" ht="28.5" x14ac:dyDescent="0.25">
      <c r="A117" s="34">
        <v>103</v>
      </c>
      <c r="B117" s="34" t="s">
        <v>259</v>
      </c>
      <c r="C117" s="62" t="s">
        <v>88</v>
      </c>
      <c r="D117" s="62" t="s">
        <v>241</v>
      </c>
      <c r="E117" s="62" t="s">
        <v>107</v>
      </c>
      <c r="F117" s="56" t="s">
        <v>207</v>
      </c>
      <c r="G117" t="s">
        <v>53</v>
      </c>
      <c r="H117" s="75" t="s">
        <v>258</v>
      </c>
      <c r="I117" s="38" t="s">
        <v>56</v>
      </c>
      <c r="J117" s="60">
        <v>1</v>
      </c>
      <c r="K117" s="60">
        <v>12</v>
      </c>
      <c r="L117" s="26">
        <f>IFERROR(VLOOKUP(I117,Combos!$A$2:$B$10,2,FALSE)*J117,"")</f>
        <v>1</v>
      </c>
      <c r="M117" s="26">
        <f t="shared" si="6"/>
        <v>12</v>
      </c>
      <c r="N117" s="94">
        <f t="shared" si="7"/>
        <v>2.65332535370301E-4</v>
      </c>
      <c r="O117" s="27"/>
      <c r="P117" s="33" t="s">
        <v>50</v>
      </c>
      <c r="Q117" s="47"/>
      <c r="R117" s="33" t="s">
        <v>63</v>
      </c>
      <c r="S117" s="24"/>
      <c r="T117" s="28"/>
      <c r="U117" s="28"/>
      <c r="V117" s="28"/>
      <c r="W117" s="28"/>
    </row>
    <row r="118" spans="1:23" s="30" customFormat="1" ht="28.5" x14ac:dyDescent="0.25">
      <c r="A118" s="25">
        <v>104</v>
      </c>
      <c r="B118" s="34" t="s">
        <v>259</v>
      </c>
      <c r="C118" s="62" t="s">
        <v>88</v>
      </c>
      <c r="D118" s="62" t="s">
        <v>241</v>
      </c>
      <c r="E118" s="62" t="s">
        <v>107</v>
      </c>
      <c r="F118" s="56" t="s">
        <v>208</v>
      </c>
      <c r="G118" t="s">
        <v>53</v>
      </c>
      <c r="H118" s="75" t="s">
        <v>258</v>
      </c>
      <c r="I118" s="38" t="s">
        <v>56</v>
      </c>
      <c r="J118" s="60">
        <v>1</v>
      </c>
      <c r="K118" s="60">
        <v>42</v>
      </c>
      <c r="L118" s="26">
        <f>IFERROR(VLOOKUP(I118,Combos!$A$2:$B$10,2,FALSE)*J118,"")</f>
        <v>1</v>
      </c>
      <c r="M118" s="26">
        <f t="shared" si="6"/>
        <v>42</v>
      </c>
      <c r="N118" s="94">
        <f t="shared" si="7"/>
        <v>9.2866387379605356E-4</v>
      </c>
      <c r="O118" s="40"/>
      <c r="P118" s="33" t="s">
        <v>47</v>
      </c>
      <c r="Q118" s="47"/>
      <c r="R118" s="33" t="s">
        <v>63</v>
      </c>
      <c r="S118" s="24"/>
      <c r="T118" s="28"/>
      <c r="U118" s="28"/>
      <c r="V118" s="28"/>
      <c r="W118" s="28"/>
    </row>
    <row r="119" spans="1:23" s="30" customFormat="1" ht="28.5" x14ac:dyDescent="0.25">
      <c r="A119" s="34">
        <v>105</v>
      </c>
      <c r="B119" s="34" t="s">
        <v>259</v>
      </c>
      <c r="C119" s="62" t="s">
        <v>89</v>
      </c>
      <c r="D119" s="62" t="s">
        <v>89</v>
      </c>
      <c r="E119" s="62" t="s">
        <v>89</v>
      </c>
      <c r="F119" s="56" t="s">
        <v>89</v>
      </c>
      <c r="G119" t="s">
        <v>51</v>
      </c>
      <c r="H119" s="75" t="s">
        <v>258</v>
      </c>
      <c r="I119" s="38" t="s">
        <v>59</v>
      </c>
      <c r="J119" s="60">
        <v>4</v>
      </c>
      <c r="K119" s="60">
        <v>42</v>
      </c>
      <c r="L119" s="26">
        <f>IFERROR(VLOOKUP(I119,Combos!$A$2:$B$10,2,FALSE)*J119,"")</f>
        <v>17.2</v>
      </c>
      <c r="M119" s="26">
        <f t="shared" si="6"/>
        <v>722.4</v>
      </c>
      <c r="N119" s="94">
        <f t="shared" si="7"/>
        <v>1.597301862929212E-2</v>
      </c>
      <c r="O119" s="41"/>
      <c r="P119" s="33" t="s">
        <v>50</v>
      </c>
      <c r="Q119" s="48"/>
      <c r="R119" s="33" t="s">
        <v>64</v>
      </c>
      <c r="S119" s="31"/>
      <c r="T119" s="31"/>
      <c r="U119" s="31"/>
      <c r="V119" s="31"/>
      <c r="W119" s="31"/>
    </row>
    <row r="120" spans="1:23" s="30" customFormat="1" ht="28.5" x14ac:dyDescent="0.25">
      <c r="A120" s="34">
        <v>106</v>
      </c>
      <c r="B120" s="34" t="s">
        <v>259</v>
      </c>
      <c r="C120" s="62" t="s">
        <v>90</v>
      </c>
      <c r="D120" s="62" t="s">
        <v>231</v>
      </c>
      <c r="E120" s="62" t="s">
        <v>90</v>
      </c>
      <c r="F120" s="56" t="s">
        <v>209</v>
      </c>
      <c r="G120" t="s">
        <v>51</v>
      </c>
      <c r="H120" s="75" t="s">
        <v>258</v>
      </c>
      <c r="I120" s="38" t="s">
        <v>60</v>
      </c>
      <c r="J120" s="60">
        <v>1</v>
      </c>
      <c r="K120" s="60">
        <v>80</v>
      </c>
      <c r="L120" s="26">
        <f>IFERROR(VLOOKUP(I120,Combos!$A$2:$B$10,2,FALSE)*J120,"")</f>
        <v>20</v>
      </c>
      <c r="M120" s="26">
        <f t="shared" si="6"/>
        <v>1600</v>
      </c>
      <c r="N120" s="94">
        <f t="shared" si="7"/>
        <v>3.5377671382706803E-2</v>
      </c>
      <c r="O120" s="27"/>
      <c r="P120" s="33" t="s">
        <v>50</v>
      </c>
      <c r="Q120" s="58"/>
      <c r="R120" s="33" t="s">
        <v>63</v>
      </c>
      <c r="S120" s="59"/>
      <c r="T120" s="59"/>
      <c r="U120" s="59"/>
      <c r="V120" s="59"/>
      <c r="W120" s="59"/>
    </row>
    <row r="121" spans="1:23" s="30" customFormat="1" ht="14.45" customHeight="1" x14ac:dyDescent="0.25">
      <c r="A121" s="25">
        <v>107</v>
      </c>
      <c r="B121" s="34" t="s">
        <v>259</v>
      </c>
      <c r="C121" s="62" t="s">
        <v>91</v>
      </c>
      <c r="D121" s="62" t="s">
        <v>228</v>
      </c>
      <c r="E121" s="62" t="s">
        <v>108</v>
      </c>
      <c r="F121" s="56" t="s">
        <v>108</v>
      </c>
      <c r="G121" t="s">
        <v>51</v>
      </c>
      <c r="H121" s="75" t="s">
        <v>258</v>
      </c>
      <c r="I121" s="56" t="s">
        <v>46</v>
      </c>
      <c r="J121" s="60">
        <v>1</v>
      </c>
      <c r="K121" s="60">
        <v>960</v>
      </c>
      <c r="L121" s="26">
        <f>IFERROR(VLOOKUP(I121,Combos!$A$2:$B$10,2,FALSE)*J121,"")</f>
        <v>8.3333333333333329E-2</v>
      </c>
      <c r="M121" s="26">
        <f t="shared" si="6"/>
        <v>80</v>
      </c>
      <c r="N121" s="94">
        <f t="shared" si="7"/>
        <v>1.7688835691353402E-3</v>
      </c>
      <c r="O121" s="27"/>
      <c r="P121" s="33" t="s">
        <v>50</v>
      </c>
      <c r="Q121" s="58"/>
      <c r="R121" s="33" t="s">
        <v>64</v>
      </c>
      <c r="S121" s="59"/>
      <c r="T121" s="59"/>
      <c r="U121" s="59"/>
      <c r="V121" s="59"/>
      <c r="W121" s="59"/>
    </row>
    <row r="122" spans="1:23" s="30" customFormat="1" ht="28.5" x14ac:dyDescent="0.25">
      <c r="A122" s="34">
        <v>108</v>
      </c>
      <c r="B122" s="34" t="s">
        <v>260</v>
      </c>
      <c r="C122" s="62" t="s">
        <v>76</v>
      </c>
      <c r="D122" s="62" t="s">
        <v>253</v>
      </c>
      <c r="E122" s="62" t="s">
        <v>92</v>
      </c>
      <c r="F122" s="56" t="s">
        <v>109</v>
      </c>
      <c r="G122" t="s">
        <v>51</v>
      </c>
      <c r="H122" s="75" t="s">
        <v>258</v>
      </c>
      <c r="I122" s="38" t="s">
        <v>59</v>
      </c>
      <c r="J122" s="60">
        <v>1</v>
      </c>
      <c r="K122" s="60">
        <v>15</v>
      </c>
      <c r="L122" s="26">
        <f>IFERROR(VLOOKUP(I122,Combos!$A$2:$B$10,2,FALSE)*J122,"")</f>
        <v>4.3</v>
      </c>
      <c r="M122" s="26">
        <f t="shared" ref="M122:M189" si="8">IFERROR(K122*L122,"")</f>
        <v>64.5</v>
      </c>
      <c r="N122" s="94">
        <f t="shared" si="7"/>
        <v>1.4261623776153679E-3</v>
      </c>
      <c r="O122" s="40"/>
      <c r="P122" s="33" t="s">
        <v>50</v>
      </c>
      <c r="Q122" s="58"/>
      <c r="R122" s="33" t="s">
        <v>64</v>
      </c>
      <c r="S122" s="59"/>
      <c r="T122" s="59"/>
      <c r="U122" s="59"/>
      <c r="V122" s="59"/>
      <c r="W122" s="59"/>
    </row>
    <row r="123" spans="1:23" s="30" customFormat="1" ht="28.5" x14ac:dyDescent="0.25">
      <c r="A123" s="25">
        <v>109</v>
      </c>
      <c r="B123" s="34" t="s">
        <v>260</v>
      </c>
      <c r="C123" s="62" t="s">
        <v>76</v>
      </c>
      <c r="D123" s="62" t="s">
        <v>253</v>
      </c>
      <c r="E123" s="62" t="s">
        <v>92</v>
      </c>
      <c r="F123" s="56" t="s">
        <v>110</v>
      </c>
      <c r="G123" t="s">
        <v>48</v>
      </c>
      <c r="H123" s="75" t="s">
        <v>258</v>
      </c>
      <c r="I123" s="38" t="s">
        <v>59</v>
      </c>
      <c r="J123" s="60">
        <v>1</v>
      </c>
      <c r="K123" s="60">
        <v>50</v>
      </c>
      <c r="L123" s="26">
        <f>IFERROR(VLOOKUP(I123,Combos!$A$2:$B$10,2,FALSE)*J123,"")</f>
        <v>4.3</v>
      </c>
      <c r="M123" s="26">
        <f t="shared" ref="M123:M185" si="9">IFERROR(K123*L123,"")</f>
        <v>215</v>
      </c>
      <c r="N123" s="94">
        <f t="shared" si="7"/>
        <v>4.7538745920512266E-3</v>
      </c>
      <c r="O123" s="40"/>
      <c r="P123" s="33" t="s">
        <v>50</v>
      </c>
      <c r="Q123" s="58"/>
      <c r="R123" s="33" t="s">
        <v>63</v>
      </c>
      <c r="S123" s="59"/>
      <c r="T123" s="59"/>
      <c r="U123" s="59"/>
      <c r="V123" s="59"/>
      <c r="W123" s="59"/>
    </row>
    <row r="124" spans="1:23" s="30" customFormat="1" ht="28.5" x14ac:dyDescent="0.25">
      <c r="A124" s="34">
        <v>110</v>
      </c>
      <c r="B124" s="34" t="s">
        <v>260</v>
      </c>
      <c r="C124" s="62" t="s">
        <v>76</v>
      </c>
      <c r="D124" s="62" t="s">
        <v>253</v>
      </c>
      <c r="E124" s="62" t="s">
        <v>92</v>
      </c>
      <c r="F124" s="56" t="s">
        <v>218</v>
      </c>
      <c r="G124" t="s">
        <v>51</v>
      </c>
      <c r="H124" s="75" t="s">
        <v>258</v>
      </c>
      <c r="I124" s="38" t="s">
        <v>60</v>
      </c>
      <c r="J124" s="60">
        <v>1</v>
      </c>
      <c r="K124" s="60">
        <v>90</v>
      </c>
      <c r="L124" s="26">
        <f>IFERROR(VLOOKUP(I124,Combos!$A$2:$B$10,2,FALSE)*J124,"")</f>
        <v>20</v>
      </c>
      <c r="M124" s="26">
        <f t="shared" ref="M124" si="10">IFERROR(K124*L124,"")</f>
        <v>1800</v>
      </c>
      <c r="N124" s="94">
        <f t="shared" si="7"/>
        <v>3.9799880305545154E-2</v>
      </c>
      <c r="O124" s="40"/>
      <c r="P124" s="33" t="s">
        <v>50</v>
      </c>
      <c r="Q124" s="58"/>
      <c r="R124" s="33" t="s">
        <v>64</v>
      </c>
      <c r="S124" s="59"/>
      <c r="T124" s="59"/>
      <c r="U124" s="59"/>
      <c r="V124" s="59"/>
      <c r="W124" s="59"/>
    </row>
    <row r="125" spans="1:23" s="30" customFormat="1" ht="28.5" x14ac:dyDescent="0.25">
      <c r="A125" s="25">
        <v>111</v>
      </c>
      <c r="B125" s="34" t="s">
        <v>260</v>
      </c>
      <c r="C125" s="62" t="s">
        <v>76</v>
      </c>
      <c r="D125" s="62" t="s">
        <v>253</v>
      </c>
      <c r="E125" s="62" t="s">
        <v>92</v>
      </c>
      <c r="F125" s="56" t="s">
        <v>111</v>
      </c>
      <c r="G125" t="s">
        <v>51</v>
      </c>
      <c r="H125" s="75" t="s">
        <v>258</v>
      </c>
      <c r="I125" s="38" t="s">
        <v>49</v>
      </c>
      <c r="J125" s="60">
        <v>1</v>
      </c>
      <c r="K125" s="60">
        <v>120</v>
      </c>
      <c r="L125" s="26">
        <f>IFERROR(VLOOKUP(I125,Combos!$A$2:$B$10,2,FALSE)*J125,"")</f>
        <v>0.16666666666666666</v>
      </c>
      <c r="M125" s="26">
        <f t="shared" si="9"/>
        <v>20</v>
      </c>
      <c r="N125" s="94">
        <f t="shared" si="7"/>
        <v>4.4222089228383504E-4</v>
      </c>
      <c r="O125" s="40"/>
      <c r="P125" s="33" t="s">
        <v>50</v>
      </c>
      <c r="Q125" s="58"/>
      <c r="R125" s="33" t="s">
        <v>64</v>
      </c>
      <c r="S125" s="59"/>
      <c r="T125" s="59"/>
      <c r="U125" s="59"/>
      <c r="V125" s="59"/>
      <c r="W125" s="59"/>
    </row>
    <row r="126" spans="1:23" s="30" customFormat="1" ht="28.5" x14ac:dyDescent="0.25">
      <c r="A126" s="34">
        <v>112</v>
      </c>
      <c r="B126" s="34" t="s">
        <v>260</v>
      </c>
      <c r="C126" s="62" t="s">
        <v>76</v>
      </c>
      <c r="D126" s="62" t="s">
        <v>222</v>
      </c>
      <c r="E126" s="62" t="s">
        <v>92</v>
      </c>
      <c r="F126" s="56" t="s">
        <v>219</v>
      </c>
      <c r="G126" t="s">
        <v>51</v>
      </c>
      <c r="H126" s="75" t="s">
        <v>258</v>
      </c>
      <c r="I126" s="38" t="s">
        <v>57</v>
      </c>
      <c r="J126" s="60">
        <v>1</v>
      </c>
      <c r="K126" s="60">
        <v>90</v>
      </c>
      <c r="L126" s="26">
        <f>IFERROR(VLOOKUP(I126,Combos!$A$2:$B$10,2,FALSE)*J126,"")</f>
        <v>2</v>
      </c>
      <c r="M126" s="26">
        <f t="shared" si="9"/>
        <v>180</v>
      </c>
      <c r="N126" s="94">
        <f t="shared" si="7"/>
        <v>3.9799880305545149E-3</v>
      </c>
      <c r="O126" s="40"/>
      <c r="P126" s="33" t="s">
        <v>50</v>
      </c>
      <c r="Q126" s="58"/>
      <c r="R126" s="33" t="s">
        <v>63</v>
      </c>
      <c r="S126" s="59"/>
      <c r="T126" s="59"/>
      <c r="U126" s="59"/>
      <c r="V126" s="59"/>
      <c r="W126" s="59"/>
    </row>
    <row r="127" spans="1:23" s="30" customFormat="1" ht="28.5" x14ac:dyDescent="0.25">
      <c r="A127" s="34">
        <v>113</v>
      </c>
      <c r="B127" s="34" t="s">
        <v>260</v>
      </c>
      <c r="C127" s="62" t="s">
        <v>76</v>
      </c>
      <c r="D127" s="62" t="s">
        <v>222</v>
      </c>
      <c r="E127" s="62" t="s">
        <v>92</v>
      </c>
      <c r="F127" s="56" t="s">
        <v>123</v>
      </c>
      <c r="G127" t="s">
        <v>48</v>
      </c>
      <c r="H127" s="75" t="s">
        <v>258</v>
      </c>
      <c r="I127" s="38" t="s">
        <v>57</v>
      </c>
      <c r="J127" s="60">
        <v>1</v>
      </c>
      <c r="K127" s="60">
        <v>90</v>
      </c>
      <c r="L127" s="26">
        <f>IFERROR(VLOOKUP(I127,Combos!$A$2:$B$10,2,FALSE)*J127,"")</f>
        <v>2</v>
      </c>
      <c r="M127" s="26">
        <f t="shared" si="9"/>
        <v>180</v>
      </c>
      <c r="N127" s="94">
        <f t="shared" si="7"/>
        <v>3.9799880305545149E-3</v>
      </c>
      <c r="O127" s="40"/>
      <c r="P127" s="33" t="s">
        <v>50</v>
      </c>
      <c r="Q127" s="58"/>
      <c r="R127" s="33" t="s">
        <v>63</v>
      </c>
      <c r="S127" s="59"/>
      <c r="T127" s="59"/>
      <c r="U127" s="59"/>
      <c r="V127" s="59"/>
      <c r="W127" s="59"/>
    </row>
    <row r="128" spans="1:23" s="30" customFormat="1" ht="42.75" x14ac:dyDescent="0.25">
      <c r="A128" s="25">
        <v>114</v>
      </c>
      <c r="B128" s="34" t="s">
        <v>260</v>
      </c>
      <c r="C128" s="62" t="s">
        <v>76</v>
      </c>
      <c r="D128" s="62" t="s">
        <v>221</v>
      </c>
      <c r="E128" s="62" t="s">
        <v>95</v>
      </c>
      <c r="F128" s="56" t="s">
        <v>125</v>
      </c>
      <c r="G128" t="s">
        <v>53</v>
      </c>
      <c r="H128" s="75" t="s">
        <v>258</v>
      </c>
      <c r="I128" s="38" t="s">
        <v>57</v>
      </c>
      <c r="J128" s="60">
        <v>1</v>
      </c>
      <c r="K128" s="60">
        <v>40</v>
      </c>
      <c r="L128" s="26">
        <f>IFERROR(VLOOKUP(I128,Combos!$A$2:$B$10,2,FALSE)*J128,"")</f>
        <v>2</v>
      </c>
      <c r="M128" s="26">
        <f t="shared" si="9"/>
        <v>80</v>
      </c>
      <c r="N128" s="94">
        <f t="shared" si="7"/>
        <v>1.7688835691353402E-3</v>
      </c>
      <c r="O128" s="40"/>
      <c r="P128" s="33" t="s">
        <v>50</v>
      </c>
      <c r="Q128" s="58"/>
      <c r="R128" s="33" t="s">
        <v>63</v>
      </c>
      <c r="S128" s="59"/>
      <c r="T128" s="59"/>
      <c r="U128" s="59"/>
      <c r="V128" s="59"/>
      <c r="W128" s="59"/>
    </row>
    <row r="129" spans="1:23" s="30" customFormat="1" ht="42.75" x14ac:dyDescent="0.25">
      <c r="A129" s="34">
        <v>115</v>
      </c>
      <c r="B129" s="34" t="s">
        <v>260</v>
      </c>
      <c r="C129" s="62" t="s">
        <v>76</v>
      </c>
      <c r="D129" s="62" t="s">
        <v>231</v>
      </c>
      <c r="E129" s="62" t="s">
        <v>95</v>
      </c>
      <c r="F129" s="56" t="s">
        <v>126</v>
      </c>
      <c r="G129" t="s">
        <v>51</v>
      </c>
      <c r="H129" s="75" t="s">
        <v>258</v>
      </c>
      <c r="I129" s="38" t="s">
        <v>60</v>
      </c>
      <c r="J129" s="60">
        <v>1</v>
      </c>
      <c r="K129" s="60">
        <v>120</v>
      </c>
      <c r="L129" s="26">
        <f>IFERROR(VLOOKUP(I129,Combos!$A$2:$B$10,2,FALSE)*J129,"")</f>
        <v>20</v>
      </c>
      <c r="M129" s="26">
        <f t="shared" si="9"/>
        <v>2400</v>
      </c>
      <c r="N129" s="94">
        <f t="shared" si="7"/>
        <v>5.3066507074060201E-2</v>
      </c>
      <c r="O129" s="40"/>
      <c r="P129" s="33" t="s">
        <v>50</v>
      </c>
      <c r="Q129" s="58"/>
      <c r="R129" s="33" t="s">
        <v>63</v>
      </c>
      <c r="S129" s="59"/>
      <c r="T129" s="59"/>
      <c r="U129" s="59"/>
      <c r="V129" s="59"/>
      <c r="W129" s="59"/>
    </row>
    <row r="130" spans="1:23" s="30" customFormat="1" ht="42.75" x14ac:dyDescent="0.25">
      <c r="A130" s="25">
        <v>116</v>
      </c>
      <c r="B130" s="34" t="s">
        <v>260</v>
      </c>
      <c r="C130" s="62" t="s">
        <v>76</v>
      </c>
      <c r="D130" s="62" t="s">
        <v>229</v>
      </c>
      <c r="E130" s="62" t="s">
        <v>95</v>
      </c>
      <c r="F130" s="56" t="s">
        <v>127</v>
      </c>
      <c r="G130" t="s">
        <v>53</v>
      </c>
      <c r="H130" s="75" t="s">
        <v>258</v>
      </c>
      <c r="I130" s="38" t="s">
        <v>57</v>
      </c>
      <c r="J130" s="60">
        <v>1</v>
      </c>
      <c r="K130" s="60">
        <v>40</v>
      </c>
      <c r="L130" s="26">
        <f>IFERROR(VLOOKUP(I130,Combos!$A$2:$B$10,2,FALSE)*J130,"")</f>
        <v>2</v>
      </c>
      <c r="M130" s="26">
        <f t="shared" si="9"/>
        <v>80</v>
      </c>
      <c r="N130" s="94">
        <f t="shared" si="7"/>
        <v>1.7688835691353402E-3</v>
      </c>
      <c r="O130" s="40"/>
      <c r="P130" s="33" t="s">
        <v>50</v>
      </c>
      <c r="Q130" s="58"/>
      <c r="R130" s="33" t="s">
        <v>63</v>
      </c>
      <c r="S130" s="59"/>
      <c r="T130" s="59"/>
      <c r="U130" s="59"/>
      <c r="V130" s="59"/>
      <c r="W130" s="59"/>
    </row>
    <row r="131" spans="1:23" s="30" customFormat="1" ht="42.75" x14ac:dyDescent="0.25">
      <c r="A131" s="34">
        <v>117</v>
      </c>
      <c r="B131" s="34" t="s">
        <v>260</v>
      </c>
      <c r="C131" s="62" t="s">
        <v>76</v>
      </c>
      <c r="D131" s="62" t="s">
        <v>227</v>
      </c>
      <c r="E131" s="62" t="s">
        <v>95</v>
      </c>
      <c r="F131" s="56" t="s">
        <v>128</v>
      </c>
      <c r="G131" t="s">
        <v>51</v>
      </c>
      <c r="H131" s="75" t="s">
        <v>258</v>
      </c>
      <c r="I131" s="38" t="s">
        <v>60</v>
      </c>
      <c r="J131" s="60">
        <v>1</v>
      </c>
      <c r="K131" s="60">
        <v>30</v>
      </c>
      <c r="L131" s="26">
        <f>IFERROR(VLOOKUP(I131,Combos!$A$2:$B$10,2,FALSE)*J131,"")</f>
        <v>20</v>
      </c>
      <c r="M131" s="26">
        <f t="shared" si="9"/>
        <v>600</v>
      </c>
      <c r="N131" s="94">
        <f t="shared" si="7"/>
        <v>1.326662676851505E-2</v>
      </c>
      <c r="O131" s="40"/>
      <c r="P131" s="33" t="s">
        <v>50</v>
      </c>
      <c r="Q131" s="58"/>
      <c r="R131" s="33" t="s">
        <v>64</v>
      </c>
      <c r="S131" s="59"/>
      <c r="T131" s="59"/>
      <c r="U131" s="59"/>
      <c r="V131" s="59"/>
      <c r="W131" s="59"/>
    </row>
    <row r="132" spans="1:23" s="30" customFormat="1" ht="42.75" x14ac:dyDescent="0.25">
      <c r="A132" s="25">
        <v>118</v>
      </c>
      <c r="B132" s="34" t="s">
        <v>260</v>
      </c>
      <c r="C132" s="62" t="s">
        <v>76</v>
      </c>
      <c r="D132" s="62" t="s">
        <v>227</v>
      </c>
      <c r="E132" s="62" t="s">
        <v>95</v>
      </c>
      <c r="F132" s="56" t="s">
        <v>129</v>
      </c>
      <c r="G132" t="s">
        <v>51</v>
      </c>
      <c r="H132" s="75" t="s">
        <v>258</v>
      </c>
      <c r="I132" s="38" t="s">
        <v>57</v>
      </c>
      <c r="J132" s="60">
        <v>1</v>
      </c>
      <c r="K132" s="60">
        <v>480</v>
      </c>
      <c r="L132" s="26">
        <f>IFERROR(VLOOKUP(I132,Combos!$A$2:$B$10,2,FALSE)*J132,"")</f>
        <v>2</v>
      </c>
      <c r="M132" s="26">
        <f t="shared" si="9"/>
        <v>960</v>
      </c>
      <c r="N132" s="94">
        <f t="shared" si="7"/>
        <v>2.1226602829624082E-2</v>
      </c>
      <c r="O132" s="40"/>
      <c r="P132" s="33" t="s">
        <v>50</v>
      </c>
      <c r="Q132" s="58"/>
      <c r="R132" s="33" t="s">
        <v>64</v>
      </c>
      <c r="S132" s="59"/>
      <c r="T132" s="59"/>
      <c r="U132" s="59"/>
      <c r="V132" s="59"/>
      <c r="W132" s="59"/>
    </row>
    <row r="133" spans="1:23" s="30" customFormat="1" ht="42.75" x14ac:dyDescent="0.25">
      <c r="A133" s="34">
        <v>119</v>
      </c>
      <c r="B133" s="34" t="s">
        <v>260</v>
      </c>
      <c r="C133" s="62" t="s">
        <v>76</v>
      </c>
      <c r="D133" s="62" t="s">
        <v>225</v>
      </c>
      <c r="E133" s="62" t="s">
        <v>95</v>
      </c>
      <c r="F133" s="56" t="s">
        <v>130</v>
      </c>
      <c r="G133" t="s">
        <v>51</v>
      </c>
      <c r="H133" s="75" t="s">
        <v>258</v>
      </c>
      <c r="I133" s="38" t="s">
        <v>56</v>
      </c>
      <c r="J133" s="60">
        <v>1</v>
      </c>
      <c r="K133" s="60">
        <v>60</v>
      </c>
      <c r="L133" s="26">
        <f>IFERROR(VLOOKUP(I133,Combos!$A$2:$B$10,2,FALSE)*J133,"")</f>
        <v>1</v>
      </c>
      <c r="M133" s="26">
        <f t="shared" si="9"/>
        <v>60</v>
      </c>
      <c r="N133" s="94">
        <f t="shared" si="7"/>
        <v>1.3266626768515051E-3</v>
      </c>
      <c r="O133" s="40"/>
      <c r="P133" s="33" t="s">
        <v>50</v>
      </c>
      <c r="Q133" s="58"/>
      <c r="R133" s="33" t="s">
        <v>63</v>
      </c>
      <c r="S133" s="59"/>
      <c r="T133" s="59"/>
      <c r="U133" s="59"/>
      <c r="V133" s="59"/>
      <c r="W133" s="59"/>
    </row>
    <row r="134" spans="1:23" s="30" customFormat="1" ht="42.75" x14ac:dyDescent="0.25">
      <c r="A134" s="34">
        <v>120</v>
      </c>
      <c r="B134" s="34" t="s">
        <v>260</v>
      </c>
      <c r="C134" s="62" t="s">
        <v>76</v>
      </c>
      <c r="D134" s="62" t="s">
        <v>232</v>
      </c>
      <c r="E134" s="62" t="s">
        <v>95</v>
      </c>
      <c r="F134" s="56" t="s">
        <v>131</v>
      </c>
      <c r="G134" t="s">
        <v>51</v>
      </c>
      <c r="H134" s="75" t="s">
        <v>258</v>
      </c>
      <c r="I134" s="38" t="s">
        <v>60</v>
      </c>
      <c r="J134" s="60">
        <v>1</v>
      </c>
      <c r="K134" s="60">
        <v>160</v>
      </c>
      <c r="L134" s="26">
        <f>IFERROR(VLOOKUP(I134,Combos!$A$2:$B$10,2,FALSE)*J134,"")</f>
        <v>20</v>
      </c>
      <c r="M134" s="26">
        <f t="shared" si="9"/>
        <v>3200</v>
      </c>
      <c r="N134" s="94">
        <f t="shared" si="7"/>
        <v>7.0755342765413606E-2</v>
      </c>
      <c r="O134" s="40"/>
      <c r="P134" s="33" t="s">
        <v>50</v>
      </c>
      <c r="Q134" s="58"/>
      <c r="R134" s="33" t="s">
        <v>63</v>
      </c>
      <c r="S134" s="59"/>
      <c r="T134" s="59"/>
      <c r="U134" s="59"/>
      <c r="V134" s="59"/>
      <c r="W134" s="59"/>
    </row>
    <row r="135" spans="1:23" s="30" customFormat="1" ht="42.75" x14ac:dyDescent="0.25">
      <c r="A135" s="25">
        <v>121</v>
      </c>
      <c r="B135" s="34" t="s">
        <v>260</v>
      </c>
      <c r="C135" s="62" t="s">
        <v>76</v>
      </c>
      <c r="D135" s="62" t="s">
        <v>225</v>
      </c>
      <c r="E135" s="62" t="s">
        <v>95</v>
      </c>
      <c r="F135" s="56" t="s">
        <v>132</v>
      </c>
      <c r="G135" t="s">
        <v>53</v>
      </c>
      <c r="H135" s="75" t="s">
        <v>258</v>
      </c>
      <c r="I135" s="38" t="s">
        <v>56</v>
      </c>
      <c r="J135" s="60">
        <v>1</v>
      </c>
      <c r="K135" s="60">
        <v>180</v>
      </c>
      <c r="L135" s="26">
        <f>IFERROR(VLOOKUP(I135,Combos!$A$2:$B$10,2,FALSE)*J135,"")</f>
        <v>1</v>
      </c>
      <c r="M135" s="26">
        <f t="shared" si="9"/>
        <v>180</v>
      </c>
      <c r="N135" s="94">
        <f t="shared" si="7"/>
        <v>3.9799880305545149E-3</v>
      </c>
      <c r="O135" s="40"/>
      <c r="P135" s="33" t="s">
        <v>50</v>
      </c>
      <c r="Q135" s="58"/>
      <c r="R135" s="33" t="s">
        <v>64</v>
      </c>
      <c r="S135" s="59"/>
      <c r="T135" s="59"/>
      <c r="U135" s="59"/>
      <c r="V135" s="59"/>
      <c r="W135" s="59"/>
    </row>
    <row r="136" spans="1:23" s="30" customFormat="1" ht="42.75" x14ac:dyDescent="0.25">
      <c r="A136" s="34">
        <v>122</v>
      </c>
      <c r="B136" s="34" t="s">
        <v>260</v>
      </c>
      <c r="C136" s="62" t="s">
        <v>76</v>
      </c>
      <c r="D136" s="62" t="s">
        <v>225</v>
      </c>
      <c r="E136" s="62" t="s">
        <v>95</v>
      </c>
      <c r="F136" s="56" t="s">
        <v>133</v>
      </c>
      <c r="G136" t="s">
        <v>51</v>
      </c>
      <c r="H136" s="75" t="s">
        <v>258</v>
      </c>
      <c r="I136" s="38" t="s">
        <v>52</v>
      </c>
      <c r="J136" s="60">
        <v>1</v>
      </c>
      <c r="K136" s="60">
        <v>240</v>
      </c>
      <c r="L136" s="26">
        <f>IFERROR(VLOOKUP(I136,Combos!$A$2:$B$10,2,FALSE)*J136,"")</f>
        <v>0.33333333333333331</v>
      </c>
      <c r="M136" s="26">
        <f t="shared" si="9"/>
        <v>80</v>
      </c>
      <c r="N136" s="94">
        <f t="shared" si="7"/>
        <v>1.7688835691353402E-3</v>
      </c>
      <c r="O136" s="40"/>
      <c r="P136" s="33" t="s">
        <v>50</v>
      </c>
      <c r="Q136" s="58"/>
      <c r="R136" s="33" t="s">
        <v>63</v>
      </c>
      <c r="S136" s="59"/>
      <c r="T136" s="59"/>
      <c r="U136" s="59"/>
      <c r="V136" s="59"/>
      <c r="W136" s="59"/>
    </row>
    <row r="137" spans="1:23" s="30" customFormat="1" ht="42.75" x14ac:dyDescent="0.25">
      <c r="A137" s="25">
        <v>123</v>
      </c>
      <c r="B137" s="34" t="s">
        <v>260</v>
      </c>
      <c r="C137" s="62" t="s">
        <v>76</v>
      </c>
      <c r="D137" s="62" t="s">
        <v>221</v>
      </c>
      <c r="E137" s="62" t="s">
        <v>95</v>
      </c>
      <c r="F137" s="56" t="s">
        <v>134</v>
      </c>
      <c r="G137" t="s">
        <v>51</v>
      </c>
      <c r="H137" s="75" t="s">
        <v>258</v>
      </c>
      <c r="I137" s="38" t="s">
        <v>57</v>
      </c>
      <c r="J137" s="60">
        <v>1</v>
      </c>
      <c r="K137" s="60">
        <v>120</v>
      </c>
      <c r="L137" s="26">
        <f>IFERROR(VLOOKUP(I137,Combos!$A$2:$B$10,2,FALSE)*J137,"")</f>
        <v>2</v>
      </c>
      <c r="M137" s="26">
        <f t="shared" si="9"/>
        <v>240</v>
      </c>
      <c r="N137" s="94">
        <f t="shared" si="7"/>
        <v>5.3066507074060205E-3</v>
      </c>
      <c r="O137" s="40"/>
      <c r="P137" s="33" t="s">
        <v>50</v>
      </c>
      <c r="Q137" s="58"/>
      <c r="R137" s="33" t="s">
        <v>63</v>
      </c>
      <c r="S137" s="59"/>
      <c r="T137" s="59"/>
      <c r="U137" s="59"/>
      <c r="V137" s="59"/>
      <c r="W137" s="59"/>
    </row>
    <row r="138" spans="1:23" s="30" customFormat="1" ht="42.75" x14ac:dyDescent="0.25">
      <c r="A138" s="34">
        <v>124</v>
      </c>
      <c r="B138" s="34" t="s">
        <v>260</v>
      </c>
      <c r="C138" s="62" t="s">
        <v>76</v>
      </c>
      <c r="D138" s="62" t="s">
        <v>233</v>
      </c>
      <c r="E138" s="62" t="s">
        <v>95</v>
      </c>
      <c r="F138" s="56" t="s">
        <v>135</v>
      </c>
      <c r="G138" t="s">
        <v>51</v>
      </c>
      <c r="H138" s="75" t="s">
        <v>258</v>
      </c>
      <c r="I138" s="38" t="s">
        <v>56</v>
      </c>
      <c r="J138" s="60">
        <v>1</v>
      </c>
      <c r="K138" s="60">
        <v>30</v>
      </c>
      <c r="L138" s="26">
        <f>IFERROR(VLOOKUP(I138,Combos!$A$2:$B$10,2,FALSE)*J138,"")</f>
        <v>1</v>
      </c>
      <c r="M138" s="26">
        <f t="shared" si="9"/>
        <v>30</v>
      </c>
      <c r="N138" s="94">
        <f t="shared" si="7"/>
        <v>6.6333133842575256E-4</v>
      </c>
      <c r="O138" s="40"/>
      <c r="P138" s="33" t="s">
        <v>50</v>
      </c>
      <c r="Q138" s="58"/>
      <c r="R138" s="33" t="s">
        <v>64</v>
      </c>
      <c r="S138" s="59"/>
      <c r="T138" s="59"/>
      <c r="U138" s="59"/>
      <c r="V138" s="59"/>
      <c r="W138" s="59"/>
    </row>
    <row r="139" spans="1:23" s="30" customFormat="1" ht="42.75" x14ac:dyDescent="0.25">
      <c r="A139" s="25">
        <v>125</v>
      </c>
      <c r="B139" s="34" t="s">
        <v>260</v>
      </c>
      <c r="C139" s="62" t="s">
        <v>76</v>
      </c>
      <c r="D139" s="62" t="s">
        <v>227</v>
      </c>
      <c r="E139" s="62" t="s">
        <v>95</v>
      </c>
      <c r="F139" s="56" t="s">
        <v>138</v>
      </c>
      <c r="G139" t="s">
        <v>53</v>
      </c>
      <c r="H139" s="75" t="s">
        <v>258</v>
      </c>
      <c r="I139" s="38" t="s">
        <v>59</v>
      </c>
      <c r="J139" s="60">
        <v>1</v>
      </c>
      <c r="K139" s="60">
        <v>30</v>
      </c>
      <c r="L139" s="26">
        <f>IFERROR(VLOOKUP(I139,Combos!$A$2:$B$10,2,FALSE)*J139,"")</f>
        <v>4.3</v>
      </c>
      <c r="M139" s="26">
        <f t="shared" si="9"/>
        <v>129</v>
      </c>
      <c r="N139" s="94">
        <f t="shared" si="7"/>
        <v>2.8523247552307359E-3</v>
      </c>
      <c r="O139" s="40"/>
      <c r="P139" s="33" t="s">
        <v>50</v>
      </c>
      <c r="Q139" s="58"/>
      <c r="R139" s="33" t="s">
        <v>64</v>
      </c>
      <c r="S139" s="59"/>
      <c r="T139" s="59"/>
      <c r="U139" s="59"/>
      <c r="V139" s="59"/>
      <c r="W139" s="59"/>
    </row>
    <row r="140" spans="1:23" s="30" customFormat="1" ht="42.75" x14ac:dyDescent="0.25">
      <c r="A140" s="34">
        <v>126</v>
      </c>
      <c r="B140" s="34" t="s">
        <v>260</v>
      </c>
      <c r="C140" s="62" t="s">
        <v>76</v>
      </c>
      <c r="D140" s="62" t="s">
        <v>226</v>
      </c>
      <c r="E140" s="62" t="s">
        <v>95</v>
      </c>
      <c r="F140" s="56" t="s">
        <v>139</v>
      </c>
      <c r="G140" t="s">
        <v>51</v>
      </c>
      <c r="H140" s="75" t="s">
        <v>258</v>
      </c>
      <c r="I140" s="38" t="s">
        <v>59</v>
      </c>
      <c r="J140" s="60">
        <v>1</v>
      </c>
      <c r="K140" s="60">
        <v>50</v>
      </c>
      <c r="L140" s="26">
        <f>IFERROR(VLOOKUP(I140,Combos!$A$2:$B$10,2,FALSE)*J140,"")</f>
        <v>4.3</v>
      </c>
      <c r="M140" s="26">
        <f t="shared" si="9"/>
        <v>215</v>
      </c>
      <c r="N140" s="94">
        <f t="shared" si="7"/>
        <v>4.7538745920512266E-3</v>
      </c>
      <c r="O140" s="40"/>
      <c r="P140" s="33" t="s">
        <v>50</v>
      </c>
      <c r="Q140" s="58"/>
      <c r="R140" s="33" t="s">
        <v>64</v>
      </c>
      <c r="S140" s="59"/>
      <c r="T140" s="59"/>
      <c r="U140" s="59"/>
      <c r="V140" s="59"/>
      <c r="W140" s="59"/>
    </row>
    <row r="141" spans="1:23" s="30" customFormat="1" ht="42.75" x14ac:dyDescent="0.25">
      <c r="A141" s="34">
        <v>127</v>
      </c>
      <c r="B141" s="34" t="s">
        <v>260</v>
      </c>
      <c r="C141" s="62" t="s">
        <v>76</v>
      </c>
      <c r="D141" s="62" t="s">
        <v>222</v>
      </c>
      <c r="E141" s="62" t="s">
        <v>95</v>
      </c>
      <c r="F141" s="56" t="s">
        <v>140</v>
      </c>
      <c r="G141" t="s">
        <v>51</v>
      </c>
      <c r="H141" s="75" t="s">
        <v>258</v>
      </c>
      <c r="I141" s="38" t="s">
        <v>57</v>
      </c>
      <c r="J141" s="60">
        <v>1</v>
      </c>
      <c r="K141" s="60">
        <v>120</v>
      </c>
      <c r="L141" s="26">
        <f>IFERROR(VLOOKUP(I141,Combos!$A$2:$B$10,2,FALSE)*J141,"")</f>
        <v>2</v>
      </c>
      <c r="M141" s="26">
        <f t="shared" si="9"/>
        <v>240</v>
      </c>
      <c r="N141" s="94">
        <f t="shared" si="7"/>
        <v>5.3066507074060205E-3</v>
      </c>
      <c r="O141" s="40"/>
      <c r="P141" s="33" t="s">
        <v>50</v>
      </c>
      <c r="Q141" s="58"/>
      <c r="R141" s="33" t="s">
        <v>64</v>
      </c>
      <c r="S141" s="59"/>
      <c r="T141" s="59"/>
      <c r="U141" s="59"/>
      <c r="V141" s="59"/>
      <c r="W141" s="59"/>
    </row>
    <row r="142" spans="1:23" s="30" customFormat="1" ht="28.5" x14ac:dyDescent="0.25">
      <c r="A142" s="25">
        <v>128</v>
      </c>
      <c r="B142" s="34" t="s">
        <v>260</v>
      </c>
      <c r="C142" s="62" t="s">
        <v>76</v>
      </c>
      <c r="D142" s="62" t="s">
        <v>221</v>
      </c>
      <c r="E142" s="62" t="s">
        <v>96</v>
      </c>
      <c r="F142" s="56" t="s">
        <v>141</v>
      </c>
      <c r="G142" t="s">
        <v>51</v>
      </c>
      <c r="H142" s="75" t="s">
        <v>258</v>
      </c>
      <c r="I142" s="38" t="s">
        <v>60</v>
      </c>
      <c r="J142" s="60">
        <v>1</v>
      </c>
      <c r="K142" s="60">
        <v>30</v>
      </c>
      <c r="L142" s="26">
        <f>IFERROR(VLOOKUP(I142,Combos!$A$2:$B$10,2,FALSE)*J142,"")</f>
        <v>20</v>
      </c>
      <c r="M142" s="26">
        <f t="shared" si="9"/>
        <v>600</v>
      </c>
      <c r="N142" s="94">
        <f t="shared" si="7"/>
        <v>1.326662676851505E-2</v>
      </c>
      <c r="O142" s="40"/>
      <c r="P142" s="33" t="s">
        <v>50</v>
      </c>
      <c r="Q142" s="58"/>
      <c r="R142" s="33" t="s">
        <v>63</v>
      </c>
      <c r="S142" s="59"/>
      <c r="T142" s="59"/>
      <c r="U142" s="59"/>
      <c r="V142" s="59"/>
      <c r="W142" s="59"/>
    </row>
    <row r="143" spans="1:23" s="30" customFormat="1" ht="28.5" x14ac:dyDescent="0.25">
      <c r="A143" s="34">
        <v>129</v>
      </c>
      <c r="B143" s="34" t="s">
        <v>260</v>
      </c>
      <c r="C143" s="62" t="s">
        <v>77</v>
      </c>
      <c r="D143" s="62" t="s">
        <v>224</v>
      </c>
      <c r="E143" s="62" t="s">
        <v>97</v>
      </c>
      <c r="F143" s="56" t="s">
        <v>143</v>
      </c>
      <c r="G143" t="s">
        <v>51</v>
      </c>
      <c r="H143" s="75" t="s">
        <v>258</v>
      </c>
      <c r="I143" s="38" t="s">
        <v>56</v>
      </c>
      <c r="J143" s="60">
        <v>1</v>
      </c>
      <c r="K143" s="60">
        <v>60</v>
      </c>
      <c r="L143" s="26">
        <f>IFERROR(VLOOKUP(I143,Combos!$A$2:$B$10,2,FALSE)*J143,"")</f>
        <v>1</v>
      </c>
      <c r="M143" s="26">
        <f t="shared" si="9"/>
        <v>60</v>
      </c>
      <c r="N143" s="94">
        <f t="shared" ref="N143:N174" si="11">IFERROR(M143/$M$191,"")</f>
        <v>1.3266626768515051E-3</v>
      </c>
      <c r="O143" s="40"/>
      <c r="P143" s="33" t="s">
        <v>50</v>
      </c>
      <c r="Q143" s="58"/>
      <c r="R143" s="33" t="s">
        <v>63</v>
      </c>
      <c r="S143" s="59"/>
      <c r="T143" s="59"/>
      <c r="U143" s="59"/>
      <c r="V143" s="59"/>
      <c r="W143" s="59"/>
    </row>
    <row r="144" spans="1:23" s="30" customFormat="1" ht="28.5" x14ac:dyDescent="0.25">
      <c r="A144" s="25">
        <v>130</v>
      </c>
      <c r="B144" s="34" t="s">
        <v>260</v>
      </c>
      <c r="C144" s="62" t="s">
        <v>77</v>
      </c>
      <c r="D144" s="62" t="s">
        <v>224</v>
      </c>
      <c r="E144" s="62" t="s">
        <v>97</v>
      </c>
      <c r="F144" s="56" t="s">
        <v>144</v>
      </c>
      <c r="G144" t="s">
        <v>48</v>
      </c>
      <c r="H144" s="75" t="s">
        <v>258</v>
      </c>
      <c r="I144" s="38" t="s">
        <v>59</v>
      </c>
      <c r="J144" s="60">
        <v>1</v>
      </c>
      <c r="K144" s="60">
        <v>40</v>
      </c>
      <c r="L144" s="26">
        <f>IFERROR(VLOOKUP(I144,Combos!$A$2:$B$10,2,FALSE)*J144,"")</f>
        <v>4.3</v>
      </c>
      <c r="M144" s="26">
        <f t="shared" si="9"/>
        <v>172</v>
      </c>
      <c r="N144" s="94">
        <f t="shared" si="11"/>
        <v>3.803099673640981E-3</v>
      </c>
      <c r="O144" s="40"/>
      <c r="P144" s="33" t="s">
        <v>50</v>
      </c>
      <c r="Q144" s="58"/>
      <c r="R144" s="33" t="s">
        <v>63</v>
      </c>
      <c r="S144" s="59"/>
      <c r="T144" s="59"/>
      <c r="U144" s="59"/>
      <c r="V144" s="59"/>
      <c r="W144" s="59"/>
    </row>
    <row r="145" spans="1:23" s="30" customFormat="1" ht="28.5" x14ac:dyDescent="0.25">
      <c r="A145" s="34">
        <v>131</v>
      </c>
      <c r="B145" s="34" t="s">
        <v>260</v>
      </c>
      <c r="C145" s="62" t="s">
        <v>77</v>
      </c>
      <c r="D145" s="62" t="s">
        <v>227</v>
      </c>
      <c r="E145" s="62" t="s">
        <v>97</v>
      </c>
      <c r="F145" s="56" t="s">
        <v>146</v>
      </c>
      <c r="G145" t="s">
        <v>51</v>
      </c>
      <c r="H145" s="75" t="s">
        <v>258</v>
      </c>
      <c r="I145" s="38" t="s">
        <v>59</v>
      </c>
      <c r="J145" s="60">
        <v>1</v>
      </c>
      <c r="K145" s="60">
        <v>30</v>
      </c>
      <c r="L145" s="26">
        <f>IFERROR(VLOOKUP(I145,Combos!$A$2:$B$10,2,FALSE)*J145,"")</f>
        <v>4.3</v>
      </c>
      <c r="M145" s="26">
        <f t="shared" si="9"/>
        <v>129</v>
      </c>
      <c r="N145" s="94">
        <f t="shared" si="11"/>
        <v>2.8523247552307359E-3</v>
      </c>
      <c r="O145" s="40"/>
      <c r="P145" s="33" t="s">
        <v>50</v>
      </c>
      <c r="Q145" s="58"/>
      <c r="R145" s="33" t="s">
        <v>63</v>
      </c>
      <c r="S145" s="59"/>
      <c r="T145" s="59"/>
      <c r="U145" s="59"/>
      <c r="V145" s="59"/>
      <c r="W145" s="59"/>
    </row>
    <row r="146" spans="1:23" s="30" customFormat="1" ht="28.5" x14ac:dyDescent="0.25">
      <c r="A146" s="25">
        <v>132</v>
      </c>
      <c r="B146" s="34" t="s">
        <v>260</v>
      </c>
      <c r="C146" s="62" t="s">
        <v>77</v>
      </c>
      <c r="D146" s="62" t="s">
        <v>221</v>
      </c>
      <c r="E146" s="62" t="s">
        <v>97</v>
      </c>
      <c r="F146" s="56" t="s">
        <v>147</v>
      </c>
      <c r="G146" t="s">
        <v>51</v>
      </c>
      <c r="H146" s="75" t="s">
        <v>258</v>
      </c>
      <c r="I146" s="38" t="s">
        <v>59</v>
      </c>
      <c r="J146" s="60">
        <v>1</v>
      </c>
      <c r="K146" s="60">
        <v>30</v>
      </c>
      <c r="L146" s="26">
        <f>IFERROR(VLOOKUP(I146,Combos!$A$2:$B$10,2,FALSE)*J146,"")</f>
        <v>4.3</v>
      </c>
      <c r="M146" s="26">
        <f t="shared" si="9"/>
        <v>129</v>
      </c>
      <c r="N146" s="94">
        <f t="shared" si="11"/>
        <v>2.8523247552307359E-3</v>
      </c>
      <c r="O146" s="40"/>
      <c r="P146" s="33" t="s">
        <v>50</v>
      </c>
      <c r="Q146" s="58"/>
      <c r="R146" s="33" t="s">
        <v>63</v>
      </c>
      <c r="S146" s="59"/>
      <c r="T146" s="59"/>
      <c r="U146" s="59"/>
      <c r="V146" s="59"/>
      <c r="W146" s="59"/>
    </row>
    <row r="147" spans="1:23" s="30" customFormat="1" ht="28.5" x14ac:dyDescent="0.25">
      <c r="A147" s="34">
        <v>133</v>
      </c>
      <c r="B147" s="34" t="s">
        <v>260</v>
      </c>
      <c r="C147" s="62" t="s">
        <v>77</v>
      </c>
      <c r="D147" s="62" t="s">
        <v>229</v>
      </c>
      <c r="E147" s="62" t="s">
        <v>97</v>
      </c>
      <c r="F147" s="56" t="s">
        <v>148</v>
      </c>
      <c r="G147" t="s">
        <v>48</v>
      </c>
      <c r="H147" s="75" t="s">
        <v>258</v>
      </c>
      <c r="I147" s="38" t="s">
        <v>57</v>
      </c>
      <c r="J147" s="60">
        <v>1</v>
      </c>
      <c r="K147" s="60">
        <v>90</v>
      </c>
      <c r="L147" s="26">
        <f>IFERROR(VLOOKUP(I147,Combos!$A$2:$B$10,2,FALSE)*J147,"")</f>
        <v>2</v>
      </c>
      <c r="M147" s="26">
        <f t="shared" si="9"/>
        <v>180</v>
      </c>
      <c r="N147" s="94">
        <f t="shared" si="11"/>
        <v>3.9799880305545149E-3</v>
      </c>
      <c r="O147" s="40"/>
      <c r="P147" s="33" t="s">
        <v>50</v>
      </c>
      <c r="Q147" s="58"/>
      <c r="R147" s="33" t="s">
        <v>63</v>
      </c>
      <c r="S147" s="59"/>
      <c r="T147" s="59"/>
      <c r="U147" s="59"/>
      <c r="V147" s="59"/>
      <c r="W147" s="59"/>
    </row>
    <row r="148" spans="1:23" s="30" customFormat="1" ht="28.5" x14ac:dyDescent="0.25">
      <c r="A148" s="34">
        <v>134</v>
      </c>
      <c r="B148" s="34" t="s">
        <v>260</v>
      </c>
      <c r="C148" s="62" t="s">
        <v>78</v>
      </c>
      <c r="D148" s="62" t="s">
        <v>236</v>
      </c>
      <c r="E148" s="62" t="s">
        <v>98</v>
      </c>
      <c r="F148" s="56" t="s">
        <v>149</v>
      </c>
      <c r="G148" t="s">
        <v>51</v>
      </c>
      <c r="H148" s="75" t="s">
        <v>258</v>
      </c>
      <c r="I148" s="38" t="s">
        <v>59</v>
      </c>
      <c r="J148" s="60">
        <v>1</v>
      </c>
      <c r="K148" s="60">
        <v>180</v>
      </c>
      <c r="L148" s="26">
        <f>IFERROR(VLOOKUP(I148,Combos!$A$2:$B$10,2,FALSE)*J148,"")</f>
        <v>4.3</v>
      </c>
      <c r="M148" s="26">
        <f t="shared" si="9"/>
        <v>774</v>
      </c>
      <c r="N148" s="94">
        <f t="shared" si="11"/>
        <v>1.7113948531384416E-2</v>
      </c>
      <c r="O148" s="40"/>
      <c r="P148" s="33" t="s">
        <v>50</v>
      </c>
      <c r="Q148" s="58"/>
      <c r="R148" s="33" t="s">
        <v>63</v>
      </c>
      <c r="S148" s="59"/>
      <c r="T148" s="59"/>
      <c r="U148" s="59"/>
      <c r="V148" s="59"/>
      <c r="W148" s="59"/>
    </row>
    <row r="149" spans="1:23" s="30" customFormat="1" ht="28.5" x14ac:dyDescent="0.25">
      <c r="A149" s="25">
        <v>135</v>
      </c>
      <c r="B149" s="34" t="s">
        <v>260</v>
      </c>
      <c r="C149" s="62" t="s">
        <v>78</v>
      </c>
      <c r="D149" s="62" t="s">
        <v>222</v>
      </c>
      <c r="E149" s="62" t="s">
        <v>98</v>
      </c>
      <c r="F149" s="56" t="s">
        <v>150</v>
      </c>
      <c r="G149" t="s">
        <v>51</v>
      </c>
      <c r="H149" s="75" t="s">
        <v>258</v>
      </c>
      <c r="I149" s="38" t="s">
        <v>59</v>
      </c>
      <c r="J149" s="60">
        <v>1</v>
      </c>
      <c r="K149" s="60">
        <v>40</v>
      </c>
      <c r="L149" s="26">
        <f>IFERROR(VLOOKUP(I149,Combos!$A$2:$B$10,2,FALSE)*J149,"")</f>
        <v>4.3</v>
      </c>
      <c r="M149" s="26">
        <f t="shared" si="9"/>
        <v>172</v>
      </c>
      <c r="N149" s="94">
        <f t="shared" si="11"/>
        <v>3.803099673640981E-3</v>
      </c>
      <c r="O149" s="40"/>
      <c r="P149" s="33" t="s">
        <v>50</v>
      </c>
      <c r="Q149" s="58"/>
      <c r="R149" s="33" t="s">
        <v>63</v>
      </c>
      <c r="S149" s="59"/>
      <c r="T149" s="59"/>
      <c r="U149" s="59"/>
      <c r="V149" s="59"/>
      <c r="W149" s="59"/>
    </row>
    <row r="150" spans="1:23" s="30" customFormat="1" ht="28.5" x14ac:dyDescent="0.25">
      <c r="A150" s="34">
        <v>136</v>
      </c>
      <c r="B150" s="34" t="s">
        <v>260</v>
      </c>
      <c r="C150" s="62" t="s">
        <v>78</v>
      </c>
      <c r="D150" s="62" t="s">
        <v>236</v>
      </c>
      <c r="E150" s="62" t="s">
        <v>98</v>
      </c>
      <c r="F150" s="56" t="s">
        <v>215</v>
      </c>
      <c r="G150" t="s">
        <v>51</v>
      </c>
      <c r="H150" s="75" t="s">
        <v>258</v>
      </c>
      <c r="I150" s="38" t="s">
        <v>59</v>
      </c>
      <c r="J150" s="60">
        <v>1</v>
      </c>
      <c r="K150" s="60">
        <v>30</v>
      </c>
      <c r="L150" s="26">
        <f>IFERROR(VLOOKUP(I150,Combos!$A$2:$B$10,2,FALSE)*J150,"")</f>
        <v>4.3</v>
      </c>
      <c r="M150" s="26">
        <f t="shared" si="9"/>
        <v>129</v>
      </c>
      <c r="N150" s="94">
        <f t="shared" si="11"/>
        <v>2.8523247552307359E-3</v>
      </c>
      <c r="O150" s="40"/>
      <c r="P150" s="33" t="s">
        <v>50</v>
      </c>
      <c r="Q150" s="58"/>
      <c r="R150" s="33" t="s">
        <v>63</v>
      </c>
      <c r="S150" s="59"/>
      <c r="T150" s="59"/>
      <c r="U150" s="59"/>
      <c r="V150" s="59"/>
      <c r="W150" s="59"/>
    </row>
    <row r="151" spans="1:23" s="30" customFormat="1" ht="28.5" x14ac:dyDescent="0.25">
      <c r="A151" s="25">
        <v>137</v>
      </c>
      <c r="B151" s="34" t="s">
        <v>260</v>
      </c>
      <c r="C151" s="62" t="s">
        <v>78</v>
      </c>
      <c r="D151" s="62" t="s">
        <v>236</v>
      </c>
      <c r="E151" s="62" t="s">
        <v>98</v>
      </c>
      <c r="F151" s="56" t="s">
        <v>211</v>
      </c>
      <c r="G151" t="s">
        <v>51</v>
      </c>
      <c r="H151" s="75" t="s">
        <v>258</v>
      </c>
      <c r="I151" s="38" t="s">
        <v>59</v>
      </c>
      <c r="J151" s="60">
        <v>1</v>
      </c>
      <c r="K151" s="60">
        <v>20</v>
      </c>
      <c r="L151" s="26">
        <f>IFERROR(VLOOKUP(I151,Combos!$A$2:$B$10,2,FALSE)*J151,"")</f>
        <v>4.3</v>
      </c>
      <c r="M151" s="26">
        <f t="shared" si="9"/>
        <v>86</v>
      </c>
      <c r="N151" s="94">
        <f t="shared" si="11"/>
        <v>1.9015498368204905E-3</v>
      </c>
      <c r="O151" s="40"/>
      <c r="P151" s="33" t="s">
        <v>50</v>
      </c>
      <c r="Q151" s="58"/>
      <c r="R151" s="33" t="s">
        <v>63</v>
      </c>
      <c r="S151" s="59"/>
      <c r="T151" s="59"/>
      <c r="U151" s="59"/>
      <c r="V151" s="59"/>
      <c r="W151" s="59"/>
    </row>
    <row r="152" spans="1:23" s="30" customFormat="1" ht="28.5" x14ac:dyDescent="0.25">
      <c r="A152" s="34">
        <v>138</v>
      </c>
      <c r="B152" s="34" t="s">
        <v>260</v>
      </c>
      <c r="C152" s="62" t="s">
        <v>78</v>
      </c>
      <c r="D152" s="62" t="s">
        <v>236</v>
      </c>
      <c r="E152" s="62" t="s">
        <v>98</v>
      </c>
      <c r="F152" s="56" t="s">
        <v>151</v>
      </c>
      <c r="G152" t="s">
        <v>51</v>
      </c>
      <c r="H152" s="75" t="s">
        <v>258</v>
      </c>
      <c r="I152" s="38" t="s">
        <v>59</v>
      </c>
      <c r="J152" s="60">
        <v>1</v>
      </c>
      <c r="K152" s="60">
        <v>30</v>
      </c>
      <c r="L152" s="26">
        <f>IFERROR(VLOOKUP(I152,Combos!$A$2:$B$10,2,FALSE)*J152,"")</f>
        <v>4.3</v>
      </c>
      <c r="M152" s="26">
        <f t="shared" si="9"/>
        <v>129</v>
      </c>
      <c r="N152" s="94">
        <f t="shared" si="11"/>
        <v>2.8523247552307359E-3</v>
      </c>
      <c r="O152" s="40"/>
      <c r="P152" s="33" t="s">
        <v>50</v>
      </c>
      <c r="Q152" s="58"/>
      <c r="R152" s="33" t="s">
        <v>63</v>
      </c>
      <c r="S152" s="59"/>
      <c r="T152" s="59"/>
      <c r="U152" s="59"/>
      <c r="V152" s="59"/>
      <c r="W152" s="59"/>
    </row>
    <row r="153" spans="1:23" s="30" customFormat="1" ht="28.5" x14ac:dyDescent="0.25">
      <c r="A153" s="25">
        <v>139</v>
      </c>
      <c r="B153" s="34" t="s">
        <v>260</v>
      </c>
      <c r="C153" s="62" t="s">
        <v>78</v>
      </c>
      <c r="D153" s="62" t="s">
        <v>236</v>
      </c>
      <c r="E153" s="62" t="s">
        <v>98</v>
      </c>
      <c r="F153" s="56" t="s">
        <v>152</v>
      </c>
      <c r="G153" t="s">
        <v>51</v>
      </c>
      <c r="H153" s="75" t="s">
        <v>258</v>
      </c>
      <c r="I153" s="38" t="s">
        <v>59</v>
      </c>
      <c r="J153" s="60">
        <v>1</v>
      </c>
      <c r="K153" s="60">
        <v>30</v>
      </c>
      <c r="L153" s="26">
        <f>IFERROR(VLOOKUP(I153,Combos!$A$2:$B$10,2,FALSE)*J153,"")</f>
        <v>4.3</v>
      </c>
      <c r="M153" s="26">
        <f t="shared" si="9"/>
        <v>129</v>
      </c>
      <c r="N153" s="94">
        <f t="shared" si="11"/>
        <v>2.8523247552307359E-3</v>
      </c>
      <c r="O153" s="40"/>
      <c r="P153" s="33" t="s">
        <v>50</v>
      </c>
      <c r="Q153" s="58"/>
      <c r="R153" s="33" t="s">
        <v>63</v>
      </c>
      <c r="S153" s="59"/>
      <c r="T153" s="59"/>
      <c r="U153" s="59"/>
      <c r="V153" s="59"/>
      <c r="W153" s="59"/>
    </row>
    <row r="154" spans="1:23" s="30" customFormat="1" ht="28.5" x14ac:dyDescent="0.25">
      <c r="A154" s="34">
        <v>140</v>
      </c>
      <c r="B154" s="34" t="s">
        <v>260</v>
      </c>
      <c r="C154" s="62" t="s">
        <v>78</v>
      </c>
      <c r="D154" s="62" t="s">
        <v>236</v>
      </c>
      <c r="E154" s="62" t="s">
        <v>98</v>
      </c>
      <c r="F154" s="56" t="s">
        <v>153</v>
      </c>
      <c r="G154" t="s">
        <v>51</v>
      </c>
      <c r="H154" s="75" t="s">
        <v>258</v>
      </c>
      <c r="I154" s="38" t="s">
        <v>59</v>
      </c>
      <c r="J154" s="60">
        <v>1</v>
      </c>
      <c r="K154" s="60">
        <v>15</v>
      </c>
      <c r="L154" s="26">
        <f>IFERROR(VLOOKUP(I154,Combos!$A$2:$B$10,2,FALSE)*J154,"")</f>
        <v>4.3</v>
      </c>
      <c r="M154" s="26">
        <f t="shared" si="9"/>
        <v>64.5</v>
      </c>
      <c r="N154" s="94">
        <f t="shared" si="11"/>
        <v>1.4261623776153679E-3</v>
      </c>
      <c r="O154" s="40"/>
      <c r="P154" s="33" t="s">
        <v>50</v>
      </c>
      <c r="Q154" s="58"/>
      <c r="R154" s="33" t="s">
        <v>64</v>
      </c>
      <c r="S154" s="59"/>
      <c r="T154" s="59"/>
      <c r="U154" s="59"/>
      <c r="V154" s="59"/>
      <c r="W154" s="59"/>
    </row>
    <row r="155" spans="1:23" s="30" customFormat="1" ht="28.5" x14ac:dyDescent="0.25">
      <c r="A155" s="34">
        <v>141</v>
      </c>
      <c r="B155" s="34" t="s">
        <v>260</v>
      </c>
      <c r="C155" s="62" t="s">
        <v>78</v>
      </c>
      <c r="D155" s="62" t="s">
        <v>221</v>
      </c>
      <c r="E155" s="62" t="s">
        <v>98</v>
      </c>
      <c r="F155" s="56" t="s">
        <v>154</v>
      </c>
      <c r="G155" t="s">
        <v>51</v>
      </c>
      <c r="H155" s="75" t="s">
        <v>258</v>
      </c>
      <c r="I155" s="38" t="s">
        <v>59</v>
      </c>
      <c r="J155" s="60">
        <v>1</v>
      </c>
      <c r="K155" s="60">
        <v>20</v>
      </c>
      <c r="L155" s="26">
        <f>IFERROR(VLOOKUP(I155,Combos!$A$2:$B$10,2,FALSE)*J155,"")</f>
        <v>4.3</v>
      </c>
      <c r="M155" s="26">
        <f t="shared" si="9"/>
        <v>86</v>
      </c>
      <c r="N155" s="94">
        <f t="shared" si="11"/>
        <v>1.9015498368204905E-3</v>
      </c>
      <c r="O155" s="40"/>
      <c r="P155" s="33" t="s">
        <v>50</v>
      </c>
      <c r="Q155" s="58"/>
      <c r="R155" s="33" t="s">
        <v>63</v>
      </c>
      <c r="S155" s="59"/>
      <c r="T155" s="59"/>
      <c r="U155" s="59"/>
      <c r="V155" s="59"/>
      <c r="W155" s="59"/>
    </row>
    <row r="156" spans="1:23" s="30" customFormat="1" ht="28.5" x14ac:dyDescent="0.25">
      <c r="A156" s="25">
        <v>142</v>
      </c>
      <c r="B156" s="34" t="s">
        <v>260</v>
      </c>
      <c r="C156" s="62" t="s">
        <v>78</v>
      </c>
      <c r="D156" s="62" t="s">
        <v>223</v>
      </c>
      <c r="E156" s="62" t="s">
        <v>98</v>
      </c>
      <c r="F156" s="56" t="s">
        <v>155</v>
      </c>
      <c r="G156" t="s">
        <v>51</v>
      </c>
      <c r="H156" s="75" t="s">
        <v>258</v>
      </c>
      <c r="I156" s="38" t="s">
        <v>59</v>
      </c>
      <c r="J156" s="60">
        <v>1</v>
      </c>
      <c r="K156" s="60">
        <v>480</v>
      </c>
      <c r="L156" s="26">
        <f>IFERROR(VLOOKUP(I156,Combos!$A$2:$B$10,2,FALSE)*J156,"")</f>
        <v>4.3</v>
      </c>
      <c r="M156" s="26">
        <f t="shared" si="9"/>
        <v>2064</v>
      </c>
      <c r="N156" s="94">
        <f t="shared" si="11"/>
        <v>4.5637196083691774E-2</v>
      </c>
      <c r="O156" s="40"/>
      <c r="P156" s="33" t="s">
        <v>50</v>
      </c>
      <c r="Q156" s="58"/>
      <c r="R156" s="33" t="s">
        <v>63</v>
      </c>
      <c r="S156" s="59"/>
      <c r="T156" s="59"/>
      <c r="U156" s="59"/>
      <c r="V156" s="59"/>
      <c r="W156" s="59"/>
    </row>
    <row r="157" spans="1:23" s="30" customFormat="1" ht="28.5" x14ac:dyDescent="0.25">
      <c r="A157" s="34">
        <v>143</v>
      </c>
      <c r="B157" s="34" t="s">
        <v>260</v>
      </c>
      <c r="C157" s="62" t="s">
        <v>78</v>
      </c>
      <c r="D157" s="62" t="s">
        <v>223</v>
      </c>
      <c r="E157" s="62" t="s">
        <v>98</v>
      </c>
      <c r="F157" s="56" t="s">
        <v>156</v>
      </c>
      <c r="G157" t="s">
        <v>51</v>
      </c>
      <c r="H157" s="75" t="s">
        <v>258</v>
      </c>
      <c r="I157" s="38" t="s">
        <v>59</v>
      </c>
      <c r="J157" s="60">
        <v>1</v>
      </c>
      <c r="K157" s="60">
        <v>480</v>
      </c>
      <c r="L157" s="26">
        <f>IFERROR(VLOOKUP(I157,Combos!$A$2:$B$10,2,FALSE)*J157,"")</f>
        <v>4.3</v>
      </c>
      <c r="M157" s="26">
        <f t="shared" si="9"/>
        <v>2064</v>
      </c>
      <c r="N157" s="94">
        <f t="shared" si="11"/>
        <v>4.5637196083691774E-2</v>
      </c>
      <c r="O157" s="40"/>
      <c r="P157" s="33" t="s">
        <v>50</v>
      </c>
      <c r="Q157" s="58"/>
      <c r="R157" s="33" t="s">
        <v>63</v>
      </c>
      <c r="S157" s="59"/>
      <c r="T157" s="59"/>
      <c r="U157" s="59"/>
      <c r="V157" s="59"/>
      <c r="W157" s="59"/>
    </row>
    <row r="158" spans="1:23" s="30" customFormat="1" ht="28.5" x14ac:dyDescent="0.25">
      <c r="A158" s="25">
        <v>144</v>
      </c>
      <c r="B158" s="34" t="s">
        <v>260</v>
      </c>
      <c r="C158" s="62" t="s">
        <v>78</v>
      </c>
      <c r="D158" s="62" t="s">
        <v>236</v>
      </c>
      <c r="E158" s="62" t="s">
        <v>98</v>
      </c>
      <c r="F158" s="56" t="s">
        <v>157</v>
      </c>
      <c r="G158" t="s">
        <v>51</v>
      </c>
      <c r="H158" s="75" t="s">
        <v>258</v>
      </c>
      <c r="I158" s="38" t="s">
        <v>59</v>
      </c>
      <c r="J158" s="60">
        <v>1</v>
      </c>
      <c r="K158" s="60">
        <v>15</v>
      </c>
      <c r="L158" s="26">
        <f>IFERROR(VLOOKUP(I158,Combos!$A$2:$B$10,2,FALSE)*J158,"")</f>
        <v>4.3</v>
      </c>
      <c r="M158" s="26">
        <f t="shared" si="9"/>
        <v>64.5</v>
      </c>
      <c r="N158" s="94">
        <f t="shared" si="11"/>
        <v>1.4261623776153679E-3</v>
      </c>
      <c r="O158" s="40"/>
      <c r="P158" s="33" t="s">
        <v>50</v>
      </c>
      <c r="Q158" s="58"/>
      <c r="R158" s="33" t="s">
        <v>64</v>
      </c>
      <c r="S158" s="59"/>
      <c r="T158" s="59"/>
      <c r="U158" s="59"/>
      <c r="V158" s="59"/>
      <c r="W158" s="59"/>
    </row>
    <row r="159" spans="1:23" s="30" customFormat="1" ht="28.5" x14ac:dyDescent="0.25">
      <c r="A159" s="34">
        <v>145</v>
      </c>
      <c r="B159" s="34" t="s">
        <v>260</v>
      </c>
      <c r="C159" s="62" t="s">
        <v>78</v>
      </c>
      <c r="D159" s="62" t="s">
        <v>233</v>
      </c>
      <c r="E159" s="62" t="s">
        <v>98</v>
      </c>
      <c r="F159" s="56" t="s">
        <v>158</v>
      </c>
      <c r="G159" t="s">
        <v>53</v>
      </c>
      <c r="H159" s="75" t="s">
        <v>258</v>
      </c>
      <c r="I159" s="38" t="s">
        <v>59</v>
      </c>
      <c r="J159" s="60">
        <v>1</v>
      </c>
      <c r="K159" s="60">
        <v>15</v>
      </c>
      <c r="L159" s="26">
        <f>IFERROR(VLOOKUP(I159,Combos!$A$2:$B$10,2,FALSE)*J159,"")</f>
        <v>4.3</v>
      </c>
      <c r="M159" s="26">
        <f t="shared" si="9"/>
        <v>64.5</v>
      </c>
      <c r="N159" s="94">
        <f t="shared" si="11"/>
        <v>1.4261623776153679E-3</v>
      </c>
      <c r="O159" s="40"/>
      <c r="P159" s="33" t="s">
        <v>50</v>
      </c>
      <c r="Q159" s="58"/>
      <c r="R159" s="33" t="s">
        <v>63</v>
      </c>
      <c r="S159" s="59"/>
      <c r="T159" s="59"/>
      <c r="U159" s="59"/>
      <c r="V159" s="59"/>
      <c r="W159" s="59"/>
    </row>
    <row r="160" spans="1:23" s="30" customFormat="1" ht="28.5" x14ac:dyDescent="0.25">
      <c r="A160" s="25">
        <v>146</v>
      </c>
      <c r="B160" s="34" t="s">
        <v>260</v>
      </c>
      <c r="C160" s="62" t="s">
        <v>78</v>
      </c>
      <c r="D160" s="62" t="s">
        <v>226</v>
      </c>
      <c r="E160" s="62" t="s">
        <v>98</v>
      </c>
      <c r="F160" s="56" t="s">
        <v>159</v>
      </c>
      <c r="G160" t="s">
        <v>53</v>
      </c>
      <c r="H160" s="75" t="s">
        <v>258</v>
      </c>
      <c r="I160" s="38" t="s">
        <v>59</v>
      </c>
      <c r="J160" s="60">
        <v>1</v>
      </c>
      <c r="K160" s="60">
        <v>15</v>
      </c>
      <c r="L160" s="26">
        <f>IFERROR(VLOOKUP(I160,Combos!$A$2:$B$10,2,FALSE)*J160,"")</f>
        <v>4.3</v>
      </c>
      <c r="M160" s="26">
        <f t="shared" si="9"/>
        <v>64.5</v>
      </c>
      <c r="N160" s="94">
        <f t="shared" si="11"/>
        <v>1.4261623776153679E-3</v>
      </c>
      <c r="O160" s="40"/>
      <c r="P160" s="33" t="s">
        <v>50</v>
      </c>
      <c r="Q160" s="58"/>
      <c r="R160" s="33" t="s">
        <v>63</v>
      </c>
      <c r="S160" s="59"/>
      <c r="T160" s="59"/>
      <c r="U160" s="59"/>
      <c r="V160" s="59"/>
      <c r="W160" s="59"/>
    </row>
    <row r="161" spans="1:23" s="30" customFormat="1" ht="28.5" x14ac:dyDescent="0.25">
      <c r="A161" s="34">
        <v>147</v>
      </c>
      <c r="B161" s="34" t="s">
        <v>260</v>
      </c>
      <c r="C161" s="62" t="s">
        <v>78</v>
      </c>
      <c r="D161" s="62" t="s">
        <v>225</v>
      </c>
      <c r="E161" s="62" t="s">
        <v>98</v>
      </c>
      <c r="F161" s="56" t="s">
        <v>160</v>
      </c>
      <c r="G161" t="s">
        <v>51</v>
      </c>
      <c r="H161" s="75" t="s">
        <v>258</v>
      </c>
      <c r="I161" s="38" t="s">
        <v>59</v>
      </c>
      <c r="J161" s="60">
        <v>1</v>
      </c>
      <c r="K161" s="60">
        <v>20</v>
      </c>
      <c r="L161" s="26">
        <f>IFERROR(VLOOKUP(I161,Combos!$A$2:$B$10,2,FALSE)*J161,"")</f>
        <v>4.3</v>
      </c>
      <c r="M161" s="26">
        <f t="shared" si="9"/>
        <v>86</v>
      </c>
      <c r="N161" s="94">
        <f t="shared" si="11"/>
        <v>1.9015498368204905E-3</v>
      </c>
      <c r="O161" s="40"/>
      <c r="P161" s="33" t="s">
        <v>50</v>
      </c>
      <c r="Q161" s="58"/>
      <c r="R161" s="33" t="s">
        <v>63</v>
      </c>
      <c r="S161" s="59"/>
      <c r="T161" s="59"/>
      <c r="U161" s="59"/>
      <c r="V161" s="59"/>
      <c r="W161" s="59"/>
    </row>
    <row r="162" spans="1:23" s="30" customFormat="1" ht="28.5" x14ac:dyDescent="0.25">
      <c r="A162" s="34">
        <v>148</v>
      </c>
      <c r="B162" s="34" t="s">
        <v>260</v>
      </c>
      <c r="C162" s="62" t="s">
        <v>78</v>
      </c>
      <c r="D162" s="62" t="s">
        <v>253</v>
      </c>
      <c r="E162" s="62" t="s">
        <v>98</v>
      </c>
      <c r="F162" s="56" t="s">
        <v>161</v>
      </c>
      <c r="G162" t="s">
        <v>51</v>
      </c>
      <c r="H162" s="75" t="s">
        <v>258</v>
      </c>
      <c r="I162" s="38" t="s">
        <v>59</v>
      </c>
      <c r="J162" s="60">
        <v>1</v>
      </c>
      <c r="K162" s="60">
        <v>60</v>
      </c>
      <c r="L162" s="26">
        <f>IFERROR(VLOOKUP(I162,Combos!$A$2:$B$10,2,FALSE)*J162,"")</f>
        <v>4.3</v>
      </c>
      <c r="M162" s="26">
        <f t="shared" si="9"/>
        <v>258</v>
      </c>
      <c r="N162" s="94">
        <f t="shared" si="11"/>
        <v>5.7046495104614717E-3</v>
      </c>
      <c r="O162" s="40"/>
      <c r="P162" s="33" t="s">
        <v>50</v>
      </c>
      <c r="Q162" s="58"/>
      <c r="R162" s="33" t="s">
        <v>63</v>
      </c>
      <c r="S162" s="59"/>
      <c r="T162" s="59"/>
      <c r="U162" s="59"/>
      <c r="V162" s="59"/>
      <c r="W162" s="59"/>
    </row>
    <row r="163" spans="1:23" s="30" customFormat="1" ht="28.5" x14ac:dyDescent="0.25">
      <c r="A163" s="25">
        <v>149</v>
      </c>
      <c r="B163" s="34" t="s">
        <v>260</v>
      </c>
      <c r="C163" s="62" t="s">
        <v>78</v>
      </c>
      <c r="D163" s="62" t="s">
        <v>237</v>
      </c>
      <c r="E163" s="62" t="s">
        <v>98</v>
      </c>
      <c r="F163" s="56" t="s">
        <v>162</v>
      </c>
      <c r="G163" t="s">
        <v>51</v>
      </c>
      <c r="H163" s="75" t="s">
        <v>258</v>
      </c>
      <c r="I163" s="38" t="s">
        <v>59</v>
      </c>
      <c r="J163" s="60">
        <v>1</v>
      </c>
      <c r="K163" s="60">
        <v>60</v>
      </c>
      <c r="L163" s="26">
        <f>IFERROR(VLOOKUP(I163,Combos!$A$2:$B$10,2,FALSE)*J163,"")</f>
        <v>4.3</v>
      </c>
      <c r="M163" s="26">
        <f t="shared" si="9"/>
        <v>258</v>
      </c>
      <c r="N163" s="94">
        <f t="shared" si="11"/>
        <v>5.7046495104614717E-3</v>
      </c>
      <c r="O163" s="40"/>
      <c r="P163" s="33" t="s">
        <v>50</v>
      </c>
      <c r="Q163" s="58"/>
      <c r="R163" s="33" t="s">
        <v>63</v>
      </c>
      <c r="S163" s="59"/>
      <c r="T163" s="59"/>
      <c r="U163" s="59"/>
      <c r="V163" s="59"/>
      <c r="W163" s="59"/>
    </row>
    <row r="164" spans="1:23" s="30" customFormat="1" ht="28.5" x14ac:dyDescent="0.25">
      <c r="A164" s="34">
        <v>150</v>
      </c>
      <c r="B164" s="34" t="s">
        <v>260</v>
      </c>
      <c r="C164" s="62" t="s">
        <v>79</v>
      </c>
      <c r="D164" s="62" t="s">
        <v>226</v>
      </c>
      <c r="E164" s="62" t="s">
        <v>99</v>
      </c>
      <c r="F164" s="56" t="s">
        <v>165</v>
      </c>
      <c r="G164" t="s">
        <v>48</v>
      </c>
      <c r="H164" s="75" t="s">
        <v>258</v>
      </c>
      <c r="I164" s="38" t="s">
        <v>59</v>
      </c>
      <c r="J164" s="60">
        <v>1</v>
      </c>
      <c r="K164" s="60">
        <v>30</v>
      </c>
      <c r="L164" s="26">
        <f>IFERROR(VLOOKUP(I164,Combos!$A$2:$B$10,2,FALSE)*J164,"")</f>
        <v>4.3</v>
      </c>
      <c r="M164" s="26">
        <f t="shared" si="9"/>
        <v>129</v>
      </c>
      <c r="N164" s="94">
        <f t="shared" si="11"/>
        <v>2.8523247552307359E-3</v>
      </c>
      <c r="O164" s="40"/>
      <c r="P164" s="33" t="s">
        <v>50</v>
      </c>
      <c r="Q164" s="58"/>
      <c r="R164" s="33" t="s">
        <v>63</v>
      </c>
      <c r="S164" s="59"/>
      <c r="T164" s="59"/>
      <c r="U164" s="59"/>
      <c r="V164" s="59"/>
      <c r="W164" s="59"/>
    </row>
    <row r="165" spans="1:23" s="30" customFormat="1" ht="28.5" x14ac:dyDescent="0.25">
      <c r="A165" s="25">
        <v>151</v>
      </c>
      <c r="B165" s="34" t="s">
        <v>260</v>
      </c>
      <c r="C165" s="62" t="s">
        <v>79</v>
      </c>
      <c r="D165" s="62" t="s">
        <v>226</v>
      </c>
      <c r="E165" s="62" t="s">
        <v>99</v>
      </c>
      <c r="F165" s="56" t="s">
        <v>167</v>
      </c>
      <c r="G165" t="s">
        <v>51</v>
      </c>
      <c r="H165" s="75" t="s">
        <v>258</v>
      </c>
      <c r="I165" s="38" t="s">
        <v>59</v>
      </c>
      <c r="J165" s="60">
        <v>1</v>
      </c>
      <c r="K165" s="60">
        <v>30</v>
      </c>
      <c r="L165" s="26">
        <f>IFERROR(VLOOKUP(I165,Combos!$A$2:$B$10,2,FALSE)*J165,"")</f>
        <v>4.3</v>
      </c>
      <c r="M165" s="26">
        <f t="shared" si="9"/>
        <v>129</v>
      </c>
      <c r="N165" s="94">
        <f t="shared" si="11"/>
        <v>2.8523247552307359E-3</v>
      </c>
      <c r="O165" s="40"/>
      <c r="P165" s="33" t="s">
        <v>50</v>
      </c>
      <c r="Q165" s="58"/>
      <c r="R165" s="33" t="s">
        <v>64</v>
      </c>
      <c r="S165" s="59"/>
      <c r="T165" s="59"/>
      <c r="U165" s="59"/>
      <c r="V165" s="59"/>
      <c r="W165" s="59"/>
    </row>
    <row r="166" spans="1:23" s="30" customFormat="1" ht="28.5" x14ac:dyDescent="0.25">
      <c r="A166" s="34">
        <v>152</v>
      </c>
      <c r="B166" s="34" t="s">
        <v>260</v>
      </c>
      <c r="C166" s="62" t="s">
        <v>80</v>
      </c>
      <c r="D166" s="62" t="s">
        <v>224</v>
      </c>
      <c r="E166" s="62" t="s">
        <v>100</v>
      </c>
      <c r="F166" s="56" t="s">
        <v>169</v>
      </c>
      <c r="G166" t="s">
        <v>48</v>
      </c>
      <c r="H166" s="75" t="s">
        <v>258</v>
      </c>
      <c r="I166" s="38" t="s">
        <v>59</v>
      </c>
      <c r="J166" s="60">
        <v>1</v>
      </c>
      <c r="K166" s="60">
        <v>20</v>
      </c>
      <c r="L166" s="26">
        <f>IFERROR(VLOOKUP(I166,Combos!$A$2:$B$10,2,FALSE)*J166,"")</f>
        <v>4.3</v>
      </c>
      <c r="M166" s="26">
        <f t="shared" si="9"/>
        <v>86</v>
      </c>
      <c r="N166" s="94">
        <f t="shared" si="11"/>
        <v>1.9015498368204905E-3</v>
      </c>
      <c r="O166" s="40"/>
      <c r="P166" s="33" t="s">
        <v>50</v>
      </c>
      <c r="Q166" s="58"/>
      <c r="R166" s="33" t="s">
        <v>64</v>
      </c>
      <c r="S166" s="59"/>
      <c r="T166" s="59"/>
      <c r="U166" s="59"/>
      <c r="V166" s="59"/>
      <c r="W166" s="59"/>
    </row>
    <row r="167" spans="1:23" s="30" customFormat="1" ht="28.5" x14ac:dyDescent="0.25">
      <c r="A167" s="25">
        <v>153</v>
      </c>
      <c r="B167" s="34" t="s">
        <v>260</v>
      </c>
      <c r="C167" s="62" t="s">
        <v>80</v>
      </c>
      <c r="D167" s="62" t="s">
        <v>224</v>
      </c>
      <c r="E167" s="62" t="s">
        <v>100</v>
      </c>
      <c r="F167" s="56" t="s">
        <v>173</v>
      </c>
      <c r="G167" t="s">
        <v>51</v>
      </c>
      <c r="H167" s="75" t="s">
        <v>258</v>
      </c>
      <c r="I167" s="38" t="s">
        <v>60</v>
      </c>
      <c r="J167" s="60">
        <v>1</v>
      </c>
      <c r="K167" s="60">
        <v>30</v>
      </c>
      <c r="L167" s="26">
        <f>IFERROR(VLOOKUP(I167,Combos!$A$2:$B$10,2,FALSE)*J167,"")</f>
        <v>20</v>
      </c>
      <c r="M167" s="26">
        <f t="shared" si="9"/>
        <v>600</v>
      </c>
      <c r="N167" s="94">
        <f t="shared" si="11"/>
        <v>1.326662676851505E-2</v>
      </c>
      <c r="O167" s="40"/>
      <c r="P167" s="33" t="s">
        <v>50</v>
      </c>
      <c r="Q167" s="58"/>
      <c r="R167" s="33" t="s">
        <v>63</v>
      </c>
      <c r="S167" s="59"/>
      <c r="T167" s="59"/>
      <c r="U167" s="59"/>
      <c r="V167" s="59"/>
      <c r="W167" s="59"/>
    </row>
    <row r="168" spans="1:23" s="30" customFormat="1" ht="28.5" x14ac:dyDescent="0.25">
      <c r="A168" s="34">
        <v>154</v>
      </c>
      <c r="B168" s="34" t="s">
        <v>260</v>
      </c>
      <c r="C168" s="62" t="s">
        <v>80</v>
      </c>
      <c r="D168" s="62" t="s">
        <v>224</v>
      </c>
      <c r="E168" s="62" t="s">
        <v>100</v>
      </c>
      <c r="F168" s="56" t="s">
        <v>174</v>
      </c>
      <c r="G168" t="s">
        <v>51</v>
      </c>
      <c r="H168" s="75" t="s">
        <v>258</v>
      </c>
      <c r="I168" s="38" t="s">
        <v>60</v>
      </c>
      <c r="J168" s="60">
        <v>1</v>
      </c>
      <c r="K168" s="60">
        <v>15</v>
      </c>
      <c r="L168" s="26">
        <f>IFERROR(VLOOKUP(I168,Combos!$A$2:$B$10,2,FALSE)*J168,"")</f>
        <v>20</v>
      </c>
      <c r="M168" s="26">
        <f t="shared" si="9"/>
        <v>300</v>
      </c>
      <c r="N168" s="94">
        <f t="shared" si="11"/>
        <v>6.6333133842575252E-3</v>
      </c>
      <c r="O168" s="40"/>
      <c r="P168" s="33" t="s">
        <v>50</v>
      </c>
      <c r="Q168" s="58"/>
      <c r="R168" s="33" t="s">
        <v>63</v>
      </c>
      <c r="S168" s="59"/>
      <c r="T168" s="59"/>
      <c r="U168" s="59"/>
      <c r="V168" s="59"/>
      <c r="W168" s="59"/>
    </row>
    <row r="169" spans="1:23" s="30" customFormat="1" ht="28.5" x14ac:dyDescent="0.25">
      <c r="A169" s="34">
        <v>155</v>
      </c>
      <c r="B169" s="34" t="s">
        <v>260</v>
      </c>
      <c r="C169" s="62" t="s">
        <v>80</v>
      </c>
      <c r="D169" s="62" t="s">
        <v>224</v>
      </c>
      <c r="E169" s="62" t="s">
        <v>100</v>
      </c>
      <c r="F169" s="56" t="s">
        <v>175</v>
      </c>
      <c r="G169" t="s">
        <v>48</v>
      </c>
      <c r="H169" s="75" t="s">
        <v>258</v>
      </c>
      <c r="I169" s="38" t="s">
        <v>60</v>
      </c>
      <c r="J169" s="60">
        <v>1</v>
      </c>
      <c r="K169" s="60">
        <v>15</v>
      </c>
      <c r="L169" s="26">
        <f>IFERROR(VLOOKUP(I169,Combos!$A$2:$B$10,2,FALSE)*J169,"")</f>
        <v>20</v>
      </c>
      <c r="M169" s="26">
        <f t="shared" si="9"/>
        <v>300</v>
      </c>
      <c r="N169" s="94">
        <f t="shared" si="11"/>
        <v>6.6333133842575252E-3</v>
      </c>
      <c r="O169" s="40"/>
      <c r="P169" s="33" t="s">
        <v>50</v>
      </c>
      <c r="Q169" s="58"/>
      <c r="R169" s="33" t="s">
        <v>63</v>
      </c>
      <c r="S169" s="59"/>
      <c r="T169" s="59"/>
      <c r="U169" s="59"/>
      <c r="V169" s="59"/>
      <c r="W169" s="59"/>
    </row>
    <row r="170" spans="1:23" s="30" customFormat="1" ht="28.5" x14ac:dyDescent="0.25">
      <c r="A170" s="25">
        <v>156</v>
      </c>
      <c r="B170" s="34" t="s">
        <v>260</v>
      </c>
      <c r="C170" s="62" t="s">
        <v>80</v>
      </c>
      <c r="D170" s="62" t="s">
        <v>224</v>
      </c>
      <c r="E170" s="62" t="s">
        <v>100</v>
      </c>
      <c r="F170" s="56" t="s">
        <v>176</v>
      </c>
      <c r="G170" t="s">
        <v>48</v>
      </c>
      <c r="H170" s="75" t="s">
        <v>258</v>
      </c>
      <c r="I170" s="38" t="s">
        <v>59</v>
      </c>
      <c r="J170" s="60">
        <v>1</v>
      </c>
      <c r="K170" s="60">
        <v>15</v>
      </c>
      <c r="L170" s="26">
        <f>IFERROR(VLOOKUP(I170,Combos!$A$2:$B$10,2,FALSE)*J170,"")</f>
        <v>4.3</v>
      </c>
      <c r="M170" s="26">
        <f t="shared" si="9"/>
        <v>64.5</v>
      </c>
      <c r="N170" s="94">
        <f t="shared" si="11"/>
        <v>1.4261623776153679E-3</v>
      </c>
      <c r="O170" s="40"/>
      <c r="P170" s="33" t="s">
        <v>50</v>
      </c>
      <c r="Q170" s="58"/>
      <c r="R170" s="33" t="s">
        <v>63</v>
      </c>
      <c r="S170" s="59"/>
      <c r="T170" s="59"/>
      <c r="U170" s="59"/>
      <c r="V170" s="59"/>
      <c r="W170" s="59"/>
    </row>
    <row r="171" spans="1:23" s="30" customFormat="1" ht="28.5" x14ac:dyDescent="0.25">
      <c r="A171" s="34">
        <v>157</v>
      </c>
      <c r="B171" s="34" t="s">
        <v>260</v>
      </c>
      <c r="C171" s="62" t="s">
        <v>83</v>
      </c>
      <c r="D171" s="62" t="s">
        <v>241</v>
      </c>
      <c r="E171" s="62" t="s">
        <v>103</v>
      </c>
      <c r="F171" s="56" t="s">
        <v>181</v>
      </c>
      <c r="G171" t="s">
        <v>51</v>
      </c>
      <c r="H171" s="75" t="s">
        <v>258</v>
      </c>
      <c r="I171" s="38" t="s">
        <v>59</v>
      </c>
      <c r="J171" s="60">
        <v>1</v>
      </c>
      <c r="K171" s="60">
        <v>30</v>
      </c>
      <c r="L171" s="26">
        <f>IFERROR(VLOOKUP(I171,Combos!$A$2:$B$10,2,FALSE)*J171,"")</f>
        <v>4.3</v>
      </c>
      <c r="M171" s="26">
        <f t="shared" si="9"/>
        <v>129</v>
      </c>
      <c r="N171" s="94">
        <f t="shared" si="11"/>
        <v>2.8523247552307359E-3</v>
      </c>
      <c r="O171" s="40"/>
      <c r="P171" s="33" t="s">
        <v>47</v>
      </c>
      <c r="Q171" s="58"/>
      <c r="R171" s="33" t="s">
        <v>63</v>
      </c>
      <c r="S171" s="59"/>
      <c r="T171" s="59"/>
      <c r="U171" s="59"/>
      <c r="V171" s="59"/>
      <c r="W171" s="59"/>
    </row>
    <row r="172" spans="1:23" s="30" customFormat="1" ht="28.5" x14ac:dyDescent="0.25">
      <c r="A172" s="25">
        <v>158</v>
      </c>
      <c r="B172" s="34" t="s">
        <v>260</v>
      </c>
      <c r="C172" s="62" t="s">
        <v>83</v>
      </c>
      <c r="D172" s="62" t="s">
        <v>241</v>
      </c>
      <c r="E172" s="62" t="s">
        <v>103</v>
      </c>
      <c r="F172" s="56" t="s">
        <v>182</v>
      </c>
      <c r="G172" t="s">
        <v>51</v>
      </c>
      <c r="H172" s="75" t="s">
        <v>258</v>
      </c>
      <c r="I172" s="38" t="s">
        <v>59</v>
      </c>
      <c r="J172" s="60">
        <v>1</v>
      </c>
      <c r="K172" s="60">
        <v>20</v>
      </c>
      <c r="L172" s="26">
        <f>IFERROR(VLOOKUP(I172,Combos!$A$2:$B$10,2,FALSE)*J172,"")</f>
        <v>4.3</v>
      </c>
      <c r="M172" s="26">
        <f t="shared" si="9"/>
        <v>86</v>
      </c>
      <c r="N172" s="94">
        <f t="shared" si="11"/>
        <v>1.9015498368204905E-3</v>
      </c>
      <c r="O172" s="40"/>
      <c r="P172" s="33" t="s">
        <v>47</v>
      </c>
      <c r="Q172" s="58"/>
      <c r="R172" s="33" t="s">
        <v>64</v>
      </c>
      <c r="S172" s="59"/>
      <c r="T172" s="59"/>
      <c r="U172" s="59"/>
      <c r="V172" s="59"/>
      <c r="W172" s="59"/>
    </row>
    <row r="173" spans="1:23" s="30" customFormat="1" ht="28.5" x14ac:dyDescent="0.25">
      <c r="A173" s="34">
        <v>159</v>
      </c>
      <c r="B173" s="34" t="s">
        <v>260</v>
      </c>
      <c r="C173" s="62" t="s">
        <v>83</v>
      </c>
      <c r="D173" s="62" t="s">
        <v>241</v>
      </c>
      <c r="E173" s="62" t="s">
        <v>103</v>
      </c>
      <c r="F173" s="56" t="s">
        <v>183</v>
      </c>
      <c r="G173" t="s">
        <v>48</v>
      </c>
      <c r="H173" s="75" t="s">
        <v>258</v>
      </c>
      <c r="I173" s="38" t="s">
        <v>59</v>
      </c>
      <c r="J173" s="60">
        <v>1</v>
      </c>
      <c r="K173" s="60">
        <v>40</v>
      </c>
      <c r="L173" s="26">
        <f>IFERROR(VLOOKUP(I173,Combos!$A$2:$B$10,2,FALSE)*J173,"")</f>
        <v>4.3</v>
      </c>
      <c r="M173" s="26">
        <f t="shared" si="9"/>
        <v>172</v>
      </c>
      <c r="N173" s="94">
        <f t="shared" si="11"/>
        <v>3.803099673640981E-3</v>
      </c>
      <c r="O173" s="40"/>
      <c r="P173" s="33" t="s">
        <v>50</v>
      </c>
      <c r="Q173" s="58"/>
      <c r="R173" s="33" t="s">
        <v>63</v>
      </c>
      <c r="S173" s="59"/>
      <c r="T173" s="59"/>
      <c r="U173" s="59"/>
      <c r="V173" s="59"/>
      <c r="W173" s="59"/>
    </row>
    <row r="174" spans="1:23" s="30" customFormat="1" ht="28.5" x14ac:dyDescent="0.25">
      <c r="A174" s="25">
        <v>160</v>
      </c>
      <c r="B174" s="34" t="s">
        <v>260</v>
      </c>
      <c r="C174" s="62" t="s">
        <v>83</v>
      </c>
      <c r="D174" s="62" t="s">
        <v>241</v>
      </c>
      <c r="E174" s="62" t="s">
        <v>103</v>
      </c>
      <c r="F174" s="56" t="s">
        <v>185</v>
      </c>
      <c r="G174" t="s">
        <v>48</v>
      </c>
      <c r="H174" s="75" t="s">
        <v>258</v>
      </c>
      <c r="I174" s="38" t="s">
        <v>57</v>
      </c>
      <c r="J174" s="60">
        <v>1</v>
      </c>
      <c r="K174" s="60">
        <v>20</v>
      </c>
      <c r="L174" s="26">
        <f>IFERROR(VLOOKUP(I174,Combos!$A$2:$B$10,2,FALSE)*J174,"")</f>
        <v>2</v>
      </c>
      <c r="M174" s="26">
        <f t="shared" si="9"/>
        <v>40</v>
      </c>
      <c r="N174" s="94">
        <f t="shared" si="11"/>
        <v>8.8444178456767008E-4</v>
      </c>
      <c r="O174" s="40"/>
      <c r="P174" s="33" t="s">
        <v>50</v>
      </c>
      <c r="Q174" s="58"/>
      <c r="R174" s="33" t="s">
        <v>63</v>
      </c>
      <c r="S174" s="59"/>
      <c r="T174" s="59"/>
      <c r="U174" s="59"/>
      <c r="V174" s="59"/>
      <c r="W174" s="59"/>
    </row>
    <row r="175" spans="1:23" s="30" customFormat="1" ht="28.5" x14ac:dyDescent="0.25">
      <c r="A175" s="34">
        <v>161</v>
      </c>
      <c r="B175" s="34" t="s">
        <v>260</v>
      </c>
      <c r="C175" s="62" t="s">
        <v>213</v>
      </c>
      <c r="D175" s="62" t="s">
        <v>231</v>
      </c>
      <c r="E175" s="62" t="s">
        <v>84</v>
      </c>
      <c r="F175" s="56" t="s">
        <v>186</v>
      </c>
      <c r="G175" t="s">
        <v>51</v>
      </c>
      <c r="H175" s="75" t="s">
        <v>258</v>
      </c>
      <c r="I175" s="38" t="s">
        <v>60</v>
      </c>
      <c r="J175" s="60">
        <v>1</v>
      </c>
      <c r="K175" s="60">
        <v>90</v>
      </c>
      <c r="L175" s="26">
        <f>IFERROR(VLOOKUP(I175,Combos!$A$2:$B$10,2,FALSE)*J175,"")</f>
        <v>20</v>
      </c>
      <c r="M175" s="26">
        <f t="shared" si="9"/>
        <v>1800</v>
      </c>
      <c r="N175" s="94">
        <f t="shared" ref="N175:N189" si="12">IFERROR(M175/$M$191,"")</f>
        <v>3.9799880305545154E-2</v>
      </c>
      <c r="O175" s="40"/>
      <c r="P175" s="33" t="s">
        <v>50</v>
      </c>
      <c r="Q175" s="58"/>
      <c r="R175" s="33" t="s">
        <v>63</v>
      </c>
      <c r="S175" s="59"/>
      <c r="T175" s="59"/>
      <c r="U175" s="59"/>
      <c r="V175" s="59"/>
      <c r="W175" s="59"/>
    </row>
    <row r="176" spans="1:23" s="30" customFormat="1" ht="28.5" x14ac:dyDescent="0.25">
      <c r="A176" s="34">
        <v>162</v>
      </c>
      <c r="B176" s="34" t="s">
        <v>260</v>
      </c>
      <c r="C176" s="62" t="s">
        <v>85</v>
      </c>
      <c r="D176" s="62" t="s">
        <v>225</v>
      </c>
      <c r="E176" s="62" t="s">
        <v>104</v>
      </c>
      <c r="F176" s="56" t="s">
        <v>189</v>
      </c>
      <c r="G176" t="s">
        <v>51</v>
      </c>
      <c r="H176" s="75" t="s">
        <v>258</v>
      </c>
      <c r="I176" s="38" t="s">
        <v>56</v>
      </c>
      <c r="J176" s="60">
        <v>1</v>
      </c>
      <c r="K176" s="60">
        <v>30</v>
      </c>
      <c r="L176" s="26">
        <f>IFERROR(VLOOKUP(I176,Combos!$A$2:$B$10,2,FALSE)*J176,"")</f>
        <v>1</v>
      </c>
      <c r="M176" s="26">
        <f t="shared" si="9"/>
        <v>30</v>
      </c>
      <c r="N176" s="94">
        <f t="shared" si="12"/>
        <v>6.6333133842575256E-4</v>
      </c>
      <c r="O176" s="40"/>
      <c r="P176" s="33" t="s">
        <v>50</v>
      </c>
      <c r="Q176" s="58"/>
      <c r="R176" s="33" t="s">
        <v>63</v>
      </c>
      <c r="S176" s="59"/>
      <c r="T176" s="59"/>
      <c r="U176" s="59"/>
      <c r="V176" s="59"/>
      <c r="W176" s="59"/>
    </row>
    <row r="177" spans="1:23" s="30" customFormat="1" ht="28.5" x14ac:dyDescent="0.25">
      <c r="A177" s="25">
        <v>163</v>
      </c>
      <c r="B177" s="34" t="s">
        <v>260</v>
      </c>
      <c r="C177" s="62" t="s">
        <v>85</v>
      </c>
      <c r="D177" s="62" t="s">
        <v>225</v>
      </c>
      <c r="E177" s="62" t="s">
        <v>104</v>
      </c>
      <c r="F177" s="56" t="s">
        <v>191</v>
      </c>
      <c r="G177" t="s">
        <v>48</v>
      </c>
      <c r="H177" s="75" t="s">
        <v>258</v>
      </c>
      <c r="I177" s="38" t="s">
        <v>56</v>
      </c>
      <c r="J177" s="60">
        <v>1</v>
      </c>
      <c r="K177" s="60">
        <v>60</v>
      </c>
      <c r="L177" s="26">
        <f>IFERROR(VLOOKUP(I177,Combos!$A$2:$B$10,2,FALSE)*J177,"")</f>
        <v>1</v>
      </c>
      <c r="M177" s="26">
        <f t="shared" si="9"/>
        <v>60</v>
      </c>
      <c r="N177" s="94">
        <f t="shared" si="12"/>
        <v>1.3266626768515051E-3</v>
      </c>
      <c r="O177" s="40"/>
      <c r="P177" s="33" t="s">
        <v>50</v>
      </c>
      <c r="Q177" s="58"/>
      <c r="R177" s="33" t="s">
        <v>64</v>
      </c>
      <c r="S177" s="59"/>
      <c r="T177" s="59"/>
      <c r="U177" s="59"/>
      <c r="V177" s="59"/>
      <c r="W177" s="59"/>
    </row>
    <row r="178" spans="1:23" s="30" customFormat="1" ht="28.5" x14ac:dyDescent="0.25">
      <c r="A178" s="34">
        <v>164</v>
      </c>
      <c r="B178" s="34" t="s">
        <v>260</v>
      </c>
      <c r="C178" s="62" t="s">
        <v>85</v>
      </c>
      <c r="D178" s="62" t="s">
        <v>239</v>
      </c>
      <c r="E178" s="62" t="s">
        <v>104</v>
      </c>
      <c r="F178" s="56" t="s">
        <v>192</v>
      </c>
      <c r="G178" t="s">
        <v>51</v>
      </c>
      <c r="H178" s="75" t="s">
        <v>258</v>
      </c>
      <c r="I178" s="38" t="s">
        <v>56</v>
      </c>
      <c r="J178" s="60">
        <v>1</v>
      </c>
      <c r="K178" s="60">
        <v>20</v>
      </c>
      <c r="L178" s="26">
        <f>IFERROR(VLOOKUP(I178,Combos!$A$2:$B$10,2,FALSE)*J178,"")</f>
        <v>1</v>
      </c>
      <c r="M178" s="26">
        <f t="shared" si="9"/>
        <v>20</v>
      </c>
      <c r="N178" s="94">
        <f t="shared" si="12"/>
        <v>4.4222089228383504E-4</v>
      </c>
      <c r="O178" s="40"/>
      <c r="P178" s="33" t="s">
        <v>50</v>
      </c>
      <c r="Q178" s="58"/>
      <c r="R178" s="33" t="s">
        <v>63</v>
      </c>
      <c r="S178" s="59"/>
      <c r="T178" s="59"/>
      <c r="U178" s="59"/>
      <c r="V178" s="59"/>
      <c r="W178" s="59"/>
    </row>
    <row r="179" spans="1:23" s="30" customFormat="1" ht="28.5" x14ac:dyDescent="0.25">
      <c r="A179" s="25">
        <v>165</v>
      </c>
      <c r="B179" s="34" t="s">
        <v>260</v>
      </c>
      <c r="C179" s="62" t="s">
        <v>85</v>
      </c>
      <c r="D179" s="62" t="s">
        <v>239</v>
      </c>
      <c r="E179" s="62" t="s">
        <v>104</v>
      </c>
      <c r="F179" s="56" t="s">
        <v>197</v>
      </c>
      <c r="G179" t="s">
        <v>51</v>
      </c>
      <c r="H179" s="75" t="s">
        <v>258</v>
      </c>
      <c r="I179" s="38" t="s">
        <v>56</v>
      </c>
      <c r="J179" s="60">
        <v>1</v>
      </c>
      <c r="K179" s="60">
        <v>30</v>
      </c>
      <c r="L179" s="26">
        <f>IFERROR(VLOOKUP(I179,Combos!$A$2:$B$10,2,FALSE)*J179,"")</f>
        <v>1</v>
      </c>
      <c r="M179" s="26">
        <f t="shared" si="9"/>
        <v>30</v>
      </c>
      <c r="N179" s="94">
        <f t="shared" si="12"/>
        <v>6.6333133842575256E-4</v>
      </c>
      <c r="O179" s="40"/>
      <c r="P179" s="33" t="s">
        <v>50</v>
      </c>
      <c r="Q179" s="58"/>
      <c r="R179" s="33" t="s">
        <v>63</v>
      </c>
      <c r="S179" s="59"/>
      <c r="T179" s="59"/>
      <c r="U179" s="59"/>
      <c r="V179" s="59"/>
      <c r="W179" s="59"/>
    </row>
    <row r="180" spans="1:23" s="30" customFormat="1" ht="28.5" x14ac:dyDescent="0.25">
      <c r="A180" s="34">
        <v>166</v>
      </c>
      <c r="B180" s="34" t="s">
        <v>260</v>
      </c>
      <c r="C180" s="62" t="s">
        <v>86</v>
      </c>
      <c r="D180" s="62" t="s">
        <v>234</v>
      </c>
      <c r="E180" s="62" t="s">
        <v>105</v>
      </c>
      <c r="F180" s="56" t="s">
        <v>220</v>
      </c>
      <c r="G180" t="s">
        <v>51</v>
      </c>
      <c r="H180" s="75" t="s">
        <v>258</v>
      </c>
      <c r="I180" s="38" t="s">
        <v>56</v>
      </c>
      <c r="J180" s="60">
        <v>1</v>
      </c>
      <c r="K180" s="60">
        <v>30</v>
      </c>
      <c r="L180" s="26">
        <f>IFERROR(VLOOKUP(I180,Combos!$A$2:$B$10,2,FALSE)*J180,"")</f>
        <v>1</v>
      </c>
      <c r="M180" s="26">
        <f t="shared" si="9"/>
        <v>30</v>
      </c>
      <c r="N180" s="94">
        <f t="shared" si="12"/>
        <v>6.6333133842575256E-4</v>
      </c>
      <c r="O180" s="40"/>
      <c r="P180" s="33" t="s">
        <v>50</v>
      </c>
      <c r="Q180" s="58"/>
      <c r="R180" s="33" t="s">
        <v>63</v>
      </c>
      <c r="S180" s="59"/>
      <c r="T180" s="59"/>
      <c r="U180" s="59"/>
      <c r="V180" s="59"/>
      <c r="W180" s="59"/>
    </row>
    <row r="181" spans="1:23" s="30" customFormat="1" ht="28.5" x14ac:dyDescent="0.25">
      <c r="A181" s="25">
        <v>167</v>
      </c>
      <c r="B181" s="34" t="s">
        <v>260</v>
      </c>
      <c r="C181" s="62" t="s">
        <v>86</v>
      </c>
      <c r="D181" s="62" t="s">
        <v>234</v>
      </c>
      <c r="E181" s="62" t="s">
        <v>105</v>
      </c>
      <c r="F181" s="56" t="s">
        <v>200</v>
      </c>
      <c r="G181" t="s">
        <v>48</v>
      </c>
      <c r="H181" s="75" t="s">
        <v>258</v>
      </c>
      <c r="I181" s="38" t="s">
        <v>56</v>
      </c>
      <c r="J181" s="60">
        <v>1</v>
      </c>
      <c r="K181" s="60">
        <v>30</v>
      </c>
      <c r="L181" s="26">
        <f>IFERROR(VLOOKUP(I181,Combos!$A$2:$B$10,2,FALSE)*J181,"")</f>
        <v>1</v>
      </c>
      <c r="M181" s="26">
        <f t="shared" si="9"/>
        <v>30</v>
      </c>
      <c r="N181" s="94">
        <f t="shared" si="12"/>
        <v>6.6333133842575256E-4</v>
      </c>
      <c r="O181" s="40"/>
      <c r="P181" s="33" t="s">
        <v>50</v>
      </c>
      <c r="Q181" s="58"/>
      <c r="R181" s="33" t="s">
        <v>63</v>
      </c>
      <c r="S181" s="59"/>
      <c r="T181" s="59"/>
      <c r="U181" s="59"/>
      <c r="V181" s="59"/>
      <c r="W181" s="59"/>
    </row>
    <row r="182" spans="1:23" s="30" customFormat="1" ht="28.5" x14ac:dyDescent="0.25">
      <c r="A182" s="34">
        <v>168</v>
      </c>
      <c r="B182" s="34" t="s">
        <v>260</v>
      </c>
      <c r="C182" s="62" t="s">
        <v>86</v>
      </c>
      <c r="D182" s="62" t="s">
        <v>234</v>
      </c>
      <c r="E182" s="62" t="s">
        <v>105</v>
      </c>
      <c r="F182" s="56" t="s">
        <v>201</v>
      </c>
      <c r="G182" t="s">
        <v>51</v>
      </c>
      <c r="H182" s="75" t="s">
        <v>258</v>
      </c>
      <c r="I182" s="38" t="s">
        <v>54</v>
      </c>
      <c r="J182" s="60">
        <v>1</v>
      </c>
      <c r="K182" s="60">
        <v>120</v>
      </c>
      <c r="L182" s="26">
        <f>IFERROR(VLOOKUP(I182,Combos!$A$2:$B$10,2,FALSE)*J182,"")</f>
        <v>0.5</v>
      </c>
      <c r="M182" s="26">
        <f t="shared" si="9"/>
        <v>60</v>
      </c>
      <c r="N182" s="94">
        <f t="shared" si="12"/>
        <v>1.3266626768515051E-3</v>
      </c>
      <c r="O182" s="40"/>
      <c r="P182" s="33" t="s">
        <v>50</v>
      </c>
      <c r="Q182" s="58"/>
      <c r="R182" s="33" t="s">
        <v>63</v>
      </c>
      <c r="S182" s="59"/>
      <c r="T182" s="59"/>
      <c r="U182" s="59"/>
      <c r="V182" s="59"/>
      <c r="W182" s="59"/>
    </row>
    <row r="183" spans="1:23" s="30" customFormat="1" ht="28.5" x14ac:dyDescent="0.25">
      <c r="A183" s="34">
        <v>169</v>
      </c>
      <c r="B183" s="34" t="s">
        <v>260</v>
      </c>
      <c r="C183" s="62" t="s">
        <v>86</v>
      </c>
      <c r="D183" s="62" t="s">
        <v>234</v>
      </c>
      <c r="E183" s="62" t="s">
        <v>105</v>
      </c>
      <c r="F183" s="56" t="s">
        <v>202</v>
      </c>
      <c r="G183" t="s">
        <v>51</v>
      </c>
      <c r="H183" s="75" t="s">
        <v>258</v>
      </c>
      <c r="I183" s="38" t="s">
        <v>60</v>
      </c>
      <c r="J183" s="60">
        <v>1</v>
      </c>
      <c r="K183" s="60">
        <v>20</v>
      </c>
      <c r="L183" s="26">
        <f>IFERROR(VLOOKUP(I183,Combos!$A$2:$B$10,2,FALSE)*J183,"")</f>
        <v>20</v>
      </c>
      <c r="M183" s="26">
        <f t="shared" si="9"/>
        <v>400</v>
      </c>
      <c r="N183" s="94">
        <f t="shared" si="12"/>
        <v>8.8444178456767008E-3</v>
      </c>
      <c r="O183" s="40"/>
      <c r="P183" s="33" t="s">
        <v>50</v>
      </c>
      <c r="Q183" s="58"/>
      <c r="R183" s="33" t="s">
        <v>63</v>
      </c>
      <c r="S183" s="59"/>
      <c r="T183" s="59"/>
      <c r="U183" s="59"/>
      <c r="V183" s="59"/>
      <c r="W183" s="59"/>
    </row>
    <row r="184" spans="1:23" s="30" customFormat="1" ht="42.75" x14ac:dyDescent="0.25">
      <c r="A184" s="25">
        <v>170</v>
      </c>
      <c r="B184" s="34" t="s">
        <v>260</v>
      </c>
      <c r="C184" s="62" t="s">
        <v>88</v>
      </c>
      <c r="D184" s="62" t="s">
        <v>241</v>
      </c>
      <c r="E184" s="62" t="s">
        <v>107</v>
      </c>
      <c r="F184" s="56" t="s">
        <v>206</v>
      </c>
      <c r="G184" t="s">
        <v>53</v>
      </c>
      <c r="H184" s="75" t="s">
        <v>258</v>
      </c>
      <c r="I184" s="38" t="s">
        <v>59</v>
      </c>
      <c r="J184" s="60">
        <v>1</v>
      </c>
      <c r="K184" s="60">
        <v>45</v>
      </c>
      <c r="L184" s="26">
        <f>IFERROR(VLOOKUP(I184,Combos!$A$2:$B$10,2,FALSE)*J184,"")</f>
        <v>4.3</v>
      </c>
      <c r="M184" s="26">
        <f t="shared" si="9"/>
        <v>193.5</v>
      </c>
      <c r="N184" s="94">
        <f t="shared" si="12"/>
        <v>4.278487132846104E-3</v>
      </c>
      <c r="O184" s="40"/>
      <c r="P184" s="33" t="s">
        <v>47</v>
      </c>
      <c r="Q184" s="58"/>
      <c r="R184" s="33" t="s">
        <v>63</v>
      </c>
      <c r="S184" s="59"/>
      <c r="T184" s="59"/>
      <c r="U184" s="59"/>
      <c r="V184" s="59"/>
      <c r="W184" s="59"/>
    </row>
    <row r="185" spans="1:23" s="30" customFormat="1" ht="28.5" x14ac:dyDescent="0.25">
      <c r="A185" s="34">
        <v>171</v>
      </c>
      <c r="B185" s="34" t="s">
        <v>260</v>
      </c>
      <c r="C185" s="62" t="s">
        <v>88</v>
      </c>
      <c r="D185" s="62" t="s">
        <v>241</v>
      </c>
      <c r="E185" s="62" t="s">
        <v>107</v>
      </c>
      <c r="F185" s="56" t="s">
        <v>207</v>
      </c>
      <c r="G185" t="s">
        <v>51</v>
      </c>
      <c r="H185" s="75" t="s">
        <v>258</v>
      </c>
      <c r="I185" s="38" t="s">
        <v>59</v>
      </c>
      <c r="J185" s="60">
        <v>1</v>
      </c>
      <c r="K185" s="60">
        <v>30</v>
      </c>
      <c r="L185" s="26">
        <f>IFERROR(VLOOKUP(I185,Combos!$A$2:$B$10,2,FALSE)*J185,"")</f>
        <v>4.3</v>
      </c>
      <c r="M185" s="26">
        <f t="shared" si="9"/>
        <v>129</v>
      </c>
      <c r="N185" s="94">
        <f t="shared" si="12"/>
        <v>2.8523247552307359E-3</v>
      </c>
      <c r="O185" s="40"/>
      <c r="P185" s="33" t="s">
        <v>47</v>
      </c>
      <c r="Q185" s="58"/>
      <c r="R185" s="33" t="s">
        <v>63</v>
      </c>
      <c r="S185" s="59"/>
      <c r="T185" s="59"/>
      <c r="U185" s="59"/>
      <c r="V185" s="59"/>
      <c r="W185" s="59"/>
    </row>
    <row r="186" spans="1:23" s="30" customFormat="1" ht="28.5" x14ac:dyDescent="0.25">
      <c r="A186" s="25">
        <v>172</v>
      </c>
      <c r="B186" s="34" t="s">
        <v>260</v>
      </c>
      <c r="C186" s="62" t="s">
        <v>88</v>
      </c>
      <c r="D186" s="62" t="s">
        <v>241</v>
      </c>
      <c r="E186" s="62" t="s">
        <v>107</v>
      </c>
      <c r="F186" s="56" t="s">
        <v>208</v>
      </c>
      <c r="G186" t="s">
        <v>53</v>
      </c>
      <c r="H186" s="75" t="s">
        <v>258</v>
      </c>
      <c r="I186" s="38" t="s">
        <v>59</v>
      </c>
      <c r="J186" s="60">
        <v>1</v>
      </c>
      <c r="K186" s="60">
        <v>40</v>
      </c>
      <c r="L186" s="26">
        <f>IFERROR(VLOOKUP(I186,Combos!$A$2:$B$10,2,FALSE)*J186,"")</f>
        <v>4.3</v>
      </c>
      <c r="M186" s="26">
        <f t="shared" si="8"/>
        <v>172</v>
      </c>
      <c r="N186" s="94">
        <f t="shared" si="12"/>
        <v>3.803099673640981E-3</v>
      </c>
      <c r="O186" s="40"/>
      <c r="P186" s="33" t="s">
        <v>47</v>
      </c>
      <c r="Q186" s="58"/>
      <c r="R186" s="33" t="s">
        <v>63</v>
      </c>
      <c r="S186" s="59"/>
      <c r="T186" s="59"/>
      <c r="U186" s="59"/>
      <c r="V186" s="59"/>
      <c r="W186" s="59"/>
    </row>
    <row r="187" spans="1:23" s="30" customFormat="1" ht="28.5" x14ac:dyDescent="0.25">
      <c r="A187" s="34">
        <v>173</v>
      </c>
      <c r="B187" s="34" t="s">
        <v>260</v>
      </c>
      <c r="C187" s="62" t="s">
        <v>89</v>
      </c>
      <c r="D187" s="62" t="s">
        <v>89</v>
      </c>
      <c r="E187" s="62" t="s">
        <v>89</v>
      </c>
      <c r="F187" s="56" t="s">
        <v>89</v>
      </c>
      <c r="G187" t="s">
        <v>51</v>
      </c>
      <c r="H187" s="75" t="s">
        <v>258</v>
      </c>
      <c r="I187" s="38" t="s">
        <v>59</v>
      </c>
      <c r="J187" s="60">
        <v>1</v>
      </c>
      <c r="K187" s="60">
        <v>60</v>
      </c>
      <c r="L187" s="26">
        <f>IFERROR(VLOOKUP(I187,Combos!$A$2:$B$10,2,FALSE)*J187,"")</f>
        <v>4.3</v>
      </c>
      <c r="M187" s="26">
        <f t="shared" si="8"/>
        <v>258</v>
      </c>
      <c r="N187" s="94">
        <f t="shared" si="12"/>
        <v>5.7046495104614717E-3</v>
      </c>
      <c r="O187" s="40"/>
      <c r="P187" s="33" t="s">
        <v>50</v>
      </c>
      <c r="Q187" s="58"/>
      <c r="R187" s="33" t="s">
        <v>64</v>
      </c>
      <c r="S187" s="59"/>
      <c r="T187" s="59"/>
      <c r="U187" s="59"/>
      <c r="V187" s="59"/>
      <c r="W187" s="59"/>
    </row>
    <row r="188" spans="1:23" s="30" customFormat="1" ht="28.5" x14ac:dyDescent="0.25">
      <c r="A188" s="25">
        <v>174</v>
      </c>
      <c r="B188" s="34" t="s">
        <v>260</v>
      </c>
      <c r="C188" s="62" t="s">
        <v>214</v>
      </c>
      <c r="D188" s="62" t="s">
        <v>231</v>
      </c>
      <c r="E188" s="62" t="s">
        <v>90</v>
      </c>
      <c r="F188" s="56" t="s">
        <v>209</v>
      </c>
      <c r="G188" t="s">
        <v>51</v>
      </c>
      <c r="H188" s="75" t="s">
        <v>258</v>
      </c>
      <c r="I188" s="38" t="s">
        <v>60</v>
      </c>
      <c r="J188" s="60">
        <v>1</v>
      </c>
      <c r="K188" s="60">
        <v>90</v>
      </c>
      <c r="L188" s="26">
        <f>IFERROR(VLOOKUP(I188,Combos!$A$2:$B$10,2,FALSE)*J188,"")</f>
        <v>20</v>
      </c>
      <c r="M188" s="26">
        <f t="shared" si="8"/>
        <v>1800</v>
      </c>
      <c r="N188" s="94">
        <f t="shared" si="12"/>
        <v>3.9799880305545154E-2</v>
      </c>
      <c r="O188" s="40"/>
      <c r="P188" s="33" t="s">
        <v>50</v>
      </c>
      <c r="Q188" s="58"/>
      <c r="R188" s="33" t="s">
        <v>64</v>
      </c>
      <c r="S188" s="59"/>
      <c r="T188" s="59"/>
      <c r="U188" s="59"/>
      <c r="V188" s="59"/>
      <c r="W188" s="59"/>
    </row>
    <row r="189" spans="1:23" s="30" customFormat="1" ht="28.5" x14ac:dyDescent="0.25">
      <c r="A189" s="34">
        <v>175</v>
      </c>
      <c r="B189" s="34" t="s">
        <v>260</v>
      </c>
      <c r="C189" s="62" t="s">
        <v>91</v>
      </c>
      <c r="D189" s="62" t="s">
        <v>228</v>
      </c>
      <c r="E189" s="62" t="s">
        <v>108</v>
      </c>
      <c r="F189" s="56" t="s">
        <v>108</v>
      </c>
      <c r="G189" t="s">
        <v>51</v>
      </c>
      <c r="H189" s="75" t="s">
        <v>258</v>
      </c>
      <c r="I189" s="38" t="s">
        <v>46</v>
      </c>
      <c r="J189" s="60">
        <v>1</v>
      </c>
      <c r="K189" s="60">
        <v>480</v>
      </c>
      <c r="L189" s="26">
        <f>IFERROR(VLOOKUP(I189,Combos!$A$2:$B$10,2,FALSE)*J189,"")</f>
        <v>8.3333333333333329E-2</v>
      </c>
      <c r="M189" s="26">
        <f t="shared" si="8"/>
        <v>40</v>
      </c>
      <c r="N189" s="94">
        <f t="shared" si="12"/>
        <v>8.8444178456767008E-4</v>
      </c>
      <c r="O189" s="40"/>
      <c r="P189" s="33" t="s">
        <v>50</v>
      </c>
      <c r="Q189" s="58"/>
      <c r="R189" s="33" t="s">
        <v>64</v>
      </c>
      <c r="S189" s="59"/>
      <c r="T189" s="59"/>
      <c r="U189" s="59"/>
      <c r="V189" s="59"/>
      <c r="W189" s="59"/>
    </row>
    <row r="190" spans="1:23" ht="28.7" customHeight="1" x14ac:dyDescent="0.25">
      <c r="F190" s="18"/>
      <c r="N190" s="95"/>
    </row>
    <row r="191" spans="1:23" s="2" customFormat="1" ht="26.25" x14ac:dyDescent="0.25">
      <c r="C191" s="8"/>
      <c r="D191" s="63"/>
      <c r="E191" s="63"/>
      <c r="G191"/>
      <c r="J191" s="128"/>
      <c r="K191" s="129"/>
      <c r="L191" s="130" t="s">
        <v>30</v>
      </c>
      <c r="M191" s="131">
        <f>SUM(M15:M189)</f>
        <v>45226.26666666667</v>
      </c>
      <c r="N191" s="125"/>
      <c r="V191" s="11"/>
      <c r="W191" s="11"/>
    </row>
    <row r="192" spans="1:23" s="2" customFormat="1" ht="26.25" x14ac:dyDescent="0.25">
      <c r="D192" s="74"/>
      <c r="E192" s="74"/>
      <c r="G192"/>
      <c r="J192" s="128"/>
      <c r="K192" s="129"/>
      <c r="L192" s="130" t="s">
        <v>31</v>
      </c>
      <c r="M192" s="132">
        <f>M191/60</f>
        <v>753.77111111111117</v>
      </c>
      <c r="N192" s="125"/>
      <c r="V192" s="11"/>
      <c r="W192" s="11"/>
    </row>
    <row r="193" spans="2:23" s="2" customFormat="1" ht="25.5" x14ac:dyDescent="0.25">
      <c r="D193" s="74"/>
      <c r="E193" s="74"/>
      <c r="G193"/>
      <c r="K193" s="124"/>
      <c r="L193" s="126"/>
      <c r="M193" s="127"/>
      <c r="N193" s="125"/>
      <c r="O193" s="36"/>
      <c r="P193" s="43"/>
      <c r="Q193" s="43"/>
      <c r="R193" s="43"/>
      <c r="S193" s="43"/>
      <c r="T193" s="43"/>
      <c r="V193" s="11"/>
      <c r="W193" s="11"/>
    </row>
    <row r="194" spans="2:23" s="2" customFormat="1" ht="14.1" customHeight="1" x14ac:dyDescent="0.25">
      <c r="G194"/>
      <c r="O194" s="44"/>
      <c r="P194" s="64"/>
      <c r="Q194" s="64"/>
      <c r="R194" s="64"/>
      <c r="S194" s="64"/>
      <c r="T194" s="64"/>
      <c r="V194" s="11"/>
      <c r="W194" s="11"/>
    </row>
    <row r="195" spans="2:23" s="2" customFormat="1" ht="14.25" customHeight="1" x14ac:dyDescent="0.25">
      <c r="B195"/>
      <c r="C195"/>
      <c r="G195"/>
      <c r="N195" s="19"/>
      <c r="O195" s="45"/>
      <c r="P195" s="20"/>
      <c r="Q195" s="20"/>
      <c r="R195" s="20"/>
      <c r="S195" s="20"/>
      <c r="T195" s="20"/>
      <c r="V195" s="11"/>
      <c r="W195" s="11"/>
    </row>
    <row r="196" spans="2:23" s="2" customFormat="1" x14ac:dyDescent="0.25">
      <c r="B196"/>
      <c r="C196"/>
      <c r="E196" s="15"/>
      <c r="F196" s="16"/>
      <c r="G196"/>
      <c r="L196" s="20"/>
      <c r="M196" s="150"/>
      <c r="N196" s="150"/>
      <c r="O196" s="22"/>
      <c r="V196" s="11"/>
      <c r="W196" s="11"/>
    </row>
    <row r="197" spans="2:23" s="2" customFormat="1" x14ac:dyDescent="0.25">
      <c r="B197"/>
      <c r="C197"/>
      <c r="D197" s="15"/>
      <c r="E197" s="15"/>
      <c r="F197" s="16"/>
      <c r="G197"/>
      <c r="N197" s="11"/>
      <c r="O197" s="16"/>
      <c r="V197" s="11"/>
      <c r="W197" s="11"/>
    </row>
    <row r="198" spans="2:23" s="2" customFormat="1" x14ac:dyDescent="0.25">
      <c r="B198"/>
      <c r="C198"/>
      <c r="D198" s="15"/>
      <c r="E198" s="15"/>
      <c r="F198" s="16"/>
      <c r="G198"/>
      <c r="N198" s="11"/>
      <c r="O198" s="16"/>
      <c r="V198" s="11"/>
      <c r="W198" s="11"/>
    </row>
    <row r="199" spans="2:23" s="2" customFormat="1" x14ac:dyDescent="0.25">
      <c r="B199"/>
      <c r="C199"/>
      <c r="D199" s="15"/>
      <c r="E199" s="15"/>
      <c r="F199" s="16"/>
      <c r="G199"/>
      <c r="L199" s="21"/>
      <c r="M199" s="11"/>
      <c r="N199" s="11"/>
      <c r="O199" s="23"/>
      <c r="V199" s="11"/>
      <c r="W199" s="11"/>
    </row>
    <row r="200" spans="2:23" s="2" customFormat="1" x14ac:dyDescent="0.25">
      <c r="C200" s="15"/>
      <c r="D200" s="15"/>
      <c r="E200" s="15"/>
      <c r="F200" s="16"/>
      <c r="G200"/>
      <c r="L200" s="21"/>
      <c r="M200" s="11"/>
      <c r="N200" s="11"/>
      <c r="O200" s="23"/>
      <c r="P200" s="11"/>
      <c r="Q200" s="11"/>
      <c r="R200" s="11"/>
      <c r="S200" s="11"/>
      <c r="T200" s="11"/>
      <c r="U200" s="11"/>
      <c r="V200" s="11"/>
      <c r="W200" s="11"/>
    </row>
    <row r="201" spans="2:23" s="2" customFormat="1" x14ac:dyDescent="0.25">
      <c r="C201" s="15"/>
      <c r="D201" s="15"/>
      <c r="E201" s="15"/>
      <c r="F201" s="16"/>
      <c r="G201"/>
      <c r="L201" s="21"/>
      <c r="M201" s="21"/>
      <c r="N201" s="20"/>
      <c r="O201" s="23"/>
      <c r="P201" s="11"/>
      <c r="Q201" s="11"/>
      <c r="R201" s="11"/>
      <c r="S201" s="11"/>
      <c r="T201" s="11"/>
      <c r="U201" s="11"/>
      <c r="V201" s="11"/>
      <c r="W201" s="11"/>
    </row>
    <row r="202" spans="2:23" s="2" customFormat="1" x14ac:dyDescent="0.25">
      <c r="C202" s="15"/>
      <c r="D202" s="15"/>
      <c r="E202" s="15"/>
      <c r="F202" s="16"/>
      <c r="G202"/>
      <c r="L202" s="21"/>
      <c r="M202" s="21"/>
      <c r="N202" s="21"/>
      <c r="O202" s="23"/>
      <c r="P202" s="11"/>
      <c r="Q202" s="11"/>
      <c r="R202" s="11"/>
      <c r="S202" s="11"/>
      <c r="T202" s="11"/>
      <c r="U202" s="11"/>
      <c r="V202" s="11"/>
      <c r="W202" s="11"/>
    </row>
    <row r="203" spans="2:23" s="2" customFormat="1" x14ac:dyDescent="0.25">
      <c r="C203" s="15"/>
      <c r="D203" s="15"/>
      <c r="E203" s="15"/>
      <c r="F203" s="16"/>
      <c r="G203"/>
      <c r="L203" s="21"/>
      <c r="M203" s="21"/>
      <c r="N203" s="21"/>
      <c r="O203" s="23"/>
      <c r="P203" s="11"/>
      <c r="Q203" s="11"/>
      <c r="R203" s="11"/>
      <c r="S203" s="11"/>
      <c r="T203" s="11"/>
      <c r="U203" s="11"/>
      <c r="V203" s="11"/>
      <c r="W203" s="11"/>
    </row>
    <row r="204" spans="2:23" s="2" customFormat="1" x14ac:dyDescent="0.25">
      <c r="C204" s="15"/>
      <c r="D204" s="15"/>
      <c r="E204" s="15"/>
      <c r="F204" s="16"/>
      <c r="G204"/>
      <c r="L204" s="11"/>
      <c r="M204" s="11"/>
      <c r="N204" s="11"/>
      <c r="O204" s="17"/>
      <c r="P204" s="11"/>
      <c r="Q204" s="11"/>
      <c r="R204" s="11"/>
      <c r="S204" s="11"/>
      <c r="T204" s="11"/>
      <c r="U204" s="11"/>
      <c r="V204" s="11"/>
      <c r="W204" s="11"/>
    </row>
    <row r="205" spans="2:23" s="2" customFormat="1" x14ac:dyDescent="0.25">
      <c r="C205" s="15"/>
      <c r="D205" s="15"/>
      <c r="E205" s="15"/>
      <c r="F205" s="16"/>
      <c r="G205"/>
      <c r="L205" s="11"/>
      <c r="M205" s="11"/>
      <c r="N205" s="11"/>
      <c r="O205" s="17"/>
      <c r="P205" s="11"/>
      <c r="Q205" s="11"/>
      <c r="R205" s="11"/>
      <c r="S205" s="11"/>
      <c r="T205" s="11"/>
      <c r="U205" s="11"/>
      <c r="V205" s="11"/>
      <c r="W205" s="11"/>
    </row>
    <row r="206" spans="2:23" s="2" customFormat="1" x14ac:dyDescent="0.25">
      <c r="C206" s="15"/>
      <c r="D206" s="15"/>
      <c r="E206" s="15"/>
      <c r="F206" s="16"/>
      <c r="G206"/>
      <c r="L206" s="11"/>
      <c r="M206" s="11"/>
      <c r="N206" s="11"/>
      <c r="O206" s="17"/>
      <c r="P206" s="11"/>
      <c r="Q206" s="11"/>
      <c r="R206" s="11"/>
      <c r="S206" s="11"/>
      <c r="T206" s="11"/>
      <c r="U206" s="11"/>
      <c r="V206" s="11"/>
      <c r="W206" s="11"/>
    </row>
    <row r="207" spans="2:23" s="2" customFormat="1" x14ac:dyDescent="0.25">
      <c r="C207" s="15"/>
      <c r="D207" s="15"/>
      <c r="E207" s="15"/>
      <c r="F207" s="16"/>
      <c r="G207"/>
      <c r="L207" s="11"/>
      <c r="M207" s="11"/>
      <c r="N207" s="11"/>
      <c r="O207" s="17"/>
      <c r="P207" s="11"/>
      <c r="Q207" s="11"/>
      <c r="R207" s="11"/>
      <c r="S207" s="11"/>
      <c r="T207" s="11"/>
      <c r="U207" s="11"/>
      <c r="V207" s="11"/>
      <c r="W207" s="11"/>
    </row>
    <row r="208" spans="2:23" s="2" customFormat="1" x14ac:dyDescent="0.25">
      <c r="C208" s="15"/>
      <c r="D208" s="15"/>
      <c r="E208" s="15"/>
      <c r="F208" s="16"/>
      <c r="G208"/>
      <c r="L208" s="11"/>
      <c r="M208" s="11"/>
      <c r="N208" s="11"/>
      <c r="O208" s="17"/>
      <c r="P208" s="11"/>
      <c r="Q208" s="11"/>
      <c r="R208" s="11"/>
      <c r="S208" s="11"/>
      <c r="T208" s="11"/>
      <c r="U208" s="11"/>
      <c r="V208" s="11"/>
      <c r="W208" s="11"/>
    </row>
    <row r="209" spans="3:23" s="2" customFormat="1" x14ac:dyDescent="0.25">
      <c r="C209" s="15"/>
      <c r="D209" s="15"/>
      <c r="E209" s="15"/>
      <c r="F209" s="16"/>
      <c r="G209"/>
      <c r="L209" s="11"/>
      <c r="M209" s="11"/>
      <c r="N209" s="11"/>
      <c r="O209" s="17"/>
      <c r="P209" s="11"/>
      <c r="Q209" s="11"/>
      <c r="R209" s="11"/>
      <c r="S209" s="11"/>
      <c r="T209" s="11"/>
      <c r="U209" s="11"/>
      <c r="V209" s="11"/>
      <c r="W209" s="11"/>
    </row>
    <row r="210" spans="3:23" s="2" customFormat="1" x14ac:dyDescent="0.25">
      <c r="C210" s="15"/>
      <c r="D210" s="15"/>
      <c r="E210" s="15"/>
      <c r="F210" s="16"/>
      <c r="G210"/>
      <c r="L210" s="11"/>
      <c r="M210" s="11"/>
      <c r="N210" s="11"/>
      <c r="O210" s="17"/>
      <c r="P210" s="11"/>
      <c r="Q210" s="11"/>
      <c r="R210" s="11"/>
      <c r="S210" s="11"/>
      <c r="T210" s="11"/>
      <c r="U210" s="11"/>
      <c r="V210" s="11"/>
      <c r="W210" s="11"/>
    </row>
    <row r="211" spans="3:23" s="2" customFormat="1" x14ac:dyDescent="0.25">
      <c r="C211" s="15"/>
      <c r="D211" s="15"/>
      <c r="E211" s="15"/>
      <c r="F211" s="16"/>
      <c r="G211"/>
      <c r="L211" s="11"/>
      <c r="M211" s="11"/>
      <c r="N211" s="11"/>
      <c r="O211" s="17"/>
      <c r="P211" s="11"/>
      <c r="Q211" s="11"/>
      <c r="R211" s="11"/>
      <c r="S211" s="11"/>
      <c r="T211" s="11"/>
      <c r="U211" s="11"/>
      <c r="V211" s="11"/>
      <c r="W211" s="11"/>
    </row>
    <row r="212" spans="3:23" s="2" customFormat="1" x14ac:dyDescent="0.25">
      <c r="C212" s="15"/>
      <c r="D212" s="15"/>
      <c r="E212" s="15"/>
      <c r="F212" s="16"/>
      <c r="G212"/>
      <c r="L212" s="11"/>
      <c r="M212" s="11"/>
      <c r="N212" s="11"/>
      <c r="O212" s="17"/>
      <c r="P212" s="11"/>
      <c r="Q212" s="11"/>
      <c r="R212" s="11"/>
      <c r="S212" s="11"/>
      <c r="T212" s="11"/>
      <c r="U212" s="11"/>
      <c r="V212" s="11"/>
      <c r="W212" s="11"/>
    </row>
    <row r="213" spans="3:23" s="2" customFormat="1" x14ac:dyDescent="0.25">
      <c r="C213" s="15"/>
      <c r="D213" s="15"/>
      <c r="E213" s="15"/>
      <c r="F213" s="16"/>
      <c r="G213"/>
      <c r="L213" s="11"/>
      <c r="M213" s="11"/>
      <c r="N213" s="11"/>
      <c r="O213" s="17"/>
      <c r="P213" s="11"/>
      <c r="Q213" s="11"/>
      <c r="R213" s="11"/>
      <c r="S213" s="11"/>
      <c r="T213" s="11"/>
      <c r="U213" s="11"/>
      <c r="V213" s="11"/>
      <c r="W213" s="11"/>
    </row>
    <row r="214" spans="3:23" s="2" customFormat="1" x14ac:dyDescent="0.25">
      <c r="C214" s="15"/>
      <c r="D214" s="15"/>
      <c r="E214" s="15"/>
      <c r="F214" s="16"/>
      <c r="G214"/>
      <c r="L214" s="11"/>
      <c r="M214" s="11"/>
      <c r="N214" s="11"/>
      <c r="O214" s="17"/>
      <c r="P214" s="11"/>
      <c r="Q214" s="11"/>
      <c r="R214" s="11"/>
      <c r="S214" s="11"/>
      <c r="T214" s="11"/>
      <c r="U214" s="11"/>
      <c r="V214" s="11"/>
      <c r="W214" s="11"/>
    </row>
    <row r="215" spans="3:23" s="2" customFormat="1" x14ac:dyDescent="0.25">
      <c r="C215" s="15"/>
      <c r="D215" s="15"/>
      <c r="E215" s="15"/>
      <c r="F215" s="16"/>
      <c r="G215"/>
      <c r="L215" s="11"/>
      <c r="M215" s="11"/>
      <c r="N215" s="11"/>
      <c r="O215" s="17"/>
      <c r="P215" s="11"/>
      <c r="Q215" s="11"/>
      <c r="R215" s="11"/>
      <c r="S215" s="11"/>
      <c r="T215" s="11"/>
      <c r="U215" s="11"/>
      <c r="V215" s="11"/>
      <c r="W215" s="11"/>
    </row>
    <row r="216" spans="3:23" s="2" customFormat="1" x14ac:dyDescent="0.25">
      <c r="C216" s="15"/>
      <c r="D216" s="15"/>
      <c r="E216" s="15"/>
      <c r="F216" s="16"/>
      <c r="G216"/>
      <c r="L216" s="11"/>
      <c r="M216" s="11"/>
      <c r="N216" s="11"/>
      <c r="O216" s="17"/>
      <c r="P216" s="11"/>
      <c r="Q216" s="11"/>
      <c r="R216" s="11"/>
      <c r="S216" s="11"/>
      <c r="T216" s="11"/>
      <c r="U216" s="11"/>
      <c r="V216" s="11"/>
      <c r="W216" s="11"/>
    </row>
    <row r="217" spans="3:23" s="2" customFormat="1" x14ac:dyDescent="0.25">
      <c r="C217" s="15"/>
      <c r="D217" s="15"/>
      <c r="E217" s="15"/>
      <c r="F217" s="16"/>
      <c r="G217"/>
      <c r="L217" s="11"/>
      <c r="M217" s="11"/>
      <c r="N217" s="11"/>
      <c r="O217" s="17"/>
      <c r="P217" s="11"/>
      <c r="Q217" s="11"/>
      <c r="R217" s="11"/>
      <c r="S217" s="11"/>
      <c r="T217" s="11"/>
      <c r="U217" s="11"/>
      <c r="V217" s="11"/>
      <c r="W217" s="11"/>
    </row>
    <row r="218" spans="3:23" s="2" customFormat="1" x14ac:dyDescent="0.25">
      <c r="C218" s="15"/>
      <c r="D218" s="15"/>
      <c r="E218" s="15"/>
      <c r="F218" s="16"/>
      <c r="G218"/>
      <c r="L218" s="11"/>
      <c r="M218" s="11"/>
      <c r="N218" s="11"/>
      <c r="O218" s="17"/>
      <c r="P218" s="11"/>
      <c r="Q218" s="11"/>
      <c r="R218" s="11"/>
      <c r="S218" s="11"/>
      <c r="T218" s="11"/>
      <c r="U218" s="11"/>
      <c r="V218" s="11"/>
      <c r="W218" s="11"/>
    </row>
    <row r="219" spans="3:23" s="2" customFormat="1" x14ac:dyDescent="0.25">
      <c r="C219" s="15"/>
      <c r="D219" s="15"/>
      <c r="E219" s="15"/>
      <c r="F219" s="16"/>
      <c r="G219"/>
      <c r="L219" s="11"/>
      <c r="M219" s="11"/>
      <c r="N219" s="11"/>
      <c r="O219" s="17"/>
      <c r="P219" s="11"/>
      <c r="Q219" s="11"/>
      <c r="R219" s="11"/>
      <c r="S219" s="11"/>
      <c r="T219" s="11"/>
      <c r="U219" s="11"/>
      <c r="V219" s="11"/>
      <c r="W219" s="11"/>
    </row>
    <row r="220" spans="3:23" s="2" customFormat="1" x14ac:dyDescent="0.25">
      <c r="C220" s="15"/>
      <c r="D220" s="15"/>
      <c r="E220" s="15"/>
      <c r="F220" s="16"/>
      <c r="G220"/>
      <c r="L220" s="11"/>
      <c r="M220" s="11"/>
      <c r="N220" s="11"/>
      <c r="O220" s="17"/>
      <c r="P220" s="11"/>
      <c r="Q220" s="11"/>
      <c r="R220" s="11"/>
      <c r="S220" s="11"/>
      <c r="T220" s="11"/>
      <c r="U220" s="11"/>
      <c r="V220" s="11"/>
      <c r="W220" s="11"/>
    </row>
    <row r="221" spans="3:23" s="2" customFormat="1" x14ac:dyDescent="0.25">
      <c r="C221" s="15"/>
      <c r="D221" s="15"/>
      <c r="E221" s="15"/>
      <c r="F221" s="16"/>
      <c r="G221"/>
      <c r="L221" s="11"/>
      <c r="M221" s="11"/>
      <c r="N221" s="11"/>
      <c r="O221" s="17"/>
      <c r="P221" s="11"/>
      <c r="Q221" s="11"/>
      <c r="R221" s="11"/>
      <c r="S221" s="11"/>
      <c r="T221" s="11"/>
      <c r="U221" s="11"/>
      <c r="V221" s="11"/>
      <c r="W221" s="11"/>
    </row>
    <row r="222" spans="3:23" s="2" customFormat="1" x14ac:dyDescent="0.25">
      <c r="C222" s="15"/>
      <c r="D222" s="15"/>
      <c r="E222" s="15"/>
      <c r="F222" s="16"/>
      <c r="G222"/>
      <c r="L222" s="11"/>
      <c r="M222" s="11"/>
      <c r="N222" s="11"/>
      <c r="O222" s="17"/>
      <c r="P222" s="11"/>
      <c r="Q222" s="11"/>
      <c r="R222" s="11"/>
      <c r="S222" s="11"/>
      <c r="T222" s="11"/>
      <c r="U222" s="11"/>
      <c r="V222" s="11"/>
      <c r="W222" s="11"/>
    </row>
    <row r="223" spans="3:23" s="2" customFormat="1" x14ac:dyDescent="0.25">
      <c r="C223" s="15"/>
      <c r="D223" s="15"/>
      <c r="E223" s="15"/>
      <c r="F223" s="16"/>
      <c r="G223"/>
      <c r="L223" s="11"/>
      <c r="M223" s="11"/>
      <c r="N223" s="11"/>
      <c r="O223" s="17"/>
      <c r="P223" s="11"/>
      <c r="Q223" s="11"/>
      <c r="R223" s="11"/>
      <c r="S223" s="11"/>
      <c r="T223" s="11"/>
      <c r="U223" s="11"/>
      <c r="V223" s="11"/>
      <c r="W223" s="11"/>
    </row>
    <row r="224" spans="3:23" s="2" customFormat="1" x14ac:dyDescent="0.25">
      <c r="C224" s="15"/>
      <c r="D224" s="15"/>
      <c r="E224" s="15"/>
      <c r="F224" s="16"/>
      <c r="G224"/>
      <c r="L224" s="11"/>
      <c r="M224" s="11"/>
      <c r="N224" s="11"/>
      <c r="O224" s="17"/>
      <c r="P224" s="11"/>
      <c r="Q224" s="11"/>
      <c r="R224" s="11"/>
      <c r="S224" s="11"/>
      <c r="T224" s="11"/>
      <c r="U224" s="11"/>
      <c r="V224" s="11"/>
      <c r="W224" s="11"/>
    </row>
    <row r="225" spans="3:23" s="2" customFormat="1" x14ac:dyDescent="0.25">
      <c r="C225" s="15"/>
      <c r="D225" s="15"/>
      <c r="E225" s="15"/>
      <c r="F225" s="16"/>
      <c r="G225"/>
      <c r="L225" s="11"/>
      <c r="M225" s="11"/>
      <c r="N225" s="11"/>
      <c r="O225" s="17"/>
      <c r="P225" s="11"/>
      <c r="Q225" s="11"/>
      <c r="R225" s="11"/>
      <c r="S225" s="11"/>
      <c r="T225" s="11"/>
      <c r="U225" s="11"/>
      <c r="V225" s="11"/>
      <c r="W225" s="11"/>
    </row>
    <row r="226" spans="3:23" s="2" customFormat="1" x14ac:dyDescent="0.25">
      <c r="C226" s="15"/>
      <c r="D226" s="15"/>
      <c r="E226" s="15"/>
      <c r="F226" s="16"/>
      <c r="G226"/>
      <c r="L226" s="11"/>
      <c r="M226" s="11"/>
      <c r="N226" s="11"/>
      <c r="O226" s="17"/>
      <c r="P226" s="11"/>
      <c r="Q226" s="11"/>
      <c r="R226" s="11"/>
      <c r="S226" s="11"/>
      <c r="T226" s="11"/>
      <c r="U226" s="11"/>
      <c r="V226" s="11"/>
      <c r="W226" s="11"/>
    </row>
    <row r="227" spans="3:23" s="2" customFormat="1" x14ac:dyDescent="0.25">
      <c r="C227" s="15"/>
      <c r="D227" s="15"/>
      <c r="E227" s="15"/>
      <c r="F227" s="16"/>
      <c r="G227"/>
      <c r="L227" s="11"/>
      <c r="M227" s="11"/>
      <c r="N227" s="11"/>
      <c r="O227" s="17"/>
      <c r="P227" s="11"/>
      <c r="Q227" s="11"/>
      <c r="R227" s="11"/>
      <c r="S227" s="11"/>
      <c r="T227" s="11"/>
      <c r="U227" s="11"/>
      <c r="V227" s="11"/>
      <c r="W227" s="11"/>
    </row>
    <row r="228" spans="3:23" s="2" customFormat="1" x14ac:dyDescent="0.25">
      <c r="C228" s="15"/>
      <c r="D228" s="15"/>
      <c r="E228" s="15"/>
      <c r="F228" s="16"/>
      <c r="G228"/>
      <c r="L228" s="11"/>
      <c r="M228" s="11"/>
      <c r="N228" s="11"/>
      <c r="O228" s="17"/>
      <c r="P228" s="11"/>
      <c r="Q228" s="11"/>
      <c r="R228" s="11"/>
      <c r="S228" s="11"/>
      <c r="T228" s="11"/>
      <c r="U228" s="11"/>
      <c r="V228" s="11"/>
      <c r="W228" s="11"/>
    </row>
    <row r="229" spans="3:23" s="2" customFormat="1" x14ac:dyDescent="0.25">
      <c r="C229" s="15"/>
      <c r="D229" s="15"/>
      <c r="E229" s="15"/>
      <c r="F229" s="16"/>
      <c r="G229"/>
      <c r="L229" s="11"/>
      <c r="M229" s="11"/>
      <c r="N229" s="11"/>
      <c r="O229" s="17"/>
      <c r="P229" s="11"/>
      <c r="Q229" s="11"/>
      <c r="R229" s="11"/>
      <c r="S229" s="11"/>
      <c r="T229" s="11"/>
      <c r="U229" s="11"/>
      <c r="V229" s="11"/>
      <c r="W229" s="11"/>
    </row>
    <row r="230" spans="3:23" s="2" customFormat="1" x14ac:dyDescent="0.25">
      <c r="C230" s="15"/>
      <c r="D230" s="15"/>
      <c r="E230" s="15"/>
      <c r="F230" s="16"/>
      <c r="G230"/>
      <c r="L230" s="11"/>
      <c r="M230" s="11"/>
      <c r="N230" s="11"/>
      <c r="O230" s="17"/>
      <c r="P230" s="11"/>
      <c r="Q230" s="11"/>
      <c r="R230" s="11"/>
      <c r="S230" s="11"/>
      <c r="T230" s="11"/>
      <c r="U230" s="11"/>
      <c r="V230" s="11"/>
      <c r="W230" s="11"/>
    </row>
    <row r="231" spans="3:23" s="2" customFormat="1" x14ac:dyDescent="0.25">
      <c r="C231" s="15"/>
      <c r="D231" s="15"/>
      <c r="E231" s="15"/>
      <c r="F231" s="16"/>
      <c r="G231"/>
      <c r="L231" s="11"/>
      <c r="M231" s="11"/>
      <c r="N231" s="11"/>
      <c r="O231" s="17"/>
      <c r="P231" s="11"/>
      <c r="Q231" s="11"/>
      <c r="R231" s="11"/>
      <c r="S231" s="11"/>
      <c r="T231" s="11"/>
      <c r="U231" s="11"/>
      <c r="V231" s="11"/>
      <c r="W231" s="11"/>
    </row>
    <row r="232" spans="3:23" s="2" customFormat="1" x14ac:dyDescent="0.25">
      <c r="C232" s="15"/>
      <c r="D232" s="15"/>
      <c r="E232" s="15"/>
      <c r="F232" s="16"/>
      <c r="G232"/>
      <c r="L232" s="11"/>
      <c r="M232" s="11"/>
      <c r="N232" s="11"/>
      <c r="O232" s="17"/>
      <c r="P232" s="11"/>
      <c r="Q232" s="11"/>
      <c r="R232" s="11"/>
      <c r="S232" s="11"/>
      <c r="T232" s="11"/>
      <c r="U232" s="11"/>
      <c r="V232" s="11"/>
      <c r="W232" s="11"/>
    </row>
    <row r="233" spans="3:23" s="2" customFormat="1" x14ac:dyDescent="0.25">
      <c r="C233" s="15"/>
      <c r="D233" s="15"/>
      <c r="E233" s="15"/>
      <c r="F233" s="16"/>
      <c r="G233"/>
      <c r="L233" s="11"/>
      <c r="M233" s="11"/>
      <c r="N233" s="11"/>
      <c r="O233" s="17"/>
      <c r="P233" s="11"/>
      <c r="Q233" s="11"/>
      <c r="R233" s="11"/>
      <c r="S233" s="11"/>
      <c r="T233" s="11"/>
      <c r="U233" s="11"/>
      <c r="V233" s="11"/>
      <c r="W233" s="11"/>
    </row>
    <row r="234" spans="3:23" s="2" customFormat="1" x14ac:dyDescent="0.25">
      <c r="C234" s="15"/>
      <c r="D234" s="15"/>
      <c r="E234" s="15"/>
      <c r="F234" s="16"/>
      <c r="G234"/>
      <c r="L234" s="11"/>
      <c r="M234" s="11"/>
      <c r="N234" s="11"/>
      <c r="O234" s="17"/>
      <c r="P234" s="11"/>
      <c r="Q234" s="11"/>
      <c r="R234" s="11"/>
      <c r="S234" s="11"/>
      <c r="T234" s="11"/>
      <c r="U234" s="11"/>
      <c r="V234" s="11"/>
      <c r="W234" s="11"/>
    </row>
    <row r="235" spans="3:23" s="2" customFormat="1" x14ac:dyDescent="0.25">
      <c r="C235" s="15"/>
      <c r="D235" s="15"/>
      <c r="E235" s="15"/>
      <c r="F235" s="16"/>
      <c r="G235"/>
      <c r="L235" s="11"/>
      <c r="M235" s="11"/>
      <c r="N235" s="11"/>
      <c r="O235" s="17"/>
      <c r="P235" s="11"/>
      <c r="Q235" s="11"/>
      <c r="R235" s="11"/>
      <c r="S235" s="11"/>
      <c r="T235" s="11"/>
      <c r="U235" s="11"/>
      <c r="V235" s="11"/>
      <c r="W235" s="11"/>
    </row>
    <row r="236" spans="3:23" s="2" customFormat="1" x14ac:dyDescent="0.25">
      <c r="C236" s="15"/>
      <c r="D236" s="15"/>
      <c r="E236" s="15"/>
      <c r="F236" s="16"/>
      <c r="G236"/>
      <c r="L236" s="11"/>
      <c r="M236" s="11"/>
      <c r="N236" s="11"/>
      <c r="O236" s="17"/>
      <c r="P236" s="11"/>
      <c r="Q236" s="11"/>
      <c r="R236" s="11"/>
      <c r="S236" s="11"/>
      <c r="T236" s="11"/>
      <c r="U236" s="11"/>
      <c r="V236" s="11"/>
      <c r="W236" s="11"/>
    </row>
    <row r="237" spans="3:23" s="2" customFormat="1" x14ac:dyDescent="0.25">
      <c r="C237" s="15"/>
      <c r="D237" s="15"/>
      <c r="E237" s="15"/>
      <c r="F237" s="16"/>
      <c r="G237"/>
      <c r="L237" s="11"/>
      <c r="M237" s="11"/>
      <c r="N237" s="11"/>
      <c r="O237" s="17"/>
      <c r="P237" s="11"/>
      <c r="Q237" s="11"/>
      <c r="R237" s="11"/>
      <c r="S237" s="11"/>
      <c r="T237" s="11"/>
      <c r="U237" s="11"/>
      <c r="V237" s="11"/>
      <c r="W237" s="11"/>
    </row>
    <row r="238" spans="3:23" s="2" customFormat="1" x14ac:dyDescent="0.25">
      <c r="C238" s="15"/>
      <c r="D238" s="15"/>
      <c r="E238" s="15"/>
      <c r="F238" s="16"/>
      <c r="G238"/>
      <c r="L238" s="11"/>
      <c r="M238" s="11"/>
      <c r="N238" s="11"/>
      <c r="O238" s="17"/>
      <c r="P238" s="11"/>
      <c r="Q238" s="11"/>
      <c r="R238" s="11"/>
      <c r="S238" s="11"/>
      <c r="T238" s="11"/>
      <c r="U238" s="11"/>
      <c r="V238" s="11"/>
      <c r="W238" s="11"/>
    </row>
  </sheetData>
  <autoFilter ref="A14:R189"/>
  <sortState ref="A15:R121">
    <sortCondition ref="A15:A121"/>
  </sortState>
  <mergeCells count="1">
    <mergeCell ref="M196:N196"/>
  </mergeCells>
  <conditionalFormatting sqref="G1 G4:G1048576">
    <cfRule type="cellIs" dxfId="16" priority="1" operator="equal">
      <formula>"PLANEAR"</formula>
    </cfRule>
    <cfRule type="cellIs" dxfId="15" priority="2" operator="equal">
      <formula>"HACER"</formula>
    </cfRule>
    <cfRule type="cellIs" dxfId="14" priority="3" operator="equal">
      <formula>"VERIFICAR"</formula>
    </cfRule>
    <cfRule type="cellIs" dxfId="13" priority="4" operator="equal">
      <formula>"ajustar"</formula>
    </cfRule>
  </conditionalFormatting>
  <dataValidations count="1">
    <dataValidation type="list" allowBlank="1" showInputMessage="1" showErrorMessage="1" sqref="R15:R189">
      <formula1>Seguimiento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Combos!$A$2:$A$10</xm:f>
          </x14:formula1>
          <xm:sqref>I15:I189</xm:sqref>
        </x14:dataValidation>
        <x14:dataValidation type="list" allowBlank="1" showInputMessage="1" showErrorMessage="1">
          <x14:formula1>
            <xm:f>Combos!$D$2:$D$5</xm:f>
          </x14:formula1>
          <xm:sqref>G15:G189</xm:sqref>
        </x14:dataValidation>
        <x14:dataValidation type="list" allowBlank="1" showInputMessage="1" showErrorMessage="1">
          <x14:formula1>
            <xm:f>Combos!$F$2:$F$3</xm:f>
          </x14:formula1>
          <xm:sqref>P15:P189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AA23"/>
  <sheetViews>
    <sheetView showGridLines="0" zoomScale="70" zoomScaleNormal="70" workbookViewId="0">
      <selection activeCell="F3" sqref="F3"/>
    </sheetView>
  </sheetViews>
  <sheetFormatPr baseColWidth="10" defaultColWidth="11.42578125" defaultRowHeight="15.75" x14ac:dyDescent="0.25"/>
  <cols>
    <col min="1" max="1" width="4.7109375" style="100" customWidth="1"/>
    <col min="2" max="2" width="14.7109375" style="100" customWidth="1"/>
    <col min="3" max="3" width="12.28515625" style="100" bestFit="1" customWidth="1"/>
    <col min="4" max="14" width="11.42578125" style="100"/>
    <col min="15" max="15" width="15.140625" style="100" customWidth="1"/>
    <col min="16" max="16384" width="11.42578125" style="100"/>
  </cols>
  <sheetData>
    <row r="2" spans="2:27" x14ac:dyDescent="0.25">
      <c r="F2" s="101" t="s">
        <v>32</v>
      </c>
      <c r="I2" s="102"/>
      <c r="J2" s="103" t="s">
        <v>33</v>
      </c>
      <c r="K2" s="103" t="s">
        <v>34</v>
      </c>
      <c r="L2" s="103" t="s">
        <v>35</v>
      </c>
      <c r="M2" s="103" t="s">
        <v>36</v>
      </c>
    </row>
    <row r="3" spans="2:27" x14ac:dyDescent="0.25">
      <c r="E3" s="104" t="s">
        <v>37</v>
      </c>
      <c r="F3" s="105">
        <v>2</v>
      </c>
      <c r="I3" s="104" t="s">
        <v>38</v>
      </c>
      <c r="J3" s="106">
        <f>Cargo!$H$4*5*F3</f>
        <v>90</v>
      </c>
      <c r="K3" s="106">
        <f>J3</f>
        <v>90</v>
      </c>
      <c r="L3" s="106">
        <f>J3</f>
        <v>90</v>
      </c>
      <c r="M3" s="106">
        <f>J3</f>
        <v>90</v>
      </c>
    </row>
    <row r="4" spans="2:27" x14ac:dyDescent="0.25">
      <c r="E4" s="107" t="s">
        <v>39</v>
      </c>
      <c r="I4" s="108" t="s">
        <v>40</v>
      </c>
      <c r="J4" s="109">
        <f>Cargo!$H$10*5*$F$3</f>
        <v>72.20930232558139</v>
      </c>
      <c r="K4" s="106">
        <f t="shared" ref="K4:K5" si="0">J4</f>
        <v>72.20930232558139</v>
      </c>
      <c r="L4" s="106">
        <f t="shared" ref="L4:L5" si="1">J4</f>
        <v>72.20930232558139</v>
      </c>
      <c r="M4" s="106">
        <f t="shared" ref="M4:M5" si="2">J4</f>
        <v>72.20930232558139</v>
      </c>
    </row>
    <row r="5" spans="2:27" x14ac:dyDescent="0.25">
      <c r="E5" s="110" t="s">
        <v>41</v>
      </c>
      <c r="F5" s="111">
        <f>Cargo!M192/(Cargo!H10*20)</f>
        <v>5.2193490785471468</v>
      </c>
      <c r="I5" s="104" t="s">
        <v>42</v>
      </c>
      <c r="J5" s="109">
        <f>Cargo!$M$192/4.3</f>
        <v>175.29560723514214</v>
      </c>
      <c r="K5" s="106">
        <f t="shared" si="0"/>
        <v>175.29560723514214</v>
      </c>
      <c r="L5" s="106">
        <f t="shared" si="1"/>
        <v>175.29560723514214</v>
      </c>
      <c r="M5" s="106">
        <f t="shared" si="2"/>
        <v>175.29560723514214</v>
      </c>
      <c r="Y5" s="133" t="s">
        <v>45</v>
      </c>
      <c r="Z5" s="134" t="s">
        <v>54</v>
      </c>
      <c r="AA5" s="135">
        <v>8.5</v>
      </c>
    </row>
    <row r="6" spans="2:27" x14ac:dyDescent="0.25">
      <c r="E6" s="110" t="s">
        <v>43</v>
      </c>
      <c r="F6" s="111">
        <f>+F5*0.8</f>
        <v>4.175479262837718</v>
      </c>
      <c r="I6" s="104" t="s">
        <v>44</v>
      </c>
      <c r="J6" s="109">
        <f>IFERROR((J4-J5)/F3,0)</f>
        <v>-51.543152454780376</v>
      </c>
      <c r="K6" s="106">
        <f>J6</f>
        <v>-51.543152454780376</v>
      </c>
      <c r="L6" s="106">
        <f>J6</f>
        <v>-51.543152454780376</v>
      </c>
      <c r="M6" s="106">
        <f>J6</f>
        <v>-51.543152454780376</v>
      </c>
      <c r="Y6" s="136" t="s">
        <v>51</v>
      </c>
      <c r="Z6" s="137" t="s">
        <v>46</v>
      </c>
      <c r="AA6" s="138">
        <v>241.91666666666669</v>
      </c>
    </row>
    <row r="7" spans="2:27" x14ac:dyDescent="0.25">
      <c r="M7" s="112"/>
      <c r="Y7" s="139"/>
      <c r="Z7" s="100" t="s">
        <v>54</v>
      </c>
      <c r="AA7" s="140">
        <v>316.5</v>
      </c>
    </row>
    <row r="8" spans="2:27" x14ac:dyDescent="0.25">
      <c r="B8" s="104"/>
      <c r="C8" s="113"/>
      <c r="D8" s="113"/>
      <c r="E8" s="113"/>
      <c r="F8" s="113"/>
      <c r="M8" s="114"/>
      <c r="Y8" s="139"/>
      <c r="Z8" s="100" t="s">
        <v>60</v>
      </c>
      <c r="AA8" s="140">
        <v>19700</v>
      </c>
    </row>
    <row r="9" spans="2:27" x14ac:dyDescent="0.25">
      <c r="Y9" s="139"/>
      <c r="Z9" s="100" t="s">
        <v>56</v>
      </c>
      <c r="AA9" s="140">
        <v>1186</v>
      </c>
    </row>
    <row r="10" spans="2:27" x14ac:dyDescent="0.25">
      <c r="B10" s="104" t="s">
        <v>19</v>
      </c>
      <c r="C10" s="115" t="s">
        <v>21</v>
      </c>
      <c r="I10" s="101" t="s">
        <v>21</v>
      </c>
      <c r="J10" s="101" t="s">
        <v>22</v>
      </c>
      <c r="K10" s="116" t="s">
        <v>22</v>
      </c>
      <c r="Q10" s="117" t="s">
        <v>27</v>
      </c>
      <c r="R10" s="118" t="s">
        <v>21</v>
      </c>
      <c r="S10" s="119"/>
      <c r="Y10" s="139"/>
      <c r="Z10" s="100" t="s">
        <v>57</v>
      </c>
      <c r="AA10" s="140">
        <v>4100</v>
      </c>
    </row>
    <row r="11" spans="2:27" x14ac:dyDescent="0.25">
      <c r="B11" s="104" t="s">
        <v>45</v>
      </c>
      <c r="C11" s="100">
        <f>COUNTIF(Cargo!$G$15:$G$189,Resumen!B11)</f>
        <v>1</v>
      </c>
      <c r="D11" s="120">
        <f>IFERROR(C11/$C$16,"")</f>
        <v>5.7142857142857143E-3</v>
      </c>
      <c r="F11" s="104"/>
      <c r="I11" s="100" t="s">
        <v>46</v>
      </c>
      <c r="J11" s="100">
        <f>COUNTIF(Cargo!$I$15:$I$189,Resumen!I11)</f>
        <v>8</v>
      </c>
      <c r="K11" s="120">
        <f>J11/$J$21</f>
        <v>4.5714285714285714E-2</v>
      </c>
      <c r="Q11" s="121" t="s">
        <v>47</v>
      </c>
      <c r="R11" s="119">
        <f>COUNTIF(Cargo!$P$15:$P$189,Resumen!Q11)</f>
        <v>15</v>
      </c>
      <c r="S11" s="122">
        <f>R11/$R$14</f>
        <v>8.5714285714285715E-2</v>
      </c>
      <c r="Y11" s="139"/>
      <c r="Z11" s="100" t="s">
        <v>59</v>
      </c>
      <c r="AA11" s="140">
        <v>13828.800000000003</v>
      </c>
    </row>
    <row r="12" spans="2:27" x14ac:dyDescent="0.25">
      <c r="B12" s="104" t="s">
        <v>48</v>
      </c>
      <c r="C12" s="100">
        <f>COUNTIF(Cargo!$G$15:$G$189,Resumen!B12)</f>
        <v>25</v>
      </c>
      <c r="D12" s="120">
        <f t="shared" ref="D12:D14" si="3">IFERROR(C12/$C$16,"")</f>
        <v>0.14285714285714285</v>
      </c>
      <c r="F12" s="104"/>
      <c r="I12" s="100" t="s">
        <v>49</v>
      </c>
      <c r="J12" s="100">
        <f>COUNTIF(Cargo!$I$15:$I$189,Resumen!I12)</f>
        <v>5</v>
      </c>
      <c r="K12" s="120">
        <f t="shared" ref="K12:K19" si="4">J12/$J$21</f>
        <v>2.8571428571428571E-2</v>
      </c>
      <c r="Q12" s="121" t="s">
        <v>50</v>
      </c>
      <c r="R12" s="119">
        <f>COUNTIF(Cargo!$P$15:$P$189,Resumen!Q12)</f>
        <v>160</v>
      </c>
      <c r="S12" s="122">
        <f>R12/$R$14</f>
        <v>0.91428571428571426</v>
      </c>
      <c r="Y12" s="139"/>
      <c r="Z12" s="100" t="s">
        <v>49</v>
      </c>
      <c r="AA12" s="140">
        <v>1610.8333333333333</v>
      </c>
    </row>
    <row r="13" spans="2:27" x14ac:dyDescent="0.25">
      <c r="B13" s="104" t="s">
        <v>51</v>
      </c>
      <c r="C13" s="100">
        <f>COUNTIF(Cargo!$G$15:$G$189,Resumen!B13)</f>
        <v>134</v>
      </c>
      <c r="D13" s="120">
        <f t="shared" si="3"/>
        <v>0.76571428571428568</v>
      </c>
      <c r="F13" s="104"/>
      <c r="I13" s="100" t="s">
        <v>52</v>
      </c>
      <c r="J13" s="100">
        <f>COUNTIF(Cargo!$I$15:$I$189,Resumen!I13)</f>
        <v>2</v>
      </c>
      <c r="K13" s="120">
        <f t="shared" si="4"/>
        <v>1.1428571428571429E-2</v>
      </c>
      <c r="Y13" s="141"/>
      <c r="Z13" s="142" t="s">
        <v>52</v>
      </c>
      <c r="AA13" s="143">
        <v>80</v>
      </c>
    </row>
    <row r="14" spans="2:27" x14ac:dyDescent="0.25">
      <c r="B14" s="104" t="s">
        <v>53</v>
      </c>
      <c r="C14" s="100">
        <f>COUNTIF(Cargo!$G$15:$G$189,Resumen!B14)</f>
        <v>15</v>
      </c>
      <c r="D14" s="120">
        <f t="shared" si="3"/>
        <v>8.5714285714285715E-2</v>
      </c>
      <c r="F14" s="104"/>
      <c r="I14" s="100" t="s">
        <v>54</v>
      </c>
      <c r="J14" s="100">
        <f>COUNTIF(Cargo!$I$15:$I$189,Resumen!I14)</f>
        <v>11</v>
      </c>
      <c r="K14" s="120">
        <f t="shared" si="4"/>
        <v>6.2857142857142861E-2</v>
      </c>
      <c r="Q14" s="100" t="s">
        <v>55</v>
      </c>
      <c r="R14" s="100">
        <f>SUM(R11:R12)</f>
        <v>175</v>
      </c>
      <c r="Y14" s="136" t="s">
        <v>53</v>
      </c>
      <c r="Z14" s="137" t="s">
        <v>46</v>
      </c>
      <c r="AA14" s="138">
        <v>45.416666666666664</v>
      </c>
    </row>
    <row r="15" spans="2:27" x14ac:dyDescent="0.25">
      <c r="I15" s="100" t="s">
        <v>56</v>
      </c>
      <c r="J15" s="100">
        <f>COUNTIF(Cargo!$I$15:$I$189,Resumen!I15)</f>
        <v>30</v>
      </c>
      <c r="K15" s="120">
        <f t="shared" si="4"/>
        <v>0.17142857142857143</v>
      </c>
      <c r="Y15" s="139"/>
      <c r="Z15" s="100" t="s">
        <v>56</v>
      </c>
      <c r="AA15" s="140">
        <v>276</v>
      </c>
    </row>
    <row r="16" spans="2:27" x14ac:dyDescent="0.25">
      <c r="B16" s="107" t="s">
        <v>55</v>
      </c>
      <c r="C16" s="100">
        <f>SUM(C11:C14)</f>
        <v>175</v>
      </c>
      <c r="I16" s="100" t="s">
        <v>57</v>
      </c>
      <c r="J16" s="100">
        <f>COUNTIF(Cargo!$I$15:$I$189,Resumen!I16)</f>
        <v>31</v>
      </c>
      <c r="K16" s="120">
        <f t="shared" si="4"/>
        <v>0.17714285714285713</v>
      </c>
      <c r="Y16" s="139"/>
      <c r="Z16" s="100" t="s">
        <v>57</v>
      </c>
      <c r="AA16" s="140">
        <v>160</v>
      </c>
    </row>
    <row r="17" spans="9:27" x14ac:dyDescent="0.25">
      <c r="I17" s="100" t="s">
        <v>58</v>
      </c>
      <c r="J17" s="100">
        <f>COUNTIF(Cargo!$I$15:$I$189,Resumen!I17)</f>
        <v>0</v>
      </c>
      <c r="K17" s="120">
        <f t="shared" si="4"/>
        <v>0</v>
      </c>
      <c r="Y17" s="139"/>
      <c r="Z17" s="100" t="s">
        <v>59</v>
      </c>
      <c r="AA17" s="140">
        <v>696.6</v>
      </c>
    </row>
    <row r="18" spans="9:27" x14ac:dyDescent="0.25">
      <c r="I18" s="100" t="s">
        <v>59</v>
      </c>
      <c r="J18" s="100">
        <f>COUNTIF(Cargo!$I$15:$I$189,Resumen!I18)</f>
        <v>70</v>
      </c>
      <c r="K18" s="120">
        <f t="shared" si="4"/>
        <v>0.4</v>
      </c>
      <c r="Y18" s="141"/>
      <c r="Z18" s="142" t="s">
        <v>52</v>
      </c>
      <c r="AA18" s="143">
        <v>14</v>
      </c>
    </row>
    <row r="19" spans="9:27" x14ac:dyDescent="0.25">
      <c r="I19" s="100" t="s">
        <v>60</v>
      </c>
      <c r="J19" s="100">
        <f>COUNTIF(Cargo!$I$15:$I$189,Resumen!I19)</f>
        <v>18</v>
      </c>
      <c r="K19" s="120">
        <f t="shared" si="4"/>
        <v>0.10285714285714286</v>
      </c>
      <c r="Y19" s="136" t="s">
        <v>48</v>
      </c>
      <c r="Z19" s="137" t="s">
        <v>60</v>
      </c>
      <c r="AA19" s="138">
        <v>300</v>
      </c>
    </row>
    <row r="20" spans="9:27" x14ac:dyDescent="0.25">
      <c r="Y20" s="139"/>
      <c r="Z20" s="100" t="s">
        <v>56</v>
      </c>
      <c r="AA20" s="140">
        <v>587</v>
      </c>
    </row>
    <row r="21" spans="9:27" x14ac:dyDescent="0.25">
      <c r="I21" s="100" t="s">
        <v>55</v>
      </c>
      <c r="J21" s="100">
        <f>SUM(J11:J19)</f>
        <v>175</v>
      </c>
      <c r="Y21" s="139"/>
      <c r="Z21" s="100" t="s">
        <v>57</v>
      </c>
      <c r="AA21" s="140">
        <v>1004</v>
      </c>
    </row>
    <row r="22" spans="9:27" x14ac:dyDescent="0.25">
      <c r="Y22" s="144"/>
      <c r="Z22" s="142" t="s">
        <v>59</v>
      </c>
      <c r="AA22" s="143">
        <v>1070.7</v>
      </c>
    </row>
    <row r="23" spans="9:27" x14ac:dyDescent="0.25">
      <c r="Y23" s="133" t="s">
        <v>216</v>
      </c>
      <c r="Z23" s="145"/>
      <c r="AA23" s="146">
        <v>45226.26666666667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96"/>
  <sheetViews>
    <sheetView zoomScale="85" zoomScaleNormal="85" workbookViewId="0">
      <selection activeCell="C40" sqref="C40"/>
    </sheetView>
  </sheetViews>
  <sheetFormatPr baseColWidth="10" defaultRowHeight="15" x14ac:dyDescent="0.25"/>
  <cols>
    <col min="1" max="1" width="40.140625" bestFit="1" customWidth="1"/>
    <col min="2" max="2" width="12.7109375" bestFit="1" customWidth="1"/>
    <col min="3" max="3" width="20.42578125" style="79" bestFit="1" customWidth="1"/>
    <col min="4" max="4" width="97.28515625" customWidth="1"/>
  </cols>
  <sheetData>
    <row r="1" spans="1:4" x14ac:dyDescent="0.25">
      <c r="A1" s="81" t="s">
        <v>242</v>
      </c>
    </row>
    <row r="3" spans="1:4" x14ac:dyDescent="0.25">
      <c r="A3" s="76" t="s">
        <v>243</v>
      </c>
      <c r="B3" t="s">
        <v>254</v>
      </c>
      <c r="C3" s="84" t="s">
        <v>25</v>
      </c>
      <c r="D3" s="85" t="s">
        <v>248</v>
      </c>
    </row>
    <row r="4" spans="1:4" x14ac:dyDescent="0.25">
      <c r="A4" s="82" t="s">
        <v>231</v>
      </c>
      <c r="B4" s="77">
        <v>9046.2000000000007</v>
      </c>
      <c r="C4" s="80">
        <f>B4/$B$26</f>
        <v>0.20002093178890143</v>
      </c>
      <c r="D4" t="s">
        <v>252</v>
      </c>
    </row>
    <row r="5" spans="1:4" x14ac:dyDescent="0.25">
      <c r="A5" t="s">
        <v>223</v>
      </c>
      <c r="B5" s="77">
        <v>4908</v>
      </c>
      <c r="C5" s="80">
        <f>B5/$B$26</f>
        <v>0.10852100696645312</v>
      </c>
      <c r="D5" t="s">
        <v>262</v>
      </c>
    </row>
    <row r="6" spans="1:4" x14ac:dyDescent="0.25">
      <c r="A6" s="82" t="s">
        <v>253</v>
      </c>
      <c r="B6" s="77">
        <v>4766.8</v>
      </c>
      <c r="C6" s="80">
        <f t="shared" ref="C6:C25" si="0">B6/$B$26</f>
        <v>0.10539892746692925</v>
      </c>
      <c r="D6" t="s">
        <v>251</v>
      </c>
    </row>
    <row r="7" spans="1:4" x14ac:dyDescent="0.25">
      <c r="A7" t="s">
        <v>224</v>
      </c>
      <c r="B7" s="77">
        <v>4739.3999999999996</v>
      </c>
      <c r="C7" s="80">
        <f t="shared" si="0"/>
        <v>0.10479308484450038</v>
      </c>
    </row>
    <row r="8" spans="1:4" x14ac:dyDescent="0.25">
      <c r="A8" s="82" t="s">
        <v>232</v>
      </c>
      <c r="B8" s="77">
        <v>3800</v>
      </c>
      <c r="C8" s="80">
        <f t="shared" si="0"/>
        <v>8.4021969533928653E-2</v>
      </c>
      <c r="D8" t="s">
        <v>244</v>
      </c>
    </row>
    <row r="9" spans="1:4" x14ac:dyDescent="0.25">
      <c r="A9" t="s">
        <v>227</v>
      </c>
      <c r="B9" s="77">
        <v>3411.9</v>
      </c>
      <c r="C9" s="80">
        <f t="shared" si="0"/>
        <v>7.5440673119160834E-2</v>
      </c>
    </row>
    <row r="10" spans="1:4" x14ac:dyDescent="0.25">
      <c r="A10" s="82" t="s">
        <v>221</v>
      </c>
      <c r="B10" s="77">
        <v>2844.2</v>
      </c>
      <c r="C10" s="80">
        <f t="shared" si="0"/>
        <v>6.2888233091684176E-2</v>
      </c>
      <c r="D10" t="s">
        <v>245</v>
      </c>
    </row>
    <row r="11" spans="1:4" x14ac:dyDescent="0.25">
      <c r="A11" s="82" t="s">
        <v>230</v>
      </c>
      <c r="B11" s="77">
        <v>1806.8</v>
      </c>
      <c r="C11" s="80">
        <f t="shared" si="0"/>
        <v>3.9950235408921654E-2</v>
      </c>
      <c r="D11" t="s">
        <v>246</v>
      </c>
    </row>
    <row r="12" spans="1:4" x14ac:dyDescent="0.25">
      <c r="A12" t="s">
        <v>236</v>
      </c>
      <c r="B12" s="77">
        <v>1732.9</v>
      </c>
      <c r="C12" s="80">
        <f t="shared" si="0"/>
        <v>3.8316229211932888E-2</v>
      </c>
    </row>
    <row r="13" spans="1:4" x14ac:dyDescent="0.25">
      <c r="A13" t="s">
        <v>241</v>
      </c>
      <c r="B13" s="77">
        <v>1186.8333333333333</v>
      </c>
      <c r="C13" s="80">
        <f t="shared" si="0"/>
        <v>2.624212478294324E-2</v>
      </c>
    </row>
    <row r="14" spans="1:4" x14ac:dyDescent="0.25">
      <c r="A14" t="s">
        <v>226</v>
      </c>
      <c r="B14" s="77">
        <v>1118</v>
      </c>
      <c r="C14" s="80">
        <f t="shared" si="0"/>
        <v>2.4720147878666377E-2</v>
      </c>
    </row>
    <row r="15" spans="1:4" x14ac:dyDescent="0.25">
      <c r="A15" t="s">
        <v>225</v>
      </c>
      <c r="B15" s="77">
        <v>1070.5999999999999</v>
      </c>
      <c r="C15" s="80">
        <f t="shared" si="0"/>
        <v>2.3672084363953686E-2</v>
      </c>
    </row>
    <row r="16" spans="1:4" x14ac:dyDescent="0.25">
      <c r="A16" s="82" t="s">
        <v>222</v>
      </c>
      <c r="B16" s="77">
        <v>999.5333333333333</v>
      </c>
      <c r="C16" s="80">
        <f t="shared" si="0"/>
        <v>2.2100726126705127E-2</v>
      </c>
      <c r="D16" t="s">
        <v>247</v>
      </c>
    </row>
    <row r="17" spans="1:4" x14ac:dyDescent="0.25">
      <c r="A17" t="s">
        <v>89</v>
      </c>
      <c r="B17" s="77">
        <v>980.4</v>
      </c>
      <c r="C17" s="80">
        <f t="shared" si="0"/>
        <v>2.1677668139753591E-2</v>
      </c>
    </row>
    <row r="18" spans="1:4" x14ac:dyDescent="0.25">
      <c r="A18" t="s">
        <v>229</v>
      </c>
      <c r="B18" s="77">
        <v>723</v>
      </c>
      <c r="C18" s="80">
        <f t="shared" si="0"/>
        <v>1.5986285256060637E-2</v>
      </c>
    </row>
    <row r="19" spans="1:4" x14ac:dyDescent="0.25">
      <c r="A19" t="s">
        <v>234</v>
      </c>
      <c r="B19" s="77">
        <v>609.5</v>
      </c>
      <c r="C19" s="80">
        <f t="shared" si="0"/>
        <v>1.3476681692349873E-2</v>
      </c>
    </row>
    <row r="20" spans="1:4" x14ac:dyDescent="0.25">
      <c r="A20" t="s">
        <v>237</v>
      </c>
      <c r="B20" s="77">
        <v>411</v>
      </c>
      <c r="C20" s="80">
        <f t="shared" si="0"/>
        <v>9.0876393364328102E-3</v>
      </c>
    </row>
    <row r="21" spans="1:4" x14ac:dyDescent="0.25">
      <c r="A21" t="s">
        <v>235</v>
      </c>
      <c r="B21" s="77">
        <v>395.59999999999997</v>
      </c>
      <c r="C21" s="80">
        <f t="shared" si="0"/>
        <v>8.7471292493742567E-3</v>
      </c>
    </row>
    <row r="22" spans="1:4" x14ac:dyDescent="0.25">
      <c r="A22" t="s">
        <v>233</v>
      </c>
      <c r="B22" s="77">
        <v>360.1</v>
      </c>
      <c r="C22" s="80">
        <f t="shared" si="0"/>
        <v>7.9621871655704505E-3</v>
      </c>
    </row>
    <row r="23" spans="1:4" x14ac:dyDescent="0.25">
      <c r="A23" t="s">
        <v>228</v>
      </c>
      <c r="B23" s="77">
        <v>120</v>
      </c>
      <c r="C23" s="80">
        <f t="shared" si="0"/>
        <v>2.6533253537030102E-3</v>
      </c>
    </row>
    <row r="24" spans="1:4" x14ac:dyDescent="0.25">
      <c r="A24" t="s">
        <v>240</v>
      </c>
      <c r="B24" s="77">
        <v>119</v>
      </c>
      <c r="C24" s="80">
        <f t="shared" si="0"/>
        <v>2.6312143090888186E-3</v>
      </c>
    </row>
    <row r="25" spans="1:4" x14ac:dyDescent="0.25">
      <c r="A25" t="s">
        <v>239</v>
      </c>
      <c r="B25" s="77">
        <v>76.5</v>
      </c>
      <c r="C25" s="80">
        <f t="shared" si="0"/>
        <v>1.691494912985669E-3</v>
      </c>
    </row>
    <row r="26" spans="1:4" x14ac:dyDescent="0.25">
      <c r="A26" t="s">
        <v>216</v>
      </c>
      <c r="B26" s="77">
        <v>45226.26666666667</v>
      </c>
      <c r="C26" s="123">
        <f>SUM(C4:C25)</f>
        <v>0.99999999999999978</v>
      </c>
      <c r="D26" s="78"/>
    </row>
    <row r="28" spans="1:4" x14ac:dyDescent="0.25">
      <c r="B28" s="83">
        <f>B26/60</f>
        <v>753.77111111111117</v>
      </c>
    </row>
    <row r="29" spans="1:4" x14ac:dyDescent="0.25">
      <c r="B29" s="83">
        <f>B28/20</f>
        <v>37.68855555555556</v>
      </c>
    </row>
    <row r="30" spans="1:4" x14ac:dyDescent="0.25">
      <c r="B30" s="83">
        <f>B29/7.22</f>
        <v>5.2200215450907983</v>
      </c>
    </row>
    <row r="31" spans="1:4" x14ac:dyDescent="0.25">
      <c r="B31" s="83">
        <f>B30*80%</f>
        <v>4.1760172360726386</v>
      </c>
    </row>
    <row r="38" spans="1:3" x14ac:dyDescent="0.25">
      <c r="A38" s="76" t="s">
        <v>19</v>
      </c>
      <c r="B38" t="s">
        <v>256</v>
      </c>
      <c r="C38" t="s">
        <v>257</v>
      </c>
    </row>
    <row r="39" spans="1:3" x14ac:dyDescent="0.25">
      <c r="A39" t="s">
        <v>45</v>
      </c>
      <c r="B39" s="77">
        <v>1</v>
      </c>
      <c r="C39" s="86">
        <v>5.7142857142857143E-3</v>
      </c>
    </row>
    <row r="40" spans="1:3" x14ac:dyDescent="0.25">
      <c r="A40" t="s">
        <v>51</v>
      </c>
      <c r="B40" s="77">
        <v>134</v>
      </c>
      <c r="C40" s="86">
        <v>0.76571428571428568</v>
      </c>
    </row>
    <row r="41" spans="1:3" x14ac:dyDescent="0.25">
      <c r="A41" t="s">
        <v>53</v>
      </c>
      <c r="B41" s="77">
        <v>15</v>
      </c>
      <c r="C41" s="86">
        <v>8.5714285714285715E-2</v>
      </c>
    </row>
    <row r="42" spans="1:3" x14ac:dyDescent="0.25">
      <c r="A42" t="s">
        <v>48</v>
      </c>
      <c r="B42" s="77">
        <v>25</v>
      </c>
      <c r="C42" s="86">
        <v>0.14285714285714285</v>
      </c>
    </row>
    <row r="43" spans="1:3" x14ac:dyDescent="0.25">
      <c r="A43" t="s">
        <v>216</v>
      </c>
      <c r="B43" s="77">
        <v>175</v>
      </c>
      <c r="C43" s="86">
        <v>1</v>
      </c>
    </row>
    <row r="44" spans="1:3" x14ac:dyDescent="0.25">
      <c r="C44"/>
    </row>
    <row r="45" spans="1:3" x14ac:dyDescent="0.25">
      <c r="C45"/>
    </row>
    <row r="46" spans="1:3" x14ac:dyDescent="0.25">
      <c r="C46"/>
    </row>
    <row r="47" spans="1:3" x14ac:dyDescent="0.25">
      <c r="C47"/>
    </row>
    <row r="48" spans="1:3" x14ac:dyDescent="0.25">
      <c r="C48"/>
    </row>
    <row r="49" spans="3:3" x14ac:dyDescent="0.25">
      <c r="C49"/>
    </row>
    <row r="50" spans="3:3" x14ac:dyDescent="0.25">
      <c r="C50"/>
    </row>
    <row r="51" spans="3:3" x14ac:dyDescent="0.25">
      <c r="C51"/>
    </row>
    <row r="52" spans="3:3" x14ac:dyDescent="0.25">
      <c r="C52"/>
    </row>
    <row r="53" spans="3:3" x14ac:dyDescent="0.25">
      <c r="C53"/>
    </row>
    <row r="54" spans="3:3" x14ac:dyDescent="0.25">
      <c r="C54"/>
    </row>
    <row r="55" spans="3:3" x14ac:dyDescent="0.25">
      <c r="C55"/>
    </row>
    <row r="56" spans="3:3" x14ac:dyDescent="0.25">
      <c r="C56"/>
    </row>
    <row r="57" spans="3:3" x14ac:dyDescent="0.25">
      <c r="C57"/>
    </row>
    <row r="58" spans="3:3" x14ac:dyDescent="0.25">
      <c r="C58"/>
    </row>
    <row r="59" spans="3:3" x14ac:dyDescent="0.25">
      <c r="C59"/>
    </row>
    <row r="60" spans="3:3" x14ac:dyDescent="0.25">
      <c r="C60"/>
    </row>
    <row r="61" spans="3:3" x14ac:dyDescent="0.25">
      <c r="C61"/>
    </row>
    <row r="62" spans="3:3" x14ac:dyDescent="0.25">
      <c r="C62"/>
    </row>
    <row r="63" spans="3:3" x14ac:dyDescent="0.25">
      <c r="C63"/>
    </row>
    <row r="64" spans="3:3" x14ac:dyDescent="0.25">
      <c r="C64"/>
    </row>
    <row r="65" spans="3:3" x14ac:dyDescent="0.25">
      <c r="C65"/>
    </row>
    <row r="66" spans="3:3" x14ac:dyDescent="0.25">
      <c r="C66"/>
    </row>
    <row r="67" spans="3:3" x14ac:dyDescent="0.25">
      <c r="C67"/>
    </row>
    <row r="68" spans="3:3" x14ac:dyDescent="0.25">
      <c r="C68"/>
    </row>
    <row r="69" spans="3:3" x14ac:dyDescent="0.25">
      <c r="C69"/>
    </row>
    <row r="70" spans="3:3" x14ac:dyDescent="0.25">
      <c r="C70"/>
    </row>
    <row r="71" spans="3:3" x14ac:dyDescent="0.25">
      <c r="C71"/>
    </row>
    <row r="72" spans="3:3" x14ac:dyDescent="0.25">
      <c r="C72"/>
    </row>
    <row r="73" spans="3:3" x14ac:dyDescent="0.25">
      <c r="C73"/>
    </row>
    <row r="74" spans="3:3" x14ac:dyDescent="0.25">
      <c r="C74"/>
    </row>
    <row r="75" spans="3:3" x14ac:dyDescent="0.25">
      <c r="C75"/>
    </row>
    <row r="76" spans="3:3" x14ac:dyDescent="0.25">
      <c r="C76"/>
    </row>
    <row r="77" spans="3:3" x14ac:dyDescent="0.25">
      <c r="C77"/>
    </row>
    <row r="78" spans="3:3" x14ac:dyDescent="0.25">
      <c r="C78"/>
    </row>
    <row r="79" spans="3:3" x14ac:dyDescent="0.25">
      <c r="C79"/>
    </row>
    <row r="80" spans="3:3" x14ac:dyDescent="0.25">
      <c r="C80"/>
    </row>
    <row r="81" spans="3:3" x14ac:dyDescent="0.25">
      <c r="C81"/>
    </row>
    <row r="82" spans="3:3" x14ac:dyDescent="0.25">
      <c r="C82"/>
    </row>
    <row r="83" spans="3:3" x14ac:dyDescent="0.25">
      <c r="C83"/>
    </row>
    <row r="84" spans="3:3" x14ac:dyDescent="0.25">
      <c r="C84"/>
    </row>
    <row r="85" spans="3:3" x14ac:dyDescent="0.25">
      <c r="C85"/>
    </row>
    <row r="86" spans="3:3" x14ac:dyDescent="0.25">
      <c r="C86"/>
    </row>
    <row r="87" spans="3:3" x14ac:dyDescent="0.25">
      <c r="C87"/>
    </row>
    <row r="88" spans="3:3" x14ac:dyDescent="0.25">
      <c r="C88"/>
    </row>
    <row r="89" spans="3:3" x14ac:dyDescent="0.25">
      <c r="C89"/>
    </row>
    <row r="90" spans="3:3" x14ac:dyDescent="0.25">
      <c r="C90"/>
    </row>
    <row r="91" spans="3:3" x14ac:dyDescent="0.25">
      <c r="C91"/>
    </row>
    <row r="92" spans="3:3" x14ac:dyDescent="0.25">
      <c r="C92"/>
    </row>
    <row r="93" spans="3:3" x14ac:dyDescent="0.25">
      <c r="C93"/>
    </row>
    <row r="94" spans="3:3" x14ac:dyDescent="0.25">
      <c r="C94"/>
    </row>
    <row r="95" spans="3:3" x14ac:dyDescent="0.25">
      <c r="C95"/>
    </row>
    <row r="96" spans="3:3" x14ac:dyDescent="0.25">
      <c r="C96"/>
    </row>
  </sheetData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10"/>
  <sheetViews>
    <sheetView workbookViewId="0">
      <selection activeCell="C16" sqref="C16"/>
    </sheetView>
  </sheetViews>
  <sheetFormatPr baseColWidth="10" defaultColWidth="11.42578125" defaultRowHeight="15" x14ac:dyDescent="0.25"/>
  <cols>
    <col min="6" max="6" width="25.5703125" bestFit="1" customWidth="1"/>
    <col min="8" max="8" width="12.28515625" bestFit="1" customWidth="1"/>
  </cols>
  <sheetData>
    <row r="1" spans="1:8" x14ac:dyDescent="0.25">
      <c r="A1" s="70" t="s">
        <v>21</v>
      </c>
      <c r="B1" s="72" t="s">
        <v>71</v>
      </c>
      <c r="D1" s="35" t="s">
        <v>61</v>
      </c>
      <c r="F1" s="35" t="s">
        <v>62</v>
      </c>
      <c r="H1" s="35" t="s">
        <v>29</v>
      </c>
    </row>
    <row r="2" spans="1:8" x14ac:dyDescent="0.25">
      <c r="A2" s="61" t="s">
        <v>60</v>
      </c>
      <c r="B2" s="71">
        <v>20</v>
      </c>
      <c r="D2" t="s">
        <v>53</v>
      </c>
      <c r="F2" t="s">
        <v>47</v>
      </c>
      <c r="H2" t="s">
        <v>63</v>
      </c>
    </row>
    <row r="3" spans="1:8" x14ac:dyDescent="0.25">
      <c r="A3" s="61" t="s">
        <v>59</v>
      </c>
      <c r="B3" s="71">
        <v>4.3</v>
      </c>
      <c r="D3" t="s">
        <v>51</v>
      </c>
      <c r="F3" t="s">
        <v>50</v>
      </c>
      <c r="H3" t="s">
        <v>64</v>
      </c>
    </row>
    <row r="4" spans="1:8" x14ac:dyDescent="0.25">
      <c r="A4" s="61" t="s">
        <v>58</v>
      </c>
      <c r="B4" s="71">
        <v>1.5</v>
      </c>
      <c r="D4" t="s">
        <v>48</v>
      </c>
    </row>
    <row r="5" spans="1:8" x14ac:dyDescent="0.25">
      <c r="A5" s="61" t="s">
        <v>57</v>
      </c>
      <c r="B5" s="71">
        <v>2</v>
      </c>
      <c r="D5" t="s">
        <v>45</v>
      </c>
    </row>
    <row r="6" spans="1:8" x14ac:dyDescent="0.25">
      <c r="A6" s="61" t="s">
        <v>56</v>
      </c>
      <c r="B6" s="71">
        <v>1</v>
      </c>
    </row>
    <row r="7" spans="1:8" x14ac:dyDescent="0.25">
      <c r="A7" s="61" t="s">
        <v>54</v>
      </c>
      <c r="B7" s="71">
        <f>1/2</f>
        <v>0.5</v>
      </c>
    </row>
    <row r="8" spans="1:8" x14ac:dyDescent="0.25">
      <c r="A8" s="61" t="s">
        <v>52</v>
      </c>
      <c r="B8" s="71">
        <v>0.33333333333333331</v>
      </c>
    </row>
    <row r="9" spans="1:8" x14ac:dyDescent="0.25">
      <c r="A9" s="61" t="s">
        <v>49</v>
      </c>
      <c r="B9" s="71">
        <v>0.16666666666666666</v>
      </c>
    </row>
    <row r="10" spans="1:8" x14ac:dyDescent="0.25">
      <c r="A10" s="61" t="s">
        <v>46</v>
      </c>
      <c r="B10" s="71">
        <v>8.3333333333333329E-2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3:D115"/>
  <sheetViews>
    <sheetView topLeftCell="A106" workbookViewId="0">
      <selection activeCell="B9" sqref="B9"/>
    </sheetView>
  </sheetViews>
  <sheetFormatPr baseColWidth="10" defaultRowHeight="15" x14ac:dyDescent="0.25"/>
  <cols>
    <col min="1" max="1" width="87.42578125" bestFit="1" customWidth="1"/>
    <col min="2" max="2" width="19.5703125" bestFit="1" customWidth="1"/>
    <col min="3" max="3" width="20.85546875" bestFit="1" customWidth="1"/>
  </cols>
  <sheetData>
    <row r="3" spans="1:4" x14ac:dyDescent="0.25">
      <c r="A3" s="76" t="s">
        <v>74</v>
      </c>
      <c r="B3" t="s">
        <v>217</v>
      </c>
    </row>
    <row r="4" spans="1:4" x14ac:dyDescent="0.25">
      <c r="A4" t="s">
        <v>131</v>
      </c>
      <c r="B4" s="77">
        <v>3800</v>
      </c>
      <c r="D4">
        <f>3800/60</f>
        <v>63.333333333333336</v>
      </c>
    </row>
    <row r="5" spans="1:4" x14ac:dyDescent="0.25">
      <c r="A5" t="s">
        <v>209</v>
      </c>
      <c r="B5" s="77">
        <v>3400</v>
      </c>
      <c r="D5">
        <f>D4/40</f>
        <v>1.5833333333333335</v>
      </c>
    </row>
    <row r="6" spans="1:4" x14ac:dyDescent="0.25">
      <c r="A6" t="s">
        <v>186</v>
      </c>
      <c r="B6" s="77">
        <v>3100</v>
      </c>
    </row>
    <row r="7" spans="1:4" x14ac:dyDescent="0.25">
      <c r="A7" t="s">
        <v>126</v>
      </c>
      <c r="B7" s="77">
        <v>2546.1999999999998</v>
      </c>
    </row>
    <row r="8" spans="1:4" x14ac:dyDescent="0.25">
      <c r="A8" t="s">
        <v>156</v>
      </c>
      <c r="B8" s="77">
        <v>2484</v>
      </c>
    </row>
    <row r="9" spans="1:4" x14ac:dyDescent="0.25">
      <c r="A9" t="s">
        <v>155</v>
      </c>
      <c r="B9" s="77">
        <v>2424</v>
      </c>
    </row>
    <row r="10" spans="1:4" x14ac:dyDescent="0.25">
      <c r="A10" t="s">
        <v>116</v>
      </c>
      <c r="B10" s="77">
        <v>2064</v>
      </c>
    </row>
    <row r="11" spans="1:4" x14ac:dyDescent="0.25">
      <c r="A11" t="s">
        <v>129</v>
      </c>
      <c r="B11" s="77">
        <v>1992</v>
      </c>
    </row>
    <row r="12" spans="1:4" x14ac:dyDescent="0.25">
      <c r="A12" t="s">
        <v>218</v>
      </c>
      <c r="B12" s="77">
        <v>1800</v>
      </c>
    </row>
    <row r="13" spans="1:4" x14ac:dyDescent="0.25">
      <c r="A13" t="s">
        <v>173</v>
      </c>
      <c r="B13" s="77">
        <v>1620</v>
      </c>
    </row>
    <row r="14" spans="1:4" x14ac:dyDescent="0.25">
      <c r="A14" t="s">
        <v>125</v>
      </c>
      <c r="B14" s="77">
        <v>1520</v>
      </c>
    </row>
    <row r="15" spans="1:4" x14ac:dyDescent="0.25">
      <c r="A15" t="s">
        <v>117</v>
      </c>
      <c r="B15" s="77">
        <v>1200</v>
      </c>
    </row>
    <row r="16" spans="1:4" x14ac:dyDescent="0.25">
      <c r="A16" t="s">
        <v>174</v>
      </c>
      <c r="B16" s="77">
        <v>1020</v>
      </c>
    </row>
    <row r="17" spans="1:2" x14ac:dyDescent="0.25">
      <c r="A17" t="s">
        <v>89</v>
      </c>
      <c r="B17" s="77">
        <v>980.4</v>
      </c>
    </row>
    <row r="18" spans="1:2" x14ac:dyDescent="0.25">
      <c r="A18" t="s">
        <v>149</v>
      </c>
      <c r="B18" s="77">
        <v>825.6</v>
      </c>
    </row>
    <row r="19" spans="1:2" x14ac:dyDescent="0.25">
      <c r="A19" t="s">
        <v>176</v>
      </c>
      <c r="B19" s="77">
        <v>784.5</v>
      </c>
    </row>
    <row r="20" spans="1:2" x14ac:dyDescent="0.25">
      <c r="A20" t="s">
        <v>128</v>
      </c>
      <c r="B20" s="77">
        <v>720</v>
      </c>
    </row>
    <row r="21" spans="1:2" x14ac:dyDescent="0.25">
      <c r="A21" t="s">
        <v>141</v>
      </c>
      <c r="B21" s="77">
        <v>651.6</v>
      </c>
    </row>
    <row r="22" spans="1:2" x14ac:dyDescent="0.25">
      <c r="A22" t="s">
        <v>175</v>
      </c>
      <c r="B22" s="77">
        <v>540</v>
      </c>
    </row>
    <row r="23" spans="1:2" x14ac:dyDescent="0.25">
      <c r="A23" t="s">
        <v>132</v>
      </c>
      <c r="B23" s="77">
        <v>420</v>
      </c>
    </row>
    <row r="24" spans="1:2" x14ac:dyDescent="0.25">
      <c r="A24" t="s">
        <v>202</v>
      </c>
      <c r="B24" s="77">
        <v>417</v>
      </c>
    </row>
    <row r="25" spans="1:2" x14ac:dyDescent="0.25">
      <c r="A25" t="s">
        <v>162</v>
      </c>
      <c r="B25" s="77">
        <v>387</v>
      </c>
    </row>
    <row r="26" spans="1:2" x14ac:dyDescent="0.25">
      <c r="A26" t="s">
        <v>161</v>
      </c>
      <c r="B26" s="77">
        <v>356.9</v>
      </c>
    </row>
    <row r="27" spans="1:2" x14ac:dyDescent="0.25">
      <c r="A27" t="s">
        <v>144</v>
      </c>
      <c r="B27" s="77">
        <v>340</v>
      </c>
    </row>
    <row r="28" spans="1:2" x14ac:dyDescent="0.25">
      <c r="A28" t="s">
        <v>134</v>
      </c>
      <c r="B28" s="77">
        <v>324</v>
      </c>
    </row>
    <row r="29" spans="1:2" x14ac:dyDescent="0.25">
      <c r="A29" t="s">
        <v>110</v>
      </c>
      <c r="B29" s="77">
        <v>318.2</v>
      </c>
    </row>
    <row r="30" spans="1:2" x14ac:dyDescent="0.25">
      <c r="A30" t="s">
        <v>140</v>
      </c>
      <c r="B30" s="77">
        <v>291.60000000000002</v>
      </c>
    </row>
    <row r="31" spans="1:2" x14ac:dyDescent="0.25">
      <c r="A31" t="s">
        <v>148</v>
      </c>
      <c r="B31" s="77">
        <v>272</v>
      </c>
    </row>
    <row r="32" spans="1:2" x14ac:dyDescent="0.25">
      <c r="A32" t="s">
        <v>139</v>
      </c>
      <c r="B32" s="77">
        <v>266.60000000000002</v>
      </c>
    </row>
    <row r="33" spans="1:2" x14ac:dyDescent="0.25">
      <c r="A33" t="s">
        <v>123</v>
      </c>
      <c r="B33" s="77">
        <v>260</v>
      </c>
    </row>
    <row r="34" spans="1:2" x14ac:dyDescent="0.25">
      <c r="A34" t="s">
        <v>127</v>
      </c>
      <c r="B34" s="77">
        <v>248</v>
      </c>
    </row>
    <row r="35" spans="1:2" x14ac:dyDescent="0.25">
      <c r="A35" t="s">
        <v>150</v>
      </c>
      <c r="B35" s="77">
        <v>245.1</v>
      </c>
    </row>
    <row r="36" spans="1:2" x14ac:dyDescent="0.25">
      <c r="A36" t="s">
        <v>120</v>
      </c>
      <c r="B36" s="77">
        <v>240</v>
      </c>
    </row>
    <row r="37" spans="1:2" x14ac:dyDescent="0.25">
      <c r="A37" t="s">
        <v>206</v>
      </c>
      <c r="B37" s="77">
        <v>235.5</v>
      </c>
    </row>
    <row r="38" spans="1:2" x14ac:dyDescent="0.25">
      <c r="A38" t="s">
        <v>138</v>
      </c>
      <c r="B38" s="77">
        <v>227.89999999999998</v>
      </c>
    </row>
    <row r="39" spans="1:2" x14ac:dyDescent="0.25">
      <c r="A39" t="s">
        <v>183</v>
      </c>
      <c r="B39" s="77">
        <v>218</v>
      </c>
    </row>
    <row r="40" spans="1:2" x14ac:dyDescent="0.25">
      <c r="A40" t="s">
        <v>208</v>
      </c>
      <c r="B40" s="77">
        <v>214</v>
      </c>
    </row>
    <row r="41" spans="1:2" x14ac:dyDescent="0.25">
      <c r="A41" t="s">
        <v>165</v>
      </c>
      <c r="B41" s="77">
        <v>202.1</v>
      </c>
    </row>
    <row r="42" spans="1:2" x14ac:dyDescent="0.25">
      <c r="A42" t="s">
        <v>152</v>
      </c>
      <c r="B42" s="77">
        <v>202.1</v>
      </c>
    </row>
    <row r="43" spans="1:2" x14ac:dyDescent="0.25">
      <c r="A43" t="s">
        <v>133</v>
      </c>
      <c r="B43" s="77">
        <v>200</v>
      </c>
    </row>
    <row r="44" spans="1:2" x14ac:dyDescent="0.25">
      <c r="A44" t="s">
        <v>167</v>
      </c>
      <c r="B44" s="77">
        <v>180.6</v>
      </c>
    </row>
    <row r="45" spans="1:2" x14ac:dyDescent="0.25">
      <c r="A45" t="s">
        <v>163</v>
      </c>
      <c r="B45" s="77">
        <v>180.6</v>
      </c>
    </row>
    <row r="46" spans="1:2" x14ac:dyDescent="0.25">
      <c r="A46" t="s">
        <v>136</v>
      </c>
      <c r="B46" s="77">
        <v>180</v>
      </c>
    </row>
    <row r="47" spans="1:2" x14ac:dyDescent="0.25">
      <c r="A47" t="s">
        <v>219</v>
      </c>
      <c r="B47" s="77">
        <v>180</v>
      </c>
    </row>
    <row r="48" spans="1:2" x14ac:dyDescent="0.25">
      <c r="A48" t="s">
        <v>147</v>
      </c>
      <c r="B48" s="77">
        <v>177</v>
      </c>
    </row>
    <row r="49" spans="1:2" x14ac:dyDescent="0.25">
      <c r="A49" t="s">
        <v>146</v>
      </c>
      <c r="B49" s="77">
        <v>177</v>
      </c>
    </row>
    <row r="50" spans="1:2" x14ac:dyDescent="0.25">
      <c r="A50" t="s">
        <v>181</v>
      </c>
      <c r="B50" s="77">
        <v>175</v>
      </c>
    </row>
    <row r="51" spans="1:2" x14ac:dyDescent="0.25">
      <c r="A51" t="s">
        <v>109</v>
      </c>
      <c r="B51" s="77">
        <v>167.7</v>
      </c>
    </row>
    <row r="52" spans="1:2" x14ac:dyDescent="0.25">
      <c r="A52" t="s">
        <v>115</v>
      </c>
      <c r="B52" s="77">
        <v>154.79999999999998</v>
      </c>
    </row>
    <row r="53" spans="1:2" x14ac:dyDescent="0.25">
      <c r="A53" t="s">
        <v>130</v>
      </c>
      <c r="B53" s="77">
        <v>152</v>
      </c>
    </row>
    <row r="54" spans="1:2" x14ac:dyDescent="0.25">
      <c r="A54" t="s">
        <v>178</v>
      </c>
      <c r="B54" s="77">
        <v>146.19999999999999</v>
      </c>
    </row>
    <row r="55" spans="1:2" x14ac:dyDescent="0.25">
      <c r="A55" t="s">
        <v>180</v>
      </c>
      <c r="B55" s="77">
        <v>146.19999999999999</v>
      </c>
    </row>
    <row r="56" spans="1:2" x14ac:dyDescent="0.25">
      <c r="A56" t="s">
        <v>207</v>
      </c>
      <c r="B56" s="77">
        <v>141</v>
      </c>
    </row>
    <row r="57" spans="1:2" x14ac:dyDescent="0.25">
      <c r="A57" t="s">
        <v>153</v>
      </c>
      <c r="B57" s="77">
        <v>137.6</v>
      </c>
    </row>
    <row r="58" spans="1:2" x14ac:dyDescent="0.25">
      <c r="A58" t="s">
        <v>154</v>
      </c>
      <c r="B58" s="77">
        <v>137.6</v>
      </c>
    </row>
    <row r="59" spans="1:2" x14ac:dyDescent="0.25">
      <c r="A59" t="s">
        <v>160</v>
      </c>
      <c r="B59" s="77">
        <v>137.6</v>
      </c>
    </row>
    <row r="60" spans="1:2" x14ac:dyDescent="0.25">
      <c r="A60" t="s">
        <v>151</v>
      </c>
      <c r="B60" s="77">
        <v>133.30000000000001</v>
      </c>
    </row>
    <row r="61" spans="1:2" x14ac:dyDescent="0.25">
      <c r="A61" t="s">
        <v>198</v>
      </c>
      <c r="B61" s="77">
        <v>130</v>
      </c>
    </row>
    <row r="62" spans="1:2" x14ac:dyDescent="0.25">
      <c r="A62" t="s">
        <v>215</v>
      </c>
      <c r="B62" s="77">
        <v>129</v>
      </c>
    </row>
    <row r="63" spans="1:2" x14ac:dyDescent="0.25">
      <c r="A63" t="s">
        <v>137</v>
      </c>
      <c r="B63" s="77">
        <v>129</v>
      </c>
    </row>
    <row r="64" spans="1:2" x14ac:dyDescent="0.25">
      <c r="A64" t="s">
        <v>169</v>
      </c>
      <c r="B64" s="77">
        <v>128</v>
      </c>
    </row>
    <row r="65" spans="1:2" x14ac:dyDescent="0.25">
      <c r="A65" t="s">
        <v>108</v>
      </c>
      <c r="B65" s="77">
        <v>120</v>
      </c>
    </row>
    <row r="66" spans="1:2" x14ac:dyDescent="0.25">
      <c r="A66" t="s">
        <v>159</v>
      </c>
      <c r="B66" s="77">
        <v>116.1</v>
      </c>
    </row>
    <row r="67" spans="1:2" x14ac:dyDescent="0.25">
      <c r="A67" t="s">
        <v>158</v>
      </c>
      <c r="B67" s="77">
        <v>116.1</v>
      </c>
    </row>
    <row r="68" spans="1:2" x14ac:dyDescent="0.25">
      <c r="A68" t="s">
        <v>157</v>
      </c>
      <c r="B68" s="77">
        <v>116.1</v>
      </c>
    </row>
    <row r="69" spans="1:2" x14ac:dyDescent="0.25">
      <c r="A69" t="s">
        <v>182</v>
      </c>
      <c r="B69" s="77">
        <v>110</v>
      </c>
    </row>
    <row r="70" spans="1:2" x14ac:dyDescent="0.25">
      <c r="A70" t="s">
        <v>179</v>
      </c>
      <c r="B70" s="77">
        <v>103.19999999999999</v>
      </c>
    </row>
    <row r="71" spans="1:2" x14ac:dyDescent="0.25">
      <c r="A71" t="s">
        <v>119</v>
      </c>
      <c r="B71" s="77">
        <v>100</v>
      </c>
    </row>
    <row r="72" spans="1:2" x14ac:dyDescent="0.25">
      <c r="A72" t="s">
        <v>210</v>
      </c>
      <c r="B72" s="77">
        <v>98.899999999999991</v>
      </c>
    </row>
    <row r="73" spans="1:2" x14ac:dyDescent="0.25">
      <c r="A73" t="s">
        <v>166</v>
      </c>
      <c r="B73" s="77">
        <v>98.899999999999991</v>
      </c>
    </row>
    <row r="74" spans="1:2" x14ac:dyDescent="0.25">
      <c r="A74" t="s">
        <v>201</v>
      </c>
      <c r="B74" s="77">
        <v>92.5</v>
      </c>
    </row>
    <row r="75" spans="1:2" x14ac:dyDescent="0.25">
      <c r="A75" t="s">
        <v>191</v>
      </c>
      <c r="B75" s="77">
        <v>92.5</v>
      </c>
    </row>
    <row r="76" spans="1:2" x14ac:dyDescent="0.25">
      <c r="A76" t="s">
        <v>211</v>
      </c>
      <c r="B76" s="77">
        <v>90.3</v>
      </c>
    </row>
    <row r="77" spans="1:2" x14ac:dyDescent="0.25">
      <c r="A77" t="s">
        <v>143</v>
      </c>
      <c r="B77" s="77">
        <v>90</v>
      </c>
    </row>
    <row r="78" spans="1:2" x14ac:dyDescent="0.25">
      <c r="A78" t="s">
        <v>185</v>
      </c>
      <c r="B78" s="77">
        <v>86</v>
      </c>
    </row>
    <row r="79" spans="1:2" x14ac:dyDescent="0.25">
      <c r="A79" t="s">
        <v>170</v>
      </c>
      <c r="B79" s="77">
        <v>73.099999999999994</v>
      </c>
    </row>
    <row r="80" spans="1:2" x14ac:dyDescent="0.25">
      <c r="A80" t="s">
        <v>197</v>
      </c>
      <c r="B80" s="77">
        <v>70</v>
      </c>
    </row>
    <row r="81" spans="1:2" x14ac:dyDescent="0.25">
      <c r="A81" t="s">
        <v>145</v>
      </c>
      <c r="B81" s="77">
        <v>68</v>
      </c>
    </row>
    <row r="82" spans="1:2" x14ac:dyDescent="0.25">
      <c r="A82" t="s">
        <v>135</v>
      </c>
      <c r="B82" s="77">
        <v>64</v>
      </c>
    </row>
    <row r="83" spans="1:2" x14ac:dyDescent="0.25">
      <c r="A83" t="s">
        <v>111</v>
      </c>
      <c r="B83" s="77">
        <v>60</v>
      </c>
    </row>
    <row r="84" spans="1:2" x14ac:dyDescent="0.25">
      <c r="A84" t="s">
        <v>124</v>
      </c>
      <c r="B84" s="77">
        <v>60</v>
      </c>
    </row>
    <row r="85" spans="1:2" x14ac:dyDescent="0.25">
      <c r="A85" t="s">
        <v>122</v>
      </c>
      <c r="B85" s="77">
        <v>60</v>
      </c>
    </row>
    <row r="86" spans="1:2" x14ac:dyDescent="0.25">
      <c r="A86" t="s">
        <v>200</v>
      </c>
      <c r="B86" s="77">
        <v>53</v>
      </c>
    </row>
    <row r="87" spans="1:2" x14ac:dyDescent="0.25">
      <c r="A87" t="s">
        <v>177</v>
      </c>
      <c r="B87" s="77">
        <v>51.599999999999994</v>
      </c>
    </row>
    <row r="88" spans="1:2" x14ac:dyDescent="0.25">
      <c r="A88" t="s">
        <v>196</v>
      </c>
      <c r="B88" s="77">
        <v>46</v>
      </c>
    </row>
    <row r="89" spans="1:2" x14ac:dyDescent="0.25">
      <c r="A89" t="s">
        <v>195</v>
      </c>
      <c r="B89" s="77">
        <v>46</v>
      </c>
    </row>
    <row r="90" spans="1:2" x14ac:dyDescent="0.25">
      <c r="A90" t="s">
        <v>113</v>
      </c>
      <c r="B90" s="77">
        <v>46</v>
      </c>
    </row>
    <row r="91" spans="1:2" x14ac:dyDescent="0.25">
      <c r="A91" t="s">
        <v>114</v>
      </c>
      <c r="B91" s="77">
        <v>46</v>
      </c>
    </row>
    <row r="92" spans="1:2" x14ac:dyDescent="0.25">
      <c r="A92" t="s">
        <v>204</v>
      </c>
      <c r="B92" s="77">
        <v>42</v>
      </c>
    </row>
    <row r="93" spans="1:2" x14ac:dyDescent="0.25">
      <c r="A93" t="s">
        <v>203</v>
      </c>
      <c r="B93" s="77">
        <v>40</v>
      </c>
    </row>
    <row r="94" spans="1:2" x14ac:dyDescent="0.25">
      <c r="A94" t="s">
        <v>189</v>
      </c>
      <c r="B94" s="77">
        <v>36</v>
      </c>
    </row>
    <row r="95" spans="1:2" x14ac:dyDescent="0.25">
      <c r="A95" t="s">
        <v>164</v>
      </c>
      <c r="B95" s="77">
        <v>34</v>
      </c>
    </row>
    <row r="96" spans="1:2" x14ac:dyDescent="0.25">
      <c r="A96" t="s">
        <v>190</v>
      </c>
      <c r="B96" s="77">
        <v>32.5</v>
      </c>
    </row>
    <row r="97" spans="1:2" x14ac:dyDescent="0.25">
      <c r="A97" t="s">
        <v>192</v>
      </c>
      <c r="B97" s="77">
        <v>32</v>
      </c>
    </row>
    <row r="98" spans="1:2" x14ac:dyDescent="0.25">
      <c r="A98" t="s">
        <v>220</v>
      </c>
      <c r="B98" s="77">
        <v>30</v>
      </c>
    </row>
    <row r="99" spans="1:2" x14ac:dyDescent="0.25">
      <c r="A99" t="s">
        <v>142</v>
      </c>
      <c r="B99" s="77">
        <v>30</v>
      </c>
    </row>
    <row r="100" spans="1:2" x14ac:dyDescent="0.25">
      <c r="A100" t="s">
        <v>184</v>
      </c>
      <c r="B100" s="77">
        <v>24</v>
      </c>
    </row>
    <row r="101" spans="1:2" x14ac:dyDescent="0.25">
      <c r="A101" t="s">
        <v>171</v>
      </c>
      <c r="B101" s="77">
        <v>23</v>
      </c>
    </row>
    <row r="102" spans="1:2" x14ac:dyDescent="0.25">
      <c r="A102" t="s">
        <v>172</v>
      </c>
      <c r="B102" s="77">
        <v>23</v>
      </c>
    </row>
    <row r="103" spans="1:2" x14ac:dyDescent="0.25">
      <c r="A103" t="s">
        <v>121</v>
      </c>
      <c r="B103" s="77">
        <v>20</v>
      </c>
    </row>
    <row r="104" spans="1:2" x14ac:dyDescent="0.25">
      <c r="A104" t="s">
        <v>199</v>
      </c>
      <c r="B104" s="77">
        <v>17</v>
      </c>
    </row>
    <row r="105" spans="1:2" x14ac:dyDescent="0.25">
      <c r="A105" t="s">
        <v>194</v>
      </c>
      <c r="B105" s="77">
        <v>15</v>
      </c>
    </row>
    <row r="106" spans="1:2" x14ac:dyDescent="0.25">
      <c r="A106" t="s">
        <v>205</v>
      </c>
      <c r="B106" s="77">
        <v>14</v>
      </c>
    </row>
    <row r="107" spans="1:2" x14ac:dyDescent="0.25">
      <c r="A107" t="s">
        <v>112</v>
      </c>
      <c r="B107" s="77">
        <v>12</v>
      </c>
    </row>
    <row r="108" spans="1:2" x14ac:dyDescent="0.25">
      <c r="A108" t="s">
        <v>118</v>
      </c>
      <c r="B108" s="77">
        <v>12</v>
      </c>
    </row>
    <row r="109" spans="1:2" x14ac:dyDescent="0.25">
      <c r="A109" t="s">
        <v>187</v>
      </c>
      <c r="B109" s="77">
        <v>10.833333333333332</v>
      </c>
    </row>
    <row r="110" spans="1:2" x14ac:dyDescent="0.25">
      <c r="A110" t="s">
        <v>212</v>
      </c>
      <c r="B110" s="77">
        <v>8.5</v>
      </c>
    </row>
    <row r="111" spans="1:2" x14ac:dyDescent="0.25">
      <c r="A111" t="s">
        <v>193</v>
      </c>
      <c r="B111" s="77">
        <v>6</v>
      </c>
    </row>
    <row r="112" spans="1:2" x14ac:dyDescent="0.25">
      <c r="A112" t="s">
        <v>188</v>
      </c>
      <c r="B112" s="77">
        <v>5.4166666666666661</v>
      </c>
    </row>
    <row r="113" spans="1:2" x14ac:dyDescent="0.25">
      <c r="A113" t="s">
        <v>168</v>
      </c>
      <c r="B113" s="77">
        <v>4.3</v>
      </c>
    </row>
    <row r="114" spans="1:2" x14ac:dyDescent="0.25">
      <c r="A114" t="s">
        <v>238</v>
      </c>
      <c r="B114" s="77">
        <v>1.9166666666666665</v>
      </c>
    </row>
    <row r="115" spans="1:2" x14ac:dyDescent="0.25">
      <c r="A115" t="s">
        <v>216</v>
      </c>
      <c r="B115" s="77">
        <v>45226.266666666656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3:H22"/>
  <sheetViews>
    <sheetView workbookViewId="0">
      <selection activeCell="D12" sqref="D12"/>
    </sheetView>
  </sheetViews>
  <sheetFormatPr baseColWidth="10" defaultRowHeight="15" x14ac:dyDescent="0.25"/>
  <cols>
    <col min="1" max="1" width="13.7109375" bestFit="1" customWidth="1"/>
    <col min="2" max="2" width="7.85546875" bestFit="1" customWidth="1"/>
    <col min="3" max="3" width="19.5703125" bestFit="1" customWidth="1"/>
    <col min="6" max="7" width="12" bestFit="1" customWidth="1"/>
    <col min="8" max="9" width="19.5703125" bestFit="1" customWidth="1"/>
  </cols>
  <sheetData>
    <row r="3" spans="1:8" x14ac:dyDescent="0.25">
      <c r="A3" s="76" t="s">
        <v>73</v>
      </c>
      <c r="B3" s="76" t="s">
        <v>74</v>
      </c>
      <c r="C3" t="s">
        <v>217</v>
      </c>
      <c r="F3" s="76" t="s">
        <v>19</v>
      </c>
      <c r="G3" s="76" t="s">
        <v>21</v>
      </c>
      <c r="H3" t="s">
        <v>217</v>
      </c>
    </row>
    <row r="4" spans="1:8" x14ac:dyDescent="0.25">
      <c r="A4" t="s">
        <v>259</v>
      </c>
      <c r="C4" s="77">
        <v>19421.76666666667</v>
      </c>
      <c r="F4" t="s">
        <v>45</v>
      </c>
      <c r="G4" t="s">
        <v>54</v>
      </c>
      <c r="H4" s="77">
        <v>8.5</v>
      </c>
    </row>
    <row r="5" spans="1:8" x14ac:dyDescent="0.25">
      <c r="A5" t="s">
        <v>260</v>
      </c>
      <c r="C5" s="77">
        <v>25804.5</v>
      </c>
      <c r="F5" t="s">
        <v>51</v>
      </c>
      <c r="G5" t="s">
        <v>46</v>
      </c>
      <c r="H5" s="77">
        <v>241.91666666666669</v>
      </c>
    </row>
    <row r="6" spans="1:8" x14ac:dyDescent="0.25">
      <c r="A6" t="s">
        <v>216</v>
      </c>
      <c r="C6" s="77">
        <v>45226.26666666667</v>
      </c>
      <c r="G6" t="s">
        <v>54</v>
      </c>
      <c r="H6" s="77">
        <v>316.5</v>
      </c>
    </row>
    <row r="7" spans="1:8" x14ac:dyDescent="0.25">
      <c r="G7" t="s">
        <v>60</v>
      </c>
      <c r="H7" s="77">
        <v>19700</v>
      </c>
    </row>
    <row r="8" spans="1:8" x14ac:dyDescent="0.25">
      <c r="G8" t="s">
        <v>56</v>
      </c>
      <c r="H8" s="77">
        <v>1186</v>
      </c>
    </row>
    <row r="9" spans="1:8" x14ac:dyDescent="0.25">
      <c r="G9" t="s">
        <v>57</v>
      </c>
      <c r="H9" s="77">
        <v>4100</v>
      </c>
    </row>
    <row r="10" spans="1:8" x14ac:dyDescent="0.25">
      <c r="G10" t="s">
        <v>59</v>
      </c>
      <c r="H10" s="77">
        <v>13828.800000000003</v>
      </c>
    </row>
    <row r="11" spans="1:8" x14ac:dyDescent="0.25">
      <c r="G11" t="s">
        <v>49</v>
      </c>
      <c r="H11" s="77">
        <v>1610.8333333333333</v>
      </c>
    </row>
    <row r="12" spans="1:8" x14ac:dyDescent="0.25">
      <c r="G12" t="s">
        <v>52</v>
      </c>
      <c r="H12" s="77">
        <v>80</v>
      </c>
    </row>
    <row r="13" spans="1:8" x14ac:dyDescent="0.25">
      <c r="F13" t="s">
        <v>53</v>
      </c>
      <c r="G13" t="s">
        <v>46</v>
      </c>
      <c r="H13" s="77">
        <v>45.416666666666664</v>
      </c>
    </row>
    <row r="14" spans="1:8" x14ac:dyDescent="0.25">
      <c r="G14" t="s">
        <v>56</v>
      </c>
      <c r="H14" s="77">
        <v>276</v>
      </c>
    </row>
    <row r="15" spans="1:8" x14ac:dyDescent="0.25">
      <c r="G15" t="s">
        <v>57</v>
      </c>
      <c r="H15" s="77">
        <v>160</v>
      </c>
    </row>
    <row r="16" spans="1:8" x14ac:dyDescent="0.25">
      <c r="G16" t="s">
        <v>59</v>
      </c>
      <c r="H16" s="77">
        <v>696.6</v>
      </c>
    </row>
    <row r="17" spans="6:8" x14ac:dyDescent="0.25">
      <c r="G17" t="s">
        <v>52</v>
      </c>
      <c r="H17" s="77">
        <v>14</v>
      </c>
    </row>
    <row r="18" spans="6:8" x14ac:dyDescent="0.25">
      <c r="F18" t="s">
        <v>48</v>
      </c>
      <c r="G18" t="s">
        <v>60</v>
      </c>
      <c r="H18" s="77">
        <v>300</v>
      </c>
    </row>
    <row r="19" spans="6:8" x14ac:dyDescent="0.25">
      <c r="G19" t="s">
        <v>56</v>
      </c>
      <c r="H19" s="77">
        <v>587</v>
      </c>
    </row>
    <row r="20" spans="6:8" x14ac:dyDescent="0.25">
      <c r="G20" t="s">
        <v>57</v>
      </c>
      <c r="H20" s="77">
        <v>1004</v>
      </c>
    </row>
    <row r="21" spans="6:8" x14ac:dyDescent="0.25">
      <c r="G21" t="s">
        <v>59</v>
      </c>
      <c r="H21" s="77">
        <v>1070.7</v>
      </c>
    </row>
    <row r="22" spans="6:8" x14ac:dyDescent="0.25">
      <c r="F22" t="s">
        <v>216</v>
      </c>
      <c r="H22" s="77">
        <v>45226.26666666667</v>
      </c>
    </row>
  </sheetData>
  <pageMargins left="0.7" right="0.7" top="0.75" bottom="0.75" header="0.3" footer="0.3"/>
  <pageSetup orientation="portrait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Z2"/>
  <sheetViews>
    <sheetView workbookViewId="0">
      <selection activeCell="B1" sqref="B1"/>
    </sheetView>
  </sheetViews>
  <sheetFormatPr baseColWidth="10" defaultRowHeight="15" x14ac:dyDescent="0.25"/>
  <sheetData>
    <row r="1" spans="1:26" ht="75" x14ac:dyDescent="0.25">
      <c r="A1" s="65" t="s">
        <v>65</v>
      </c>
      <c r="B1" s="65" t="s">
        <v>66</v>
      </c>
      <c r="C1" s="65" t="s">
        <v>67</v>
      </c>
      <c r="D1" s="65" t="s">
        <v>45</v>
      </c>
      <c r="E1" s="65" t="s">
        <v>48</v>
      </c>
      <c r="F1" s="65" t="s">
        <v>51</v>
      </c>
      <c r="G1" s="65" t="s">
        <v>53</v>
      </c>
      <c r="H1" s="65" t="s">
        <v>46</v>
      </c>
      <c r="I1" s="65" t="s">
        <v>49</v>
      </c>
      <c r="J1" s="65" t="s">
        <v>52</v>
      </c>
      <c r="K1" s="65" t="s">
        <v>54</v>
      </c>
      <c r="L1" s="65" t="s">
        <v>56</v>
      </c>
      <c r="M1" s="65" t="s">
        <v>57</v>
      </c>
      <c r="N1" s="65" t="s">
        <v>58</v>
      </c>
      <c r="O1" s="65" t="s">
        <v>59</v>
      </c>
      <c r="P1" s="65" t="s">
        <v>60</v>
      </c>
      <c r="Q1" s="65" t="s">
        <v>47</v>
      </c>
      <c r="R1" s="65" t="s">
        <v>50</v>
      </c>
      <c r="S1" s="65" t="s">
        <v>44</v>
      </c>
      <c r="T1" s="65" t="s">
        <v>68</v>
      </c>
      <c r="U1" s="65" t="s">
        <v>69</v>
      </c>
      <c r="V1" s="65" t="s">
        <v>70</v>
      </c>
      <c r="W1" s="65" t="s">
        <v>8</v>
      </c>
      <c r="X1" s="65" t="s">
        <v>10</v>
      </c>
      <c r="Y1" s="65" t="s">
        <v>11</v>
      </c>
      <c r="Z1" s="65" t="s">
        <v>13</v>
      </c>
    </row>
    <row r="2" spans="1:26" x14ac:dyDescent="0.25">
      <c r="A2" s="66">
        <f>Resumen!F5</f>
        <v>5.2193490785471468</v>
      </c>
      <c r="B2" s="66">
        <f>Resumen!F6</f>
        <v>4.175479262837718</v>
      </c>
      <c r="C2" s="66">
        <f>Resumen!F3</f>
        <v>2</v>
      </c>
      <c r="D2" s="67">
        <f>Resumen!D11</f>
        <v>5.7142857142857143E-3</v>
      </c>
      <c r="E2" s="67">
        <f>Resumen!D12</f>
        <v>0.14285714285714285</v>
      </c>
      <c r="F2" s="67">
        <f>Resumen!D13</f>
        <v>0.76571428571428568</v>
      </c>
      <c r="G2" s="67">
        <f>Resumen!D14</f>
        <v>8.5714285714285715E-2</v>
      </c>
      <c r="H2" s="67">
        <f>Resumen!$K$11</f>
        <v>4.5714285714285714E-2</v>
      </c>
      <c r="I2" s="67">
        <f>Resumen!$K$12</f>
        <v>2.8571428571428571E-2</v>
      </c>
      <c r="J2" s="67">
        <f>Resumen!$K$13</f>
        <v>1.1428571428571429E-2</v>
      </c>
      <c r="K2" s="67">
        <f>Resumen!$K$14</f>
        <v>6.2857142857142861E-2</v>
      </c>
      <c r="L2" s="67">
        <f>Resumen!$K$15</f>
        <v>0.17142857142857143</v>
      </c>
      <c r="M2" s="67">
        <f>Resumen!$K$16</f>
        <v>0.17714285714285713</v>
      </c>
      <c r="N2" s="67">
        <f>Resumen!$K$17</f>
        <v>0</v>
      </c>
      <c r="O2" s="67">
        <f>Resumen!$K$18</f>
        <v>0.4</v>
      </c>
      <c r="P2" s="67">
        <f>Resumen!$K$19</f>
        <v>0.10285714285714286</v>
      </c>
      <c r="Q2" s="67">
        <f>Resumen!S11</f>
        <v>8.5714285714285715E-2</v>
      </c>
      <c r="R2" s="67">
        <f>Resumen!S12</f>
        <v>0.91428571428571426</v>
      </c>
      <c r="S2" s="66">
        <f>Resumen!J6</f>
        <v>-51.543152454780376</v>
      </c>
      <c r="T2" s="66">
        <f>COUNTIF(Cargo!$R$15:$R$189,"Si")</f>
        <v>120</v>
      </c>
      <c r="U2" s="68">
        <f>SUMIFS(Cargo!$N$15:$N$189,Cargo!$R$15:$R$189,"Si")</f>
        <v>0.68798220503129492</v>
      </c>
      <c r="V2" s="69">
        <f>Cargo!H5</f>
        <v>1.937984496124031E-2</v>
      </c>
      <c r="W2" s="69">
        <f>Cargo!H6</f>
        <v>1.937984496124031E-2</v>
      </c>
      <c r="X2" s="69">
        <f>Cargo!H7</f>
        <v>5.8139534883720936E-2</v>
      </c>
      <c r="Y2" s="69">
        <f>Cargo!H8</f>
        <v>3.1007751937984496E-2</v>
      </c>
      <c r="Z2" s="69">
        <f>Cargo!H9</f>
        <v>6.9767441860465115E-2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18CC4A6B96B146B25B2112AA9DE82E" ma:contentTypeVersion="2" ma:contentTypeDescription="Crear nuevo documento." ma:contentTypeScope="" ma:versionID="59481fea2f21014c41e9e90a2adcfa12">
  <xsd:schema xmlns:xsd="http://www.w3.org/2001/XMLSchema" xmlns:xs="http://www.w3.org/2001/XMLSchema" xmlns:p="http://schemas.microsoft.com/office/2006/metadata/properties" xmlns:ns2="7eae848c-68da-41a6-a94e-f7dbd0132f08" targetNamespace="http://schemas.microsoft.com/office/2006/metadata/properties" ma:root="true" ma:fieldsID="0f3d6cf8db9fb2be036b6466f78a6775" ns2:_="">
    <xsd:import namespace="7eae848c-68da-41a6-a94e-f7dbd0132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e848c-68da-41a6-a94e-f7dbd0132f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2BCF54-E351-4EB5-A834-56710BAE95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D01B8E-85B5-41CE-AE27-F226160BC6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e848c-68da-41a6-a94e-f7dbd0132f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504438-8CCF-4338-A9C7-2E38A029BB2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eae848c-68da-41a6-a94e-f7dbd0132f0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Cargo</vt:lpstr>
      <vt:lpstr>Resumen</vt:lpstr>
      <vt:lpstr>x Macro actividad</vt:lpstr>
      <vt:lpstr>Combos</vt:lpstr>
      <vt:lpstr>x tarea</vt:lpstr>
      <vt:lpstr>Mas Datos</vt:lpstr>
      <vt:lpstr>BD</vt:lpstr>
      <vt:lpstr>Seguimiento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HP</cp:lastModifiedBy>
  <cp:revision/>
  <dcterms:created xsi:type="dcterms:W3CDTF">2017-10-24T22:07:53Z</dcterms:created>
  <dcterms:modified xsi:type="dcterms:W3CDTF">2023-01-28T19:07:28Z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0x010100FE18CC4A6B96B146B25B2112AA9DE82E</vt:lpwstr>
  </property>
</Properties>
</file>