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ersonal\ProyectoPracticas\"/>
    </mc:Choice>
  </mc:AlternateContent>
  <xr:revisionPtr revIDLastSave="0" documentId="13_ncr:1_{84D2065F-58D5-4633-80D6-A5179F3F73A5}" xr6:coauthVersionLast="47" xr6:coauthVersionMax="47" xr10:uidLastSave="{00000000-0000-0000-0000-000000000000}"/>
  <bookViews>
    <workbookView xWindow="-108" yWindow="-108" windowWidth="23256" windowHeight="12456" xr2:uid="{6172AF32-E87A-460A-B0BE-F704CCEDB90B}"/>
  </bookViews>
  <sheets>
    <sheet name="Tablero de control" sheetId="3" r:id="rId1"/>
    <sheet name="Datos" sheetId="1" r:id="rId2"/>
    <sheet name="Listas" sheetId="2" r:id="rId3"/>
    <sheet name="Proveedores" sheetId="4" r:id="rId4"/>
    <sheet name="Proyecciones" sheetId="9" r:id="rId5"/>
    <sheet name="Formato" sheetId="10" state="hidden" r:id="rId6"/>
  </sheets>
  <definedNames>
    <definedName name="_xlnm._FilterDatabase" localSheetId="4" hidden="1">Proyecciones!$A$3:$H$134</definedName>
    <definedName name="CAH">Proveedores!$A$37:$B$79</definedName>
    <definedName name="Celsius">Proveedores!$A$4:$B$32</definedName>
    <definedName name="Doxa">Proveedores!$D$4:$E$28</definedName>
    <definedName name="Mebicol">Proveedores!#REF!</definedName>
    <definedName name="NA">Proveedores!$A$86:$B$135</definedName>
    <definedName name="Precision">Proveedores!$D$37:$E$76</definedName>
    <definedName name="Zoser">Proveedores!$G$37:$H$43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9" l="1"/>
  <c r="N47" i="9"/>
  <c r="N48" i="9"/>
  <c r="N49" i="9"/>
  <c r="N50" i="9"/>
  <c r="N51" i="9"/>
  <c r="N45" i="9"/>
  <c r="N6" i="9"/>
  <c r="N7" i="9"/>
  <c r="N8" i="9"/>
  <c r="N9" i="9"/>
  <c r="N10" i="9"/>
  <c r="N11" i="9"/>
  <c r="N12" i="9"/>
  <c r="N5" i="9"/>
  <c r="L46" i="9"/>
  <c r="L47" i="9"/>
  <c r="L48" i="9"/>
  <c r="L49" i="9"/>
  <c r="L50" i="9"/>
  <c r="L51" i="9"/>
  <c r="L45" i="9"/>
  <c r="M46" i="9"/>
  <c r="M47" i="9"/>
  <c r="M48" i="9"/>
  <c r="M49" i="9"/>
  <c r="M50" i="9"/>
  <c r="M51" i="9"/>
  <c r="M45" i="9"/>
  <c r="F217" i="9"/>
  <c r="F205" i="9"/>
  <c r="F218" i="9"/>
  <c r="G218" i="9" s="1"/>
  <c r="F203" i="9"/>
  <c r="F216" i="9"/>
  <c r="F215" i="9"/>
  <c r="G215" i="9" s="1"/>
  <c r="F200" i="9"/>
  <c r="F214" i="9"/>
  <c r="G214" i="9" s="1"/>
  <c r="F213" i="9"/>
  <c r="F212" i="9"/>
  <c r="F211" i="9"/>
  <c r="F210" i="9"/>
  <c r="F209" i="9"/>
  <c r="F208" i="9"/>
  <c r="G208" i="9" s="1"/>
  <c r="F207" i="9"/>
  <c r="F206" i="9"/>
  <c r="F204" i="9"/>
  <c r="F202" i="9"/>
  <c r="F201" i="9"/>
  <c r="F199" i="9"/>
  <c r="G199" i="9" s="1"/>
  <c r="F198" i="9"/>
  <c r="G198" i="9" s="1"/>
  <c r="F197" i="9"/>
  <c r="F196" i="9"/>
  <c r="F183" i="9"/>
  <c r="F195" i="9"/>
  <c r="F194" i="9"/>
  <c r="F193" i="9"/>
  <c r="F192" i="9"/>
  <c r="F191" i="9"/>
  <c r="G191" i="9" s="1"/>
  <c r="F190" i="9"/>
  <c r="F189" i="9"/>
  <c r="F188" i="9"/>
  <c r="F187" i="9"/>
  <c r="F186" i="9"/>
  <c r="G186" i="9" s="1"/>
  <c r="F185" i="9"/>
  <c r="G185" i="9" s="1"/>
  <c r="F184" i="9"/>
  <c r="G184" i="9" s="1"/>
  <c r="F182" i="9"/>
  <c r="F171" i="9"/>
  <c r="F181" i="9"/>
  <c r="G181" i="9" s="1"/>
  <c r="F180" i="9"/>
  <c r="G180" i="9" s="1"/>
  <c r="F179" i="9"/>
  <c r="F176" i="9"/>
  <c r="G176" i="9" s="1"/>
  <c r="F163" i="9"/>
  <c r="F175" i="9"/>
  <c r="F174" i="9"/>
  <c r="F173" i="9"/>
  <c r="F172" i="9"/>
  <c r="F168" i="9"/>
  <c r="F170" i="9"/>
  <c r="F169" i="9"/>
  <c r="F167" i="9"/>
  <c r="F160" i="9"/>
  <c r="F156" i="9"/>
  <c r="F140" i="9"/>
  <c r="F141" i="9"/>
  <c r="F142" i="9"/>
  <c r="F143" i="9"/>
  <c r="F144" i="9"/>
  <c r="G144" i="9" s="1"/>
  <c r="F145" i="9"/>
  <c r="G145" i="9" s="1"/>
  <c r="F146" i="9"/>
  <c r="G146" i="9" s="1"/>
  <c r="F147" i="9"/>
  <c r="F148" i="9"/>
  <c r="F149" i="9"/>
  <c r="F166" i="9"/>
  <c r="G166" i="9" s="1"/>
  <c r="F150" i="9"/>
  <c r="F151" i="9"/>
  <c r="F152" i="9"/>
  <c r="F153" i="9"/>
  <c r="F154" i="9"/>
  <c r="F155" i="9"/>
  <c r="F157" i="9"/>
  <c r="F158" i="9"/>
  <c r="F159" i="9"/>
  <c r="F161" i="9"/>
  <c r="G161" i="9" s="1"/>
  <c r="F162" i="9"/>
  <c r="F164" i="9"/>
  <c r="F165" i="9"/>
  <c r="G165" i="9" s="1"/>
  <c r="F178" i="9"/>
  <c r="F139" i="9"/>
  <c r="F133" i="9"/>
  <c r="F132" i="9"/>
  <c r="F131" i="9"/>
  <c r="F130" i="9"/>
  <c r="F129" i="9"/>
  <c r="F128" i="9"/>
  <c r="F127" i="9"/>
  <c r="F126" i="9"/>
  <c r="F125" i="9"/>
  <c r="F124" i="9"/>
  <c r="F27" i="9"/>
  <c r="F123" i="9"/>
  <c r="G123" i="9" s="1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G108" i="9" s="1"/>
  <c r="F107" i="9"/>
  <c r="F106" i="9"/>
  <c r="B177" i="1"/>
  <c r="C177" i="1"/>
  <c r="B172" i="1"/>
  <c r="C172" i="1"/>
  <c r="B173" i="1"/>
  <c r="C173" i="1"/>
  <c r="B174" i="1"/>
  <c r="C174" i="1"/>
  <c r="B175" i="1"/>
  <c r="C175" i="1"/>
  <c r="B176" i="1"/>
  <c r="C176" i="1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G92" i="9" s="1"/>
  <c r="F91" i="9"/>
  <c r="G91" i="9" s="1"/>
  <c r="F90" i="9"/>
  <c r="F89" i="9"/>
  <c r="F88" i="9"/>
  <c r="F87" i="9"/>
  <c r="F86" i="9"/>
  <c r="F85" i="9"/>
  <c r="F84" i="9"/>
  <c r="F83" i="9"/>
  <c r="F82" i="9"/>
  <c r="F81" i="9"/>
  <c r="F80" i="9"/>
  <c r="G80" i="9" s="1"/>
  <c r="G67" i="9"/>
  <c r="F79" i="9"/>
  <c r="F78" i="9"/>
  <c r="F44" i="9"/>
  <c r="F77" i="9"/>
  <c r="G77" i="9" s="1"/>
  <c r="F76" i="9"/>
  <c r="F75" i="9"/>
  <c r="F74" i="9"/>
  <c r="F73" i="9"/>
  <c r="F72" i="9"/>
  <c r="F71" i="9"/>
  <c r="F70" i="9"/>
  <c r="F69" i="9"/>
  <c r="F68" i="9"/>
  <c r="F67" i="9"/>
  <c r="F66" i="9"/>
  <c r="F65" i="9"/>
  <c r="F35" i="9"/>
  <c r="F34" i="9"/>
  <c r="F33" i="9"/>
  <c r="F32" i="9"/>
  <c r="F31" i="9"/>
  <c r="F30" i="9"/>
  <c r="F29" i="9"/>
  <c r="F38" i="9"/>
  <c r="F37" i="9"/>
  <c r="F36" i="9"/>
  <c r="P176" i="1"/>
  <c r="P175" i="1"/>
  <c r="P177" i="1"/>
  <c r="P173" i="1"/>
  <c r="P174" i="1"/>
  <c r="J177" i="1"/>
  <c r="J174" i="1"/>
  <c r="J172" i="1"/>
  <c r="J173" i="1"/>
  <c r="J176" i="1"/>
  <c r="P172" i="1"/>
  <c r="J175" i="1"/>
  <c r="G209" i="9" l="1"/>
  <c r="H208" i="9" s="1"/>
  <c r="M11" i="9" s="1"/>
  <c r="G204" i="9"/>
  <c r="G196" i="9"/>
  <c r="G200" i="9"/>
  <c r="G193" i="9"/>
  <c r="H191" i="9" s="1"/>
  <c r="M9" i="9" s="1"/>
  <c r="G202" i="9"/>
  <c r="G206" i="9"/>
  <c r="H198" i="9" s="1"/>
  <c r="M10" i="9" s="1"/>
  <c r="G167" i="9"/>
  <c r="G187" i="9"/>
  <c r="G182" i="9"/>
  <c r="G189" i="9"/>
  <c r="G169" i="9"/>
  <c r="G178" i="9"/>
  <c r="G173" i="9"/>
  <c r="G171" i="9"/>
  <c r="G159" i="9"/>
  <c r="G142" i="9"/>
  <c r="G139" i="9"/>
  <c r="G147" i="9"/>
  <c r="G162" i="9"/>
  <c r="G150" i="9"/>
  <c r="G104" i="9"/>
  <c r="G106" i="9"/>
  <c r="H106" i="9" s="1"/>
  <c r="L10" i="9" s="1"/>
  <c r="G78" i="9"/>
  <c r="H67" i="9" s="1"/>
  <c r="L8" i="9" s="1"/>
  <c r="G85" i="9"/>
  <c r="G93" i="9"/>
  <c r="G65" i="9"/>
  <c r="G102" i="9"/>
  <c r="G95" i="9"/>
  <c r="G81" i="9"/>
  <c r="G89" i="9"/>
  <c r="G124" i="9"/>
  <c r="G83" i="9"/>
  <c r="G127" i="9"/>
  <c r="G97" i="9"/>
  <c r="G118" i="9"/>
  <c r="G87" i="9"/>
  <c r="G109" i="9"/>
  <c r="Q174" i="1"/>
  <c r="Q173" i="1"/>
  <c r="Q177" i="1"/>
  <c r="Q175" i="1"/>
  <c r="Q176" i="1"/>
  <c r="Q172" i="1"/>
  <c r="K177" i="1"/>
  <c r="K172" i="1"/>
  <c r="K173" i="1"/>
  <c r="K174" i="1"/>
  <c r="K175" i="1"/>
  <c r="K176" i="1"/>
  <c r="G29" i="9"/>
  <c r="G36" i="9"/>
  <c r="H36" i="9" s="1"/>
  <c r="L6" i="9" s="1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3" i="9"/>
  <c r="F42" i="9"/>
  <c r="F41" i="9"/>
  <c r="F40" i="9"/>
  <c r="F39" i="9"/>
  <c r="F28" i="9"/>
  <c r="F26" i="9"/>
  <c r="F25" i="9"/>
  <c r="G25" i="9" s="1"/>
  <c r="F24" i="9"/>
  <c r="F23" i="9"/>
  <c r="F22" i="9"/>
  <c r="F21" i="9"/>
  <c r="F20" i="9"/>
  <c r="F14" i="9"/>
  <c r="F15" i="9"/>
  <c r="F16" i="9"/>
  <c r="F17" i="9"/>
  <c r="F18" i="9"/>
  <c r="F19" i="9"/>
  <c r="F13" i="9"/>
  <c r="F5" i="9"/>
  <c r="F6" i="9"/>
  <c r="F7" i="9"/>
  <c r="F8" i="9"/>
  <c r="F9" i="9"/>
  <c r="F10" i="9"/>
  <c r="F11" i="9"/>
  <c r="F12" i="9"/>
  <c r="F4" i="9"/>
  <c r="J48" i="4"/>
  <c r="J49" i="4"/>
  <c r="J50" i="4"/>
  <c r="J51" i="4"/>
  <c r="J52" i="4"/>
  <c r="J53" i="4"/>
  <c r="J54" i="4"/>
  <c r="J55" i="4"/>
  <c r="J56" i="4"/>
  <c r="J57" i="4"/>
  <c r="J58" i="4"/>
  <c r="I59" i="4"/>
  <c r="H59" i="4"/>
  <c r="J59" i="4" s="1"/>
  <c r="B280" i="1"/>
  <c r="C280" i="1"/>
  <c r="B281" i="1"/>
  <c r="C281" i="1"/>
  <c r="B272" i="1"/>
  <c r="C272" i="1"/>
  <c r="B273" i="1"/>
  <c r="C273" i="1"/>
  <c r="B274" i="1"/>
  <c r="C274" i="1"/>
  <c r="B279" i="1"/>
  <c r="C279" i="1"/>
  <c r="C257" i="1"/>
  <c r="B257" i="1"/>
  <c r="B252" i="1"/>
  <c r="C252" i="1"/>
  <c r="B253" i="1"/>
  <c r="C253" i="1"/>
  <c r="B254" i="1"/>
  <c r="C254" i="1"/>
  <c r="B255" i="1"/>
  <c r="C255" i="1"/>
  <c r="B256" i="1"/>
  <c r="C256" i="1"/>
  <c r="B258" i="1"/>
  <c r="C258" i="1"/>
  <c r="B259" i="1"/>
  <c r="C259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35" i="1"/>
  <c r="C235" i="1"/>
  <c r="P244" i="1"/>
  <c r="J246" i="1"/>
  <c r="P250" i="1"/>
  <c r="P248" i="1"/>
  <c r="J272" i="1"/>
  <c r="J244" i="1"/>
  <c r="J273" i="1"/>
  <c r="J258" i="1"/>
  <c r="P251" i="1"/>
  <c r="J281" i="1"/>
  <c r="J237" i="1"/>
  <c r="P273" i="1"/>
  <c r="J279" i="1"/>
  <c r="J254" i="1"/>
  <c r="P258" i="1"/>
  <c r="P274" i="1"/>
  <c r="P272" i="1"/>
  <c r="P259" i="1"/>
  <c r="P255" i="1"/>
  <c r="P257" i="1"/>
  <c r="P243" i="1"/>
  <c r="P281" i="1"/>
  <c r="P245" i="1"/>
  <c r="J256" i="1"/>
  <c r="P246" i="1"/>
  <c r="P241" i="1"/>
  <c r="P277" i="1"/>
  <c r="P256" i="1"/>
  <c r="J259" i="1"/>
  <c r="J247" i="1"/>
  <c r="P253" i="1"/>
  <c r="J251" i="1"/>
  <c r="J238" i="1"/>
  <c r="J241" i="1"/>
  <c r="J235" i="1"/>
  <c r="J243" i="1"/>
  <c r="J280" i="1"/>
  <c r="P239" i="1"/>
  <c r="J257" i="1"/>
  <c r="J242" i="1"/>
  <c r="J239" i="1"/>
  <c r="J248" i="1"/>
  <c r="P254" i="1"/>
  <c r="P279" i="1"/>
  <c r="J249" i="1"/>
  <c r="P240" i="1"/>
  <c r="J252" i="1"/>
  <c r="P280" i="1"/>
  <c r="P237" i="1"/>
  <c r="P247" i="1"/>
  <c r="P275" i="1"/>
  <c r="P276" i="1"/>
  <c r="P278" i="1"/>
  <c r="P249" i="1"/>
  <c r="J245" i="1"/>
  <c r="J240" i="1"/>
  <c r="P242" i="1"/>
  <c r="P238" i="1"/>
  <c r="P252" i="1"/>
  <c r="J274" i="1"/>
  <c r="J253" i="1"/>
  <c r="J255" i="1"/>
  <c r="J250" i="1"/>
  <c r="T111" i="10" l="1" a="1"/>
  <c r="T111" i="10" s="1"/>
  <c r="T103" i="10" a="1"/>
  <c r="T103" i="10" s="1"/>
  <c r="T108" i="10" a="1"/>
  <c r="T108" i="10" s="1"/>
  <c r="T100" i="10" a="1"/>
  <c r="T100" i="10" s="1"/>
  <c r="T113" i="10" a="1"/>
  <c r="T113" i="10" s="1"/>
  <c r="T105" i="10" a="1"/>
  <c r="T105" i="10" s="1"/>
  <c r="T97" i="10" a="1"/>
  <c r="T97" i="10" s="1"/>
  <c r="T89" i="10" a="1"/>
  <c r="T89" i="10" s="1"/>
  <c r="T115" i="10" a="1"/>
  <c r="T115" i="10" s="1"/>
  <c r="T95" i="10" a="1"/>
  <c r="T95" i="10" s="1"/>
  <c r="U39" i="10" a="1"/>
  <c r="U39" i="10" s="1"/>
  <c r="U31" i="10" a="1"/>
  <c r="U31" i="10" s="1"/>
  <c r="U23" i="10" a="1"/>
  <c r="U23" i="10" s="1"/>
  <c r="T102" i="10" a="1"/>
  <c r="T102" i="10" s="1"/>
  <c r="T98" i="10" a="1"/>
  <c r="T98" i="10" s="1"/>
  <c r="T96" i="10" a="1"/>
  <c r="T96" i="10" s="1"/>
  <c r="U45" i="10" a="1"/>
  <c r="U45" i="10" s="1"/>
  <c r="T114" i="10" a="1"/>
  <c r="T114" i="10" s="1"/>
  <c r="T94" i="10" a="1"/>
  <c r="T94" i="10" s="1"/>
  <c r="T90" i="10" a="1"/>
  <c r="T90" i="10" s="1"/>
  <c r="T104" i="10" a="1"/>
  <c r="T104" i="10" s="1"/>
  <c r="T99" i="10" a="1"/>
  <c r="T99" i="10" s="1"/>
  <c r="U36" i="10" a="1"/>
  <c r="U36" i="10" s="1"/>
  <c r="U26" i="10" a="1"/>
  <c r="U26" i="10" s="1"/>
  <c r="T11" i="10" a="1"/>
  <c r="T11" i="10" s="1"/>
  <c r="U38" i="10" a="1"/>
  <c r="U38" i="10" s="1"/>
  <c r="T7" i="10" a="1"/>
  <c r="T7" i="10" s="1"/>
  <c r="U41" i="10" a="1"/>
  <c r="U41" i="10" s="1"/>
  <c r="U27" i="10" a="1"/>
  <c r="U27" i="10" s="1"/>
  <c r="T8" i="10" a="1"/>
  <c r="T8" i="10" s="1"/>
  <c r="T5" i="10" a="1"/>
  <c r="T5" i="10" s="1"/>
  <c r="U33" i="10" a="1"/>
  <c r="U33" i="10" s="1"/>
  <c r="T101" i="10" a="1"/>
  <c r="T101" i="10" s="1"/>
  <c r="T93" i="10" a="1"/>
  <c r="T93" i="10" s="1"/>
  <c r="T92" i="10" a="1"/>
  <c r="T92" i="10" s="1"/>
  <c r="T91" i="10" a="1"/>
  <c r="T91" i="10" s="1"/>
  <c r="U42" i="10" a="1"/>
  <c r="U42" i="10" s="1"/>
  <c r="U37" i="10" a="1"/>
  <c r="U37" i="10" s="1"/>
  <c r="U32" i="10" a="1"/>
  <c r="U32" i="10" s="1"/>
  <c r="U22" i="10" a="1"/>
  <c r="U22" i="10" s="1"/>
  <c r="T14" i="10" a="1"/>
  <c r="T14" i="10" s="1"/>
  <c r="T116" i="10" a="1"/>
  <c r="T116" i="10" s="1"/>
  <c r="T112" i="10" a="1"/>
  <c r="T112" i="10" s="1"/>
  <c r="U43" i="10" a="1"/>
  <c r="U43" i="10" s="1"/>
  <c r="U28" i="10" a="1"/>
  <c r="U28" i="10" s="1"/>
  <c r="T13" i="10" a="1"/>
  <c r="T13" i="10" s="1"/>
  <c r="T10" i="10" a="1"/>
  <c r="T10" i="10" s="1"/>
  <c r="T106" i="10" a="1"/>
  <c r="T106" i="10" s="1"/>
  <c r="U25" i="10" a="1"/>
  <c r="U25" i="10" s="1"/>
  <c r="T6" i="10" a="1"/>
  <c r="T6" i="10" s="1"/>
  <c r="U44" i="10" a="1"/>
  <c r="U44" i="10" s="1"/>
  <c r="T110" i="10" a="1"/>
  <c r="T110" i="10" s="1"/>
  <c r="T107" i="10" a="1"/>
  <c r="T107" i="10" s="1"/>
  <c r="U34" i="10" a="1"/>
  <c r="U34" i="10" s="1"/>
  <c r="U30" i="10" a="1"/>
  <c r="U30" i="10" s="1"/>
  <c r="T12" i="10" a="1"/>
  <c r="T12" i="10" s="1"/>
  <c r="U40" i="10" a="1"/>
  <c r="U40" i="10" s="1"/>
  <c r="T109" i="10" a="1"/>
  <c r="T109" i="10" s="1"/>
  <c r="U29" i="10" a="1"/>
  <c r="U29" i="10" s="1"/>
  <c r="T4" i="10" a="1"/>
  <c r="T4" i="10" s="1"/>
  <c r="T9" i="10" a="1"/>
  <c r="T9" i="10" s="1"/>
  <c r="U35" i="10" a="1"/>
  <c r="U35" i="10" s="1"/>
  <c r="U24" i="10" a="1"/>
  <c r="U24" i="10" s="1"/>
  <c r="U114" i="10" a="1"/>
  <c r="U114" i="10" s="1"/>
  <c r="U116" i="10" a="1"/>
  <c r="U116" i="10" s="1"/>
  <c r="U115" i="10" a="1"/>
  <c r="U115" i="10" s="1"/>
  <c r="U113" i="10" a="1"/>
  <c r="U113" i="10" s="1"/>
  <c r="U105" i="10" a="1"/>
  <c r="U105" i="10" s="1"/>
  <c r="U110" i="10" a="1"/>
  <c r="U110" i="10" s="1"/>
  <c r="U102" i="10" a="1"/>
  <c r="U102" i="10" s="1"/>
  <c r="U94" i="10" a="1"/>
  <c r="U94" i="10" s="1"/>
  <c r="U107" i="10" a="1"/>
  <c r="U107" i="10" s="1"/>
  <c r="U99" i="10" a="1"/>
  <c r="U99" i="10" s="1"/>
  <c r="U91" i="10" a="1"/>
  <c r="U91" i="10" s="1"/>
  <c r="U104" i="10" a="1"/>
  <c r="U104" i="10" s="1"/>
  <c r="U103" i="10" a="1"/>
  <c r="U103" i="10" s="1"/>
  <c r="U95" i="10" a="1"/>
  <c r="U95" i="10" s="1"/>
  <c r="U93" i="10" a="1"/>
  <c r="U93" i="10" s="1"/>
  <c r="U89" i="10" a="1"/>
  <c r="U89" i="10" s="1"/>
  <c r="U81" i="10" a="1"/>
  <c r="U81" i="10" s="1"/>
  <c r="U111" i="10" a="1"/>
  <c r="U111" i="10" s="1"/>
  <c r="U101" i="10" a="1"/>
  <c r="U101" i="10" s="1"/>
  <c r="U100" i="10" a="1"/>
  <c r="U100" i="10" s="1"/>
  <c r="U92" i="10" a="1"/>
  <c r="U92" i="10" s="1"/>
  <c r="U90" i="10" a="1"/>
  <c r="U90" i="10" s="1"/>
  <c r="U14" i="10" a="1"/>
  <c r="U14" i="10" s="1"/>
  <c r="U5" i="10" a="1"/>
  <c r="U5" i="10" s="1"/>
  <c r="U106" i="10" a="1"/>
  <c r="U106" i="10" s="1"/>
  <c r="U112" i="10" a="1"/>
  <c r="U112" i="10" s="1"/>
  <c r="U108" i="10" a="1"/>
  <c r="U108" i="10" s="1"/>
  <c r="U96" i="10" a="1"/>
  <c r="U96" i="10" s="1"/>
  <c r="U77" i="10" a="1"/>
  <c r="U77" i="10" s="1"/>
  <c r="U73" i="10" a="1"/>
  <c r="U73" i="10" s="1"/>
  <c r="U69" i="10" a="1"/>
  <c r="U69" i="10" s="1"/>
  <c r="U65" i="10" a="1"/>
  <c r="U65" i="10" s="1"/>
  <c r="U61" i="10" a="1"/>
  <c r="U61" i="10" s="1"/>
  <c r="U57" i="10" a="1"/>
  <c r="U57" i="10" s="1"/>
  <c r="U53" i="10" a="1"/>
  <c r="U53" i="10" s="1"/>
  <c r="U10" i="10" a="1"/>
  <c r="U10" i="10" s="1"/>
  <c r="U13" i="10" a="1"/>
  <c r="U13" i="10" s="1"/>
  <c r="U7" i="10" a="1"/>
  <c r="U7" i="10" s="1"/>
  <c r="U9" i="10" a="1"/>
  <c r="U9" i="10" s="1"/>
  <c r="U109" i="10" a="1"/>
  <c r="U109" i="10" s="1"/>
  <c r="U78" i="10" a="1"/>
  <c r="U78" i="10" s="1"/>
  <c r="U74" i="10" a="1"/>
  <c r="U74" i="10" s="1"/>
  <c r="U70" i="10" a="1"/>
  <c r="U70" i="10" s="1"/>
  <c r="U66" i="10" a="1"/>
  <c r="U66" i="10" s="1"/>
  <c r="U62" i="10" a="1"/>
  <c r="U62" i="10" s="1"/>
  <c r="U58" i="10" a="1"/>
  <c r="U58" i="10" s="1"/>
  <c r="U54" i="10" a="1"/>
  <c r="U54" i="10" s="1"/>
  <c r="U12" i="10" a="1"/>
  <c r="U12" i="10" s="1"/>
  <c r="U4" i="10" a="1"/>
  <c r="U4" i="10" s="1"/>
  <c r="U68" i="10" a="1"/>
  <c r="U68" i="10" s="1"/>
  <c r="U11" i="10" a="1"/>
  <c r="U11" i="10" s="1"/>
  <c r="U98" i="10" a="1"/>
  <c r="U98" i="10" s="1"/>
  <c r="U60" i="10" a="1"/>
  <c r="U60" i="10" s="1"/>
  <c r="U55" i="10" a="1"/>
  <c r="U55" i="10" s="1"/>
  <c r="U79" i="10" a="1"/>
  <c r="U79" i="10" s="1"/>
  <c r="U63" i="10" a="1"/>
  <c r="U63" i="10" s="1"/>
  <c r="U67" i="10" a="1"/>
  <c r="U67" i="10" s="1"/>
  <c r="U76" i="10" a="1"/>
  <c r="U76" i="10" s="1"/>
  <c r="U71" i="10" a="1"/>
  <c r="U71" i="10" s="1"/>
  <c r="U80" i="10" a="1"/>
  <c r="U80" i="10" s="1"/>
  <c r="U64" i="10" a="1"/>
  <c r="U64" i="10" s="1"/>
  <c r="U72" i="10" a="1"/>
  <c r="U72" i="10" s="1"/>
  <c r="U56" i="10" a="1"/>
  <c r="U56" i="10" s="1"/>
  <c r="U8" i="10" a="1"/>
  <c r="U8" i="10" s="1"/>
  <c r="U6" i="10" a="1"/>
  <c r="U6" i="10" s="1"/>
  <c r="U97" i="10" a="1"/>
  <c r="U97" i="10" s="1"/>
  <c r="U75" i="10" a="1"/>
  <c r="U75" i="10" s="1"/>
  <c r="U59" i="10" a="1"/>
  <c r="U59" i="10" s="1"/>
  <c r="H161" i="9"/>
  <c r="M6" i="9" s="1"/>
  <c r="H169" i="9"/>
  <c r="M7" i="9" s="1"/>
  <c r="H182" i="9"/>
  <c r="M8" i="9" s="1"/>
  <c r="H139" i="9"/>
  <c r="H80" i="9"/>
  <c r="L9" i="9" s="1"/>
  <c r="H109" i="9"/>
  <c r="L11" i="9" s="1"/>
  <c r="G26" i="9"/>
  <c r="G20" i="9"/>
  <c r="G39" i="9"/>
  <c r="G46" i="9"/>
  <c r="G4" i="9"/>
  <c r="G55" i="9"/>
  <c r="G13" i="9"/>
  <c r="Q281" i="1"/>
  <c r="Q280" i="1"/>
  <c r="K280" i="1"/>
  <c r="K281" i="1"/>
  <c r="Q279" i="1"/>
  <c r="Q274" i="1"/>
  <c r="Q273" i="1"/>
  <c r="Q272" i="1"/>
  <c r="K272" i="1"/>
  <c r="K273" i="1"/>
  <c r="K274" i="1"/>
  <c r="K279" i="1"/>
  <c r="Q276" i="1"/>
  <c r="Q275" i="1"/>
  <c r="Q277" i="1"/>
  <c r="Q278" i="1"/>
  <c r="Q255" i="1"/>
  <c r="Q254" i="1"/>
  <c r="Q253" i="1"/>
  <c r="Q259" i="1"/>
  <c r="Q258" i="1"/>
  <c r="Q257" i="1"/>
  <c r="Q256" i="1"/>
  <c r="Q252" i="1"/>
  <c r="K252" i="1"/>
  <c r="K253" i="1"/>
  <c r="K254" i="1"/>
  <c r="K255" i="1"/>
  <c r="K256" i="1"/>
  <c r="K257" i="1"/>
  <c r="K258" i="1"/>
  <c r="K259" i="1"/>
  <c r="Q250" i="1"/>
  <c r="Q246" i="1"/>
  <c r="Q251" i="1"/>
  <c r="Q248" i="1"/>
  <c r="Q247" i="1"/>
  <c r="Q249" i="1"/>
  <c r="Q245" i="1"/>
  <c r="K245" i="1"/>
  <c r="K246" i="1"/>
  <c r="K247" i="1"/>
  <c r="K248" i="1"/>
  <c r="K249" i="1"/>
  <c r="K250" i="1"/>
  <c r="K251" i="1"/>
  <c r="Q244" i="1"/>
  <c r="Q242" i="1"/>
  <c r="Q241" i="1"/>
  <c r="Q240" i="1"/>
  <c r="Q239" i="1"/>
  <c r="Q238" i="1"/>
  <c r="Q243" i="1"/>
  <c r="Q237" i="1"/>
  <c r="K237" i="1"/>
  <c r="K238" i="1"/>
  <c r="K239" i="1"/>
  <c r="K240" i="1"/>
  <c r="K241" i="1"/>
  <c r="K242" i="1"/>
  <c r="K243" i="1"/>
  <c r="K244" i="1"/>
  <c r="K235" i="1"/>
  <c r="B233" i="1"/>
  <c r="C233" i="1"/>
  <c r="B234" i="1"/>
  <c r="C234" i="1"/>
  <c r="B236" i="1"/>
  <c r="C236" i="1"/>
  <c r="P235" i="1"/>
  <c r="P234" i="1"/>
  <c r="P233" i="1"/>
  <c r="P236" i="1"/>
  <c r="J233" i="1"/>
  <c r="J236" i="1"/>
  <c r="J234" i="1"/>
  <c r="V13" i="10" l="1"/>
  <c r="V8" i="10"/>
  <c r="V99" i="10"/>
  <c r="V105" i="10"/>
  <c r="V107" i="10"/>
  <c r="V104" i="10"/>
  <c r="V113" i="10"/>
  <c r="V91" i="10"/>
  <c r="V100" i="10"/>
  <c r="V112" i="10"/>
  <c r="V94" i="10"/>
  <c r="V108" i="10"/>
  <c r="V102" i="10"/>
  <c r="V110" i="10"/>
  <c r="U15" i="10"/>
  <c r="V12" i="10"/>
  <c r="V106" i="10"/>
  <c r="U46" i="10"/>
  <c r="V96" i="10"/>
  <c r="T117" i="10"/>
  <c r="V89" i="10"/>
  <c r="U117" i="10"/>
  <c r="V10" i="10"/>
  <c r="V5" i="10"/>
  <c r="V98" i="10"/>
  <c r="V97" i="10"/>
  <c r="V9" i="10"/>
  <c r="V4" i="10"/>
  <c r="T15" i="10"/>
  <c r="V90" i="10"/>
  <c r="V7" i="10"/>
  <c r="U82" i="10"/>
  <c r="V109" i="10"/>
  <c r="V6" i="10"/>
  <c r="V116" i="10"/>
  <c r="V93" i="10"/>
  <c r="V114" i="10"/>
  <c r="V95" i="10"/>
  <c r="V103" i="10"/>
  <c r="V92" i="10"/>
  <c r="V14" i="10"/>
  <c r="V101" i="10"/>
  <c r="V11" i="10"/>
  <c r="V115" i="10"/>
  <c r="V111" i="10"/>
  <c r="M5" i="9"/>
  <c r="M12" i="9" s="1"/>
  <c r="H219" i="9"/>
  <c r="H39" i="9"/>
  <c r="L7" i="9" s="1"/>
  <c r="H4" i="9"/>
  <c r="Q235" i="1"/>
  <c r="Q234" i="1"/>
  <c r="Q236" i="1"/>
  <c r="Q233" i="1"/>
  <c r="K233" i="1"/>
  <c r="K234" i="1"/>
  <c r="K236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04" i="1"/>
  <c r="C204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5" i="1"/>
  <c r="C205" i="1"/>
  <c r="B206" i="1"/>
  <c r="C206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88" i="1"/>
  <c r="C188" i="1"/>
  <c r="B189" i="1"/>
  <c r="C189" i="1"/>
  <c r="B190" i="1"/>
  <c r="C190" i="1"/>
  <c r="B191" i="1"/>
  <c r="C191" i="1"/>
  <c r="B187" i="1"/>
  <c r="C187" i="1"/>
  <c r="C102" i="1"/>
  <c r="B102" i="1"/>
  <c r="B100" i="1"/>
  <c r="C100" i="1"/>
  <c r="B101" i="1"/>
  <c r="C101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81" i="1"/>
  <c r="C81" i="1"/>
  <c r="B82" i="1"/>
  <c r="C82" i="1"/>
  <c r="B83" i="1"/>
  <c r="C83" i="1"/>
  <c r="B84" i="1"/>
  <c r="C84" i="1"/>
  <c r="B85" i="1"/>
  <c r="C85" i="1"/>
  <c r="B86" i="1"/>
  <c r="C86" i="1"/>
  <c r="B88" i="1"/>
  <c r="C88" i="1"/>
  <c r="B89" i="1"/>
  <c r="C89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103" i="1"/>
  <c r="C103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40" i="1"/>
  <c r="C40" i="1"/>
  <c r="B33" i="1"/>
  <c r="C33" i="1"/>
  <c r="B32" i="1"/>
  <c r="C32" i="1"/>
  <c r="B31" i="1"/>
  <c r="C31" i="1"/>
  <c r="B30" i="1"/>
  <c r="C30" i="1"/>
  <c r="B232" i="1"/>
  <c r="C232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87" i="1"/>
  <c r="C87" i="1"/>
  <c r="B267" i="1"/>
  <c r="C267" i="1"/>
  <c r="B268" i="1"/>
  <c r="C268" i="1"/>
  <c r="B269" i="1"/>
  <c r="C269" i="1"/>
  <c r="B270" i="1"/>
  <c r="C270" i="1"/>
  <c r="B271" i="1"/>
  <c r="C271" i="1"/>
  <c r="B275" i="1"/>
  <c r="C275" i="1"/>
  <c r="B276" i="1"/>
  <c r="C276" i="1"/>
  <c r="B277" i="1"/>
  <c r="C277" i="1"/>
  <c r="B278" i="1"/>
  <c r="C278" i="1"/>
  <c r="J102" i="1"/>
  <c r="P214" i="1"/>
  <c r="J218" i="1"/>
  <c r="J223" i="1"/>
  <c r="P100" i="1"/>
  <c r="J206" i="1"/>
  <c r="J200" i="1"/>
  <c r="J214" i="1"/>
  <c r="P198" i="1"/>
  <c r="P202" i="1"/>
  <c r="J100" i="1"/>
  <c r="J228" i="1"/>
  <c r="P225" i="1"/>
  <c r="P191" i="1"/>
  <c r="P201" i="1"/>
  <c r="J188" i="1"/>
  <c r="J96" i="1"/>
  <c r="J216" i="1"/>
  <c r="J193" i="1"/>
  <c r="J190" i="1"/>
  <c r="J207" i="1"/>
  <c r="P228" i="1"/>
  <c r="P188" i="1"/>
  <c r="P217" i="1"/>
  <c r="P200" i="1"/>
  <c r="P207" i="1"/>
  <c r="J194" i="1"/>
  <c r="P231" i="1"/>
  <c r="J101" i="1"/>
  <c r="J203" i="1"/>
  <c r="P194" i="1"/>
  <c r="P230" i="1"/>
  <c r="J198" i="1"/>
  <c r="J201" i="1"/>
  <c r="P99" i="1"/>
  <c r="J224" i="1"/>
  <c r="P199" i="1"/>
  <c r="J195" i="1"/>
  <c r="J191" i="1"/>
  <c r="J90" i="1"/>
  <c r="P210" i="1"/>
  <c r="P206" i="1"/>
  <c r="P195" i="1"/>
  <c r="J222" i="1"/>
  <c r="P223" i="1"/>
  <c r="P205" i="1"/>
  <c r="P219" i="1"/>
  <c r="P224" i="1"/>
  <c r="J204" i="1"/>
  <c r="P196" i="1"/>
  <c r="P98" i="1"/>
  <c r="J210" i="1"/>
  <c r="J208" i="1"/>
  <c r="J187" i="1"/>
  <c r="P221" i="1"/>
  <c r="P208" i="1"/>
  <c r="P92" i="1"/>
  <c r="P7" i="1"/>
  <c r="J212" i="1"/>
  <c r="J202" i="1"/>
  <c r="P91" i="1"/>
  <c r="J227" i="1"/>
  <c r="P226" i="1"/>
  <c r="J225" i="1"/>
  <c r="J197" i="1"/>
  <c r="P215" i="1"/>
  <c r="P190" i="1"/>
  <c r="P229" i="1"/>
  <c r="J229" i="1"/>
  <c r="P90" i="1"/>
  <c r="P227" i="1"/>
  <c r="J226" i="1"/>
  <c r="J93" i="1"/>
  <c r="P93" i="1"/>
  <c r="J205" i="1"/>
  <c r="P220" i="1"/>
  <c r="P212" i="1"/>
  <c r="P94" i="1"/>
  <c r="P192" i="1"/>
  <c r="J196" i="1"/>
  <c r="P187" i="1"/>
  <c r="P203" i="1"/>
  <c r="J199" i="1"/>
  <c r="J98" i="1"/>
  <c r="P102" i="1"/>
  <c r="P96" i="1"/>
  <c r="P95" i="1"/>
  <c r="P189" i="1"/>
  <c r="J189" i="1"/>
  <c r="P222" i="1"/>
  <c r="J92" i="1"/>
  <c r="J97" i="1"/>
  <c r="P101" i="1"/>
  <c r="J213" i="1"/>
  <c r="J220" i="1"/>
  <c r="P211" i="1"/>
  <c r="J99" i="1"/>
  <c r="J209" i="1"/>
  <c r="P209" i="1"/>
  <c r="J94" i="1"/>
  <c r="P193" i="1"/>
  <c r="J215" i="1"/>
  <c r="J230" i="1"/>
  <c r="J95" i="1"/>
  <c r="J219" i="1"/>
  <c r="P218" i="1"/>
  <c r="P197" i="1"/>
  <c r="P204" i="1"/>
  <c r="J91" i="1"/>
  <c r="J217" i="1"/>
  <c r="J211" i="1"/>
  <c r="P97" i="1"/>
  <c r="J221" i="1"/>
  <c r="P213" i="1"/>
  <c r="J192" i="1"/>
  <c r="P216" i="1"/>
  <c r="V15" i="10" l="1"/>
  <c r="V117" i="10"/>
  <c r="L5" i="9"/>
  <c r="L12" i="9" s="1"/>
  <c r="H134" i="9"/>
  <c r="Q7" i="1"/>
  <c r="Q231" i="1"/>
  <c r="Q229" i="1"/>
  <c r="Q225" i="1"/>
  <c r="Q228" i="1"/>
  <c r="Q224" i="1"/>
  <c r="Q227" i="1"/>
  <c r="Q223" i="1"/>
  <c r="Q230" i="1"/>
  <c r="Q226" i="1"/>
  <c r="Q222" i="1"/>
  <c r="K222" i="1"/>
  <c r="K223" i="1"/>
  <c r="K224" i="1"/>
  <c r="K225" i="1"/>
  <c r="K226" i="1"/>
  <c r="K227" i="1"/>
  <c r="K229" i="1"/>
  <c r="K228" i="1"/>
  <c r="K230" i="1"/>
  <c r="Q220" i="1"/>
  <c r="Q216" i="1"/>
  <c r="Q218" i="1"/>
  <c r="Q221" i="1"/>
  <c r="Q217" i="1"/>
  <c r="Q219" i="1"/>
  <c r="Q215" i="1"/>
  <c r="K215" i="1"/>
  <c r="K216" i="1"/>
  <c r="K217" i="1"/>
  <c r="K218" i="1"/>
  <c r="K219" i="1"/>
  <c r="K220" i="1"/>
  <c r="K221" i="1"/>
  <c r="Q210" i="1"/>
  <c r="Q213" i="1"/>
  <c r="Q212" i="1"/>
  <c r="Q208" i="1"/>
  <c r="Q214" i="1"/>
  <c r="Q209" i="1"/>
  <c r="Q211" i="1"/>
  <c r="Q207" i="1"/>
  <c r="K207" i="1"/>
  <c r="K208" i="1"/>
  <c r="K209" i="1"/>
  <c r="K210" i="1"/>
  <c r="K211" i="1"/>
  <c r="K212" i="1"/>
  <c r="K213" i="1"/>
  <c r="K214" i="1"/>
  <c r="Q205" i="1"/>
  <c r="Q204" i="1"/>
  <c r="Q200" i="1"/>
  <c r="Q201" i="1"/>
  <c r="Q203" i="1"/>
  <c r="Q199" i="1"/>
  <c r="Q206" i="1"/>
  <c r="Q202" i="1"/>
  <c r="Q198" i="1"/>
  <c r="K198" i="1"/>
  <c r="K199" i="1"/>
  <c r="K200" i="1"/>
  <c r="K201" i="1"/>
  <c r="K202" i="1"/>
  <c r="K203" i="1"/>
  <c r="K204" i="1"/>
  <c r="K205" i="1"/>
  <c r="K206" i="1"/>
  <c r="Q197" i="1"/>
  <c r="Q193" i="1"/>
  <c r="Q195" i="1"/>
  <c r="Q194" i="1"/>
  <c r="Q196" i="1"/>
  <c r="Q192" i="1"/>
  <c r="K192" i="1"/>
  <c r="K193" i="1"/>
  <c r="K194" i="1"/>
  <c r="K195" i="1"/>
  <c r="K196" i="1"/>
  <c r="K197" i="1"/>
  <c r="Q190" i="1"/>
  <c r="Q189" i="1"/>
  <c r="Q191" i="1"/>
  <c r="Q188" i="1"/>
  <c r="K188" i="1"/>
  <c r="K189" i="1"/>
  <c r="K190" i="1"/>
  <c r="K191" i="1"/>
  <c r="K102" i="1"/>
  <c r="Q102" i="1"/>
  <c r="Q101" i="1"/>
  <c r="Q187" i="1"/>
  <c r="Q100" i="1"/>
  <c r="K100" i="1"/>
  <c r="K101" i="1"/>
  <c r="K187" i="1"/>
  <c r="Q93" i="1"/>
  <c r="Q96" i="1"/>
  <c r="Q99" i="1"/>
  <c r="Q95" i="1"/>
  <c r="Q91" i="1"/>
  <c r="Q92" i="1"/>
  <c r="Q97" i="1"/>
  <c r="Q98" i="1"/>
  <c r="Q94" i="1"/>
  <c r="Q90" i="1"/>
  <c r="K90" i="1"/>
  <c r="K91" i="1"/>
  <c r="K92" i="1"/>
  <c r="K93" i="1"/>
  <c r="K94" i="1"/>
  <c r="K95" i="1"/>
  <c r="K96" i="1"/>
  <c r="K97" i="1"/>
  <c r="K98" i="1"/>
  <c r="K99" i="1"/>
  <c r="B185" i="1"/>
  <c r="C185" i="1"/>
  <c r="B186" i="1"/>
  <c r="C186" i="1"/>
  <c r="B231" i="1"/>
  <c r="C231" i="1"/>
  <c r="B181" i="1"/>
  <c r="C181" i="1"/>
  <c r="B182" i="1"/>
  <c r="C182" i="1"/>
  <c r="B183" i="1"/>
  <c r="C183" i="1"/>
  <c r="B184" i="1"/>
  <c r="C184" i="1"/>
  <c r="B178" i="1"/>
  <c r="C178" i="1"/>
  <c r="B179" i="1"/>
  <c r="C179" i="1"/>
  <c r="B180" i="1"/>
  <c r="C180" i="1"/>
  <c r="B148" i="1"/>
  <c r="C148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0" i="1"/>
  <c r="C140" i="1"/>
  <c r="B138" i="1"/>
  <c r="C138" i="1"/>
  <c r="B139" i="1"/>
  <c r="C139" i="1"/>
  <c r="B136" i="1"/>
  <c r="C136" i="1"/>
  <c r="B135" i="1"/>
  <c r="C135" i="1"/>
  <c r="B134" i="1"/>
  <c r="C134" i="1"/>
  <c r="B133" i="1"/>
  <c r="C133" i="1"/>
  <c r="B131" i="1"/>
  <c r="C131" i="1"/>
  <c r="B132" i="1"/>
  <c r="C132" i="1"/>
  <c r="B137" i="1"/>
  <c r="C137" i="1"/>
  <c r="B171" i="1"/>
  <c r="C171" i="1"/>
  <c r="B130" i="1"/>
  <c r="C130" i="1"/>
  <c r="B129" i="1"/>
  <c r="C129" i="1"/>
  <c r="B128" i="1"/>
  <c r="C128" i="1"/>
  <c r="B127" i="1"/>
  <c r="C127" i="1"/>
  <c r="B126" i="1"/>
  <c r="C126" i="1"/>
  <c r="B125" i="1"/>
  <c r="C125" i="1"/>
  <c r="B122" i="1"/>
  <c r="C122" i="1"/>
  <c r="B123" i="1"/>
  <c r="C123" i="1"/>
  <c r="B124" i="1"/>
  <c r="C124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14" i="1"/>
  <c r="C114" i="1"/>
  <c r="B115" i="1"/>
  <c r="C115" i="1"/>
  <c r="B110" i="1"/>
  <c r="C110" i="1"/>
  <c r="B111" i="1"/>
  <c r="C111" i="1"/>
  <c r="B112" i="1"/>
  <c r="C112" i="1"/>
  <c r="B113" i="1"/>
  <c r="C11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54" i="1"/>
  <c r="C154" i="1"/>
  <c r="B155" i="1"/>
  <c r="C155" i="1"/>
  <c r="B156" i="1"/>
  <c r="C156" i="1"/>
  <c r="B149" i="1"/>
  <c r="C149" i="1"/>
  <c r="B150" i="1"/>
  <c r="C150" i="1"/>
  <c r="B151" i="1"/>
  <c r="C151" i="1"/>
  <c r="B152" i="1"/>
  <c r="C152" i="1"/>
  <c r="B153" i="1"/>
  <c r="C153" i="1"/>
  <c r="B170" i="1"/>
  <c r="C170" i="1"/>
  <c r="B169" i="1"/>
  <c r="C169" i="1"/>
  <c r="B168" i="1"/>
  <c r="C168" i="1"/>
  <c r="B167" i="1"/>
  <c r="C167" i="1"/>
  <c r="B166" i="1"/>
  <c r="C166" i="1"/>
  <c r="B165" i="1"/>
  <c r="C165" i="1"/>
  <c r="B164" i="1"/>
  <c r="C164" i="1"/>
  <c r="B162" i="1"/>
  <c r="C162" i="1"/>
  <c r="B161" i="1"/>
  <c r="C161" i="1"/>
  <c r="B157" i="1"/>
  <c r="C157" i="1"/>
  <c r="B158" i="1"/>
  <c r="C158" i="1"/>
  <c r="B159" i="1"/>
  <c r="C159" i="1"/>
  <c r="B160" i="1"/>
  <c r="C160" i="1"/>
  <c r="B163" i="1"/>
  <c r="C163" i="1"/>
  <c r="C43" i="1"/>
  <c r="B43" i="1"/>
  <c r="B44" i="1"/>
  <c r="C44" i="1"/>
  <c r="B45" i="1"/>
  <c r="C45" i="1"/>
  <c r="B46" i="1"/>
  <c r="C46" i="1"/>
  <c r="B53" i="1"/>
  <c r="C53" i="1"/>
  <c r="B47" i="1"/>
  <c r="C47" i="1"/>
  <c r="B48" i="1"/>
  <c r="C48" i="1"/>
  <c r="B49" i="1"/>
  <c r="C49" i="1"/>
  <c r="B50" i="1"/>
  <c r="C50" i="1"/>
  <c r="B51" i="1"/>
  <c r="C51" i="1"/>
  <c r="B52" i="1"/>
  <c r="C52" i="1"/>
  <c r="B54" i="1"/>
  <c r="C54" i="1"/>
  <c r="B55" i="1"/>
  <c r="C55" i="1"/>
  <c r="B42" i="1"/>
  <c r="C42" i="1"/>
  <c r="B26" i="1"/>
  <c r="C26" i="1"/>
  <c r="C41" i="1"/>
  <c r="B41" i="1"/>
  <c r="P145" i="1"/>
  <c r="P63" i="1"/>
  <c r="J261" i="1"/>
  <c r="J137" i="1"/>
  <c r="J63" i="1"/>
  <c r="J66" i="1"/>
  <c r="P31" i="1"/>
  <c r="J262" i="1"/>
  <c r="J263" i="1"/>
  <c r="J231" i="1"/>
  <c r="P153" i="1"/>
  <c r="P51" i="1"/>
  <c r="P88" i="1"/>
  <c r="J82" i="1"/>
  <c r="J75" i="1"/>
  <c r="J184" i="1"/>
  <c r="J38" i="1"/>
  <c r="P61" i="1"/>
  <c r="J56" i="1"/>
  <c r="J131" i="1"/>
  <c r="P156" i="1"/>
  <c r="P132" i="1"/>
  <c r="J135" i="1"/>
  <c r="P160" i="1"/>
  <c r="J152" i="1"/>
  <c r="J20" i="1"/>
  <c r="P144" i="1"/>
  <c r="J116" i="1"/>
  <c r="J166" i="1"/>
  <c r="P131" i="1"/>
  <c r="J120" i="1"/>
  <c r="P267" i="1"/>
  <c r="P179" i="1"/>
  <c r="P13" i="1"/>
  <c r="J270" i="1"/>
  <c r="P110" i="1"/>
  <c r="J89" i="1"/>
  <c r="P266" i="1"/>
  <c r="J32" i="1"/>
  <c r="P43" i="1"/>
  <c r="P6" i="1"/>
  <c r="P184" i="1"/>
  <c r="P27" i="1"/>
  <c r="J6" i="1"/>
  <c r="P42" i="1"/>
  <c r="P270" i="1"/>
  <c r="P65" i="1"/>
  <c r="P62" i="1"/>
  <c r="P86" i="1"/>
  <c r="P11" i="1"/>
  <c r="P116" i="1"/>
  <c r="J17" i="1"/>
  <c r="P52" i="1"/>
  <c r="P112" i="1"/>
  <c r="J8" i="1"/>
  <c r="J108" i="1"/>
  <c r="J85" i="1"/>
  <c r="P36" i="1"/>
  <c r="J34" i="1"/>
  <c r="J127" i="1"/>
  <c r="J46" i="1"/>
  <c r="P18" i="1"/>
  <c r="P186" i="1"/>
  <c r="P19" i="1"/>
  <c r="J138" i="1"/>
  <c r="P264" i="1"/>
  <c r="P46" i="1"/>
  <c r="J146" i="1"/>
  <c r="P50" i="1"/>
  <c r="P29" i="1"/>
  <c r="J71" i="1"/>
  <c r="P106" i="1"/>
  <c r="J278" i="1"/>
  <c r="J123" i="1"/>
  <c r="P143" i="1"/>
  <c r="P115" i="1"/>
  <c r="J133" i="1"/>
  <c r="P54" i="1"/>
  <c r="P72" i="1"/>
  <c r="P138" i="1"/>
  <c r="P67" i="1"/>
  <c r="P75" i="1"/>
  <c r="J110" i="1"/>
  <c r="J178" i="1"/>
  <c r="J276" i="1"/>
  <c r="J277" i="1"/>
  <c r="J39" i="1"/>
  <c r="P120" i="1"/>
  <c r="P55" i="1"/>
  <c r="J158" i="1"/>
  <c r="J141" i="1"/>
  <c r="P35" i="1"/>
  <c r="P23" i="1"/>
  <c r="J54" i="1"/>
  <c r="J9" i="1"/>
  <c r="P21" i="1"/>
  <c r="J36" i="1"/>
  <c r="J181" i="1"/>
  <c r="P41" i="1"/>
  <c r="J16" i="1"/>
  <c r="P26" i="1"/>
  <c r="J45" i="1"/>
  <c r="J171" i="1"/>
  <c r="J62" i="1"/>
  <c r="J7" i="1"/>
  <c r="P113" i="1"/>
  <c r="J69" i="1"/>
  <c r="J183" i="1"/>
  <c r="J55" i="1"/>
  <c r="J28" i="1"/>
  <c r="J117" i="1"/>
  <c r="J88" i="1"/>
  <c r="J104" i="1"/>
  <c r="J106" i="1"/>
  <c r="J72" i="1"/>
  <c r="P64" i="1"/>
  <c r="P48" i="1"/>
  <c r="P84" i="1"/>
  <c r="J164" i="1"/>
  <c r="J76" i="1"/>
  <c r="P104" i="1"/>
  <c r="J185" i="1"/>
  <c r="P165" i="1"/>
  <c r="P118" i="1"/>
  <c r="P56" i="1"/>
  <c r="P79" i="1"/>
  <c r="J41" i="1"/>
  <c r="P89" i="1"/>
  <c r="P70" i="1"/>
  <c r="J74" i="1"/>
  <c r="J37" i="1"/>
  <c r="J148" i="1"/>
  <c r="P8" i="1"/>
  <c r="P263" i="1"/>
  <c r="J155" i="1"/>
  <c r="P130" i="1"/>
  <c r="P134" i="1"/>
  <c r="P139" i="1"/>
  <c r="J129" i="1"/>
  <c r="P22" i="1"/>
  <c r="P81" i="1"/>
  <c r="P30" i="1"/>
  <c r="P169" i="1"/>
  <c r="P159" i="1"/>
  <c r="P69" i="1"/>
  <c r="J182" i="1"/>
  <c r="P142" i="1"/>
  <c r="J5" i="1"/>
  <c r="J48" i="1"/>
  <c r="P163" i="1"/>
  <c r="J86" i="1"/>
  <c r="P10" i="1"/>
  <c r="J142" i="1"/>
  <c r="P121" i="1"/>
  <c r="J124" i="1"/>
  <c r="J145" i="1"/>
  <c r="P66" i="1"/>
  <c r="P77" i="1"/>
  <c r="P157" i="1"/>
  <c r="J160" i="1"/>
  <c r="P14" i="1"/>
  <c r="P232" i="1"/>
  <c r="J57" i="1"/>
  <c r="P171" i="1"/>
  <c r="P137" i="1"/>
  <c r="J52" i="1"/>
  <c r="J25" i="1"/>
  <c r="P136" i="1"/>
  <c r="J40" i="1"/>
  <c r="P161" i="1"/>
  <c r="P164" i="1"/>
  <c r="J161" i="1"/>
  <c r="P111" i="1"/>
  <c r="J61" i="1"/>
  <c r="P141" i="1"/>
  <c r="P122" i="1"/>
  <c r="J43" i="1"/>
  <c r="P133" i="1"/>
  <c r="P117" i="1"/>
  <c r="P182" i="1"/>
  <c r="P158" i="1"/>
  <c r="J159" i="1"/>
  <c r="J70" i="1"/>
  <c r="P170" i="1"/>
  <c r="P135" i="1"/>
  <c r="J260" i="1"/>
  <c r="J27" i="1"/>
  <c r="J268" i="1"/>
  <c r="J107" i="1"/>
  <c r="J73" i="1"/>
  <c r="J60" i="1"/>
  <c r="P38" i="1"/>
  <c r="J167" i="1"/>
  <c r="J165" i="1"/>
  <c r="J114" i="1"/>
  <c r="P47" i="1"/>
  <c r="P166" i="1"/>
  <c r="J12" i="1"/>
  <c r="P140" i="1"/>
  <c r="J59" i="1"/>
  <c r="J51" i="1"/>
  <c r="J19" i="1"/>
  <c r="P28" i="1"/>
  <c r="P114" i="1"/>
  <c r="J80" i="1"/>
  <c r="P178" i="1"/>
  <c r="J130" i="1"/>
  <c r="P123" i="1"/>
  <c r="J186" i="1"/>
  <c r="P149" i="1"/>
  <c r="J29" i="1"/>
  <c r="P58" i="1"/>
  <c r="P57" i="1"/>
  <c r="J18" i="1"/>
  <c r="J50" i="1"/>
  <c r="P151" i="1"/>
  <c r="J162" i="1"/>
  <c r="J266" i="1"/>
  <c r="J125" i="1"/>
  <c r="J113" i="1"/>
  <c r="J128" i="1"/>
  <c r="J269" i="1"/>
  <c r="P181" i="1"/>
  <c r="J144" i="1"/>
  <c r="J10" i="1"/>
  <c r="P5" i="1"/>
  <c r="P146" i="1"/>
  <c r="J87" i="1"/>
  <c r="P24" i="1"/>
  <c r="P119" i="1"/>
  <c r="P185" i="1"/>
  <c r="J81" i="1"/>
  <c r="J265" i="1"/>
  <c r="P129" i="1"/>
  <c r="J105" i="1"/>
  <c r="P124" i="1"/>
  <c r="J83" i="1"/>
  <c r="P59" i="1"/>
  <c r="J78" i="1"/>
  <c r="P4" i="1"/>
  <c r="J30" i="1"/>
  <c r="P260" i="1"/>
  <c r="J24" i="1"/>
  <c r="P168" i="1"/>
  <c r="P125" i="1"/>
  <c r="P44" i="1"/>
  <c r="J150" i="1"/>
  <c r="P12" i="1"/>
  <c r="P17" i="1"/>
  <c r="J275" i="1"/>
  <c r="P107" i="1"/>
  <c r="J42" i="1"/>
  <c r="J53" i="1"/>
  <c r="J13" i="1"/>
  <c r="P85" i="1"/>
  <c r="J84" i="1"/>
  <c r="J15" i="1"/>
  <c r="P155" i="1"/>
  <c r="J168" i="1"/>
  <c r="P127" i="1"/>
  <c r="P53" i="1"/>
  <c r="J139" i="1"/>
  <c r="P45" i="1"/>
  <c r="J77" i="1"/>
  <c r="P183" i="1"/>
  <c r="J49" i="1"/>
  <c r="P74" i="1"/>
  <c r="J11" i="1"/>
  <c r="P105" i="1"/>
  <c r="J140" i="1"/>
  <c r="P269" i="1"/>
  <c r="P103" i="1"/>
  <c r="J264" i="1"/>
  <c r="J122" i="1"/>
  <c r="J33" i="1"/>
  <c r="J151" i="1"/>
  <c r="J47" i="1"/>
  <c r="J64" i="1"/>
  <c r="J232" i="1"/>
  <c r="J115" i="1"/>
  <c r="J109" i="1"/>
  <c r="P108" i="1"/>
  <c r="J180" i="1"/>
  <c r="J26" i="1"/>
  <c r="P20" i="1"/>
  <c r="J147" i="1"/>
  <c r="J157" i="1"/>
  <c r="J23" i="1"/>
  <c r="P148" i="1"/>
  <c r="J136" i="1"/>
  <c r="P76" i="1"/>
  <c r="J169" i="1"/>
  <c r="J179" i="1"/>
  <c r="J111" i="1"/>
  <c r="J119" i="1"/>
  <c r="P147" i="1"/>
  <c r="J112" i="1"/>
  <c r="P262" i="1"/>
  <c r="J22" i="1"/>
  <c r="J271" i="1"/>
  <c r="P109" i="1"/>
  <c r="P49" i="1"/>
  <c r="J143" i="1"/>
  <c r="J267" i="1"/>
  <c r="P128" i="1"/>
  <c r="P162" i="1"/>
  <c r="P39" i="1"/>
  <c r="P40" i="1"/>
  <c r="P37" i="1"/>
  <c r="P87" i="1"/>
  <c r="P82" i="1"/>
  <c r="J31" i="1"/>
  <c r="P271" i="1"/>
  <c r="J132" i="1"/>
  <c r="P73" i="1"/>
  <c r="P68" i="1"/>
  <c r="J121" i="1"/>
  <c r="J149" i="1"/>
  <c r="J58" i="1"/>
  <c r="J4" i="1"/>
  <c r="J170" i="1"/>
  <c r="J156" i="1"/>
  <c r="P80" i="1"/>
  <c r="P78" i="1"/>
  <c r="J44" i="1"/>
  <c r="P71" i="1"/>
  <c r="J79" i="1"/>
  <c r="P167" i="1"/>
  <c r="P180" i="1"/>
  <c r="P83" i="1"/>
  <c r="P60" i="1"/>
  <c r="P268" i="1"/>
  <c r="P150" i="1"/>
  <c r="P15" i="1"/>
  <c r="J153" i="1"/>
  <c r="J134" i="1"/>
  <c r="J163" i="1"/>
  <c r="P25" i="1"/>
  <c r="P33" i="1"/>
  <c r="J68" i="1"/>
  <c r="J154" i="1"/>
  <c r="P34" i="1"/>
  <c r="P154" i="1"/>
  <c r="J21" i="1"/>
  <c r="P9" i="1"/>
  <c r="J126" i="1"/>
  <c r="J14" i="1"/>
  <c r="J65" i="1"/>
  <c r="P32" i="1"/>
  <c r="J103" i="1"/>
  <c r="P152" i="1"/>
  <c r="P261" i="1"/>
  <c r="P16" i="1"/>
  <c r="J35" i="1"/>
  <c r="P265" i="1"/>
  <c r="J67" i="1"/>
  <c r="P126" i="1"/>
  <c r="J118" i="1"/>
  <c r="K277" i="1" l="1"/>
  <c r="Q260" i="1"/>
  <c r="K261" i="1"/>
  <c r="Q42" i="1"/>
  <c r="Q15" i="1"/>
  <c r="Q73" i="1"/>
  <c r="Q66" i="1"/>
  <c r="Q116" i="1"/>
  <c r="K85" i="1"/>
  <c r="K71" i="1"/>
  <c r="Q17" i="1"/>
  <c r="Q67" i="1"/>
  <c r="Q62" i="1"/>
  <c r="Q186" i="1"/>
  <c r="K64" i="1"/>
  <c r="Q146" i="1"/>
  <c r="Q114" i="1"/>
  <c r="Q108" i="1"/>
  <c r="Q31" i="1"/>
  <c r="Q181" i="1"/>
  <c r="Q46" i="1"/>
  <c r="Q156" i="1"/>
  <c r="K40" i="1"/>
  <c r="K31" i="1"/>
  <c r="Q79" i="1"/>
  <c r="Q32" i="1"/>
  <c r="K65" i="1"/>
  <c r="K103" i="1"/>
  <c r="Q21" i="1"/>
  <c r="Q264" i="1"/>
  <c r="Q183" i="1"/>
  <c r="Q44" i="1"/>
  <c r="K61" i="1"/>
  <c r="Q140" i="1"/>
  <c r="K75" i="1"/>
  <c r="Q184" i="1"/>
  <c r="Q5" i="1"/>
  <c r="Q121" i="1"/>
  <c r="K81" i="1"/>
  <c r="Q162" i="1"/>
  <c r="Q141" i="1"/>
  <c r="Q118" i="1"/>
  <c r="Q47" i="1"/>
  <c r="Q36" i="1"/>
  <c r="Q185" i="1"/>
  <c r="Q23" i="1"/>
  <c r="Q85" i="1"/>
  <c r="Q18" i="1"/>
  <c r="Q105" i="1"/>
  <c r="Q167" i="1"/>
  <c r="K74" i="1"/>
  <c r="K78" i="1"/>
  <c r="Q180" i="1"/>
  <c r="K68" i="1"/>
  <c r="Q35" i="1"/>
  <c r="Q74" i="1"/>
  <c r="Q20" i="1"/>
  <c r="K268" i="1"/>
  <c r="K60" i="1"/>
  <c r="K67" i="1"/>
  <c r="Q149" i="1"/>
  <c r="Q45" i="1"/>
  <c r="Q153" i="1"/>
  <c r="Q60" i="1"/>
  <c r="Q86" i="1"/>
  <c r="Q158" i="1"/>
  <c r="Q88" i="1"/>
  <c r="Q63" i="1"/>
  <c r="Q52" i="1"/>
  <c r="Q71" i="1"/>
  <c r="Q104" i="1"/>
  <c r="K73" i="1"/>
  <c r="Q161" i="1"/>
  <c r="Q81" i="1"/>
  <c r="Q12" i="1"/>
  <c r="K77" i="1"/>
  <c r="Q22" i="1"/>
  <c r="Q48" i="1"/>
  <c r="Q166" i="1"/>
  <c r="K62" i="1"/>
  <c r="Q68" i="1"/>
  <c r="Q232" i="1"/>
  <c r="Q261" i="1"/>
  <c r="Q119" i="1"/>
  <c r="Q33" i="1"/>
  <c r="K83" i="1"/>
  <c r="K269" i="1"/>
  <c r="Q24" i="1"/>
  <c r="Q77" i="1"/>
  <c r="Q136" i="1"/>
  <c r="Q263" i="1"/>
  <c r="K88" i="1"/>
  <c r="Q168" i="1"/>
  <c r="Q113" i="1"/>
  <c r="K63" i="1"/>
  <c r="Q130" i="1"/>
  <c r="K76" i="1"/>
  <c r="Q87" i="1"/>
  <c r="Q270" i="1"/>
  <c r="Q19" i="1"/>
  <c r="K79" i="1"/>
  <c r="Q182" i="1"/>
  <c r="Q76" i="1"/>
  <c r="K267" i="1"/>
  <c r="Q34" i="1"/>
  <c r="Q133" i="1"/>
  <c r="Q129" i="1"/>
  <c r="Q266" i="1"/>
  <c r="Q30" i="1"/>
  <c r="K276" i="1"/>
  <c r="Q128" i="1"/>
  <c r="Q115" i="1"/>
  <c r="Q265" i="1"/>
  <c r="Q10" i="1"/>
  <c r="K266" i="1"/>
  <c r="Q69" i="1"/>
  <c r="Q132" i="1"/>
  <c r="Q144" i="1"/>
  <c r="Q50" i="1"/>
  <c r="Q178" i="1"/>
  <c r="Q106" i="1"/>
  <c r="Q103" i="1"/>
  <c r="Q137" i="1"/>
  <c r="K56" i="1"/>
  <c r="Q139" i="1"/>
  <c r="K262" i="1"/>
  <c r="K263" i="1"/>
  <c r="Q14" i="1"/>
  <c r="Q84" i="1"/>
  <c r="K271" i="1"/>
  <c r="K32" i="1"/>
  <c r="Q125" i="1"/>
  <c r="Q267" i="1"/>
  <c r="Q49" i="1"/>
  <c r="Q53" i="1"/>
  <c r="K87" i="1"/>
  <c r="Q82" i="1"/>
  <c r="Q269" i="1"/>
  <c r="K232" i="1"/>
  <c r="Q135" i="1"/>
  <c r="Q13" i="1"/>
  <c r="Q120" i="1"/>
  <c r="Q271" i="1"/>
  <c r="K30" i="1"/>
  <c r="Q9" i="1"/>
  <c r="Q58" i="1"/>
  <c r="Q16" i="1"/>
  <c r="Q56" i="1"/>
  <c r="Q151" i="1"/>
  <c r="Q131" i="1"/>
  <c r="Q6" i="1"/>
  <c r="Q107" i="1"/>
  <c r="Q80" i="1"/>
  <c r="Q117" i="1"/>
  <c r="K59" i="1"/>
  <c r="K275" i="1"/>
  <c r="Q89" i="1"/>
  <c r="Q150" i="1"/>
  <c r="Q152" i="1"/>
  <c r="K278" i="1"/>
  <c r="Q64" i="1"/>
  <c r="Q112" i="1"/>
  <c r="Q123" i="1"/>
  <c r="Q109" i="1"/>
  <c r="K265" i="1"/>
  <c r="Q127" i="1"/>
  <c r="Q159" i="1"/>
  <c r="Q142" i="1"/>
  <c r="Q268" i="1"/>
  <c r="K66" i="1"/>
  <c r="Q170" i="1"/>
  <c r="Q40" i="1"/>
  <c r="Q54" i="1"/>
  <c r="Q122" i="1"/>
  <c r="Q148" i="1"/>
  <c r="Q163" i="1"/>
  <c r="Q110" i="1"/>
  <c r="Q83" i="1"/>
  <c r="Q164" i="1"/>
  <c r="Q27" i="1"/>
  <c r="Q262" i="1"/>
  <c r="K86" i="1"/>
  <c r="K69" i="1"/>
  <c r="K33" i="1"/>
  <c r="Q171" i="1"/>
  <c r="K72" i="1"/>
  <c r="K80" i="1"/>
  <c r="Q38" i="1"/>
  <c r="K57" i="1"/>
  <c r="Q41" i="1"/>
  <c r="Q72" i="1"/>
  <c r="Q70" i="1"/>
  <c r="Q37" i="1"/>
  <c r="K270" i="1"/>
  <c r="Q169" i="1"/>
  <c r="Q43" i="1"/>
  <c r="Q25" i="1"/>
  <c r="Q57" i="1"/>
  <c r="Q61" i="1"/>
  <c r="Q147" i="1"/>
  <c r="Q157" i="1"/>
  <c r="Q55" i="1"/>
  <c r="Q4" i="1"/>
  <c r="Q75" i="1"/>
  <c r="Q28" i="1"/>
  <c r="Q11" i="1"/>
  <c r="Q51" i="1"/>
  <c r="Q179" i="1"/>
  <c r="Q124" i="1"/>
  <c r="Q26" i="1"/>
  <c r="Q155" i="1"/>
  <c r="K70" i="1"/>
  <c r="Q134" i="1"/>
  <c r="Q154" i="1"/>
  <c r="Q8" i="1"/>
  <c r="Q29" i="1"/>
  <c r="K58" i="1"/>
  <c r="Q143" i="1"/>
  <c r="Q126" i="1"/>
  <c r="K260" i="1"/>
  <c r="Q59" i="1"/>
  <c r="Q138" i="1"/>
  <c r="K89" i="1"/>
  <c r="K84" i="1"/>
  <c r="Q111" i="1"/>
  <c r="Q39" i="1"/>
  <c r="Q160" i="1"/>
  <c r="K82" i="1"/>
  <c r="Q165" i="1"/>
  <c r="K264" i="1"/>
  <c r="Q65" i="1"/>
  <c r="Q78" i="1"/>
  <c r="Q145" i="1"/>
  <c r="K185" i="1"/>
  <c r="K186" i="1"/>
  <c r="K231" i="1"/>
  <c r="K181" i="1"/>
  <c r="K182" i="1"/>
  <c r="K183" i="1"/>
  <c r="K184" i="1"/>
  <c r="K178" i="1"/>
  <c r="K179" i="1"/>
  <c r="K180" i="1"/>
  <c r="K148" i="1"/>
  <c r="K141" i="1"/>
  <c r="K142" i="1"/>
  <c r="K143" i="1"/>
  <c r="K144" i="1"/>
  <c r="K145" i="1"/>
  <c r="K146" i="1"/>
  <c r="K147" i="1"/>
  <c r="K131" i="1"/>
  <c r="K132" i="1"/>
  <c r="K133" i="1"/>
  <c r="K134" i="1"/>
  <c r="K135" i="1"/>
  <c r="K136" i="1"/>
  <c r="K137" i="1"/>
  <c r="K138" i="1"/>
  <c r="K139" i="1"/>
  <c r="K140" i="1"/>
  <c r="K171" i="1"/>
  <c r="K127" i="1"/>
  <c r="K128" i="1"/>
  <c r="K129" i="1"/>
  <c r="K130" i="1"/>
  <c r="K122" i="1"/>
  <c r="K123" i="1"/>
  <c r="K124" i="1"/>
  <c r="K125" i="1"/>
  <c r="K126" i="1"/>
  <c r="K116" i="1"/>
  <c r="K117" i="1"/>
  <c r="K118" i="1"/>
  <c r="K119" i="1"/>
  <c r="K120" i="1"/>
  <c r="K121" i="1"/>
  <c r="K114" i="1"/>
  <c r="K115" i="1"/>
  <c r="K110" i="1"/>
  <c r="K111" i="1"/>
  <c r="K112" i="1"/>
  <c r="K113" i="1"/>
  <c r="K104" i="1"/>
  <c r="K105" i="1"/>
  <c r="K106" i="1"/>
  <c r="K107" i="1"/>
  <c r="K108" i="1"/>
  <c r="K109" i="1"/>
  <c r="K154" i="1"/>
  <c r="K155" i="1"/>
  <c r="K156" i="1"/>
  <c r="K149" i="1"/>
  <c r="K150" i="1"/>
  <c r="K151" i="1"/>
  <c r="K152" i="1"/>
  <c r="K153" i="1"/>
  <c r="K170" i="1"/>
  <c r="K166" i="1"/>
  <c r="K167" i="1"/>
  <c r="K168" i="1"/>
  <c r="K169" i="1"/>
  <c r="K157" i="1"/>
  <c r="K158" i="1"/>
  <c r="K159" i="1"/>
  <c r="K160" i="1"/>
  <c r="K161" i="1"/>
  <c r="K162" i="1"/>
  <c r="K163" i="1"/>
  <c r="K164" i="1"/>
  <c r="K165" i="1"/>
  <c r="K43" i="1"/>
  <c r="K44" i="1"/>
  <c r="K45" i="1"/>
  <c r="K46" i="1"/>
  <c r="K53" i="1"/>
  <c r="K47" i="1"/>
  <c r="K48" i="1"/>
  <c r="K49" i="1"/>
  <c r="K50" i="1"/>
  <c r="K51" i="1"/>
  <c r="K52" i="1"/>
  <c r="K54" i="1"/>
  <c r="K55" i="1"/>
  <c r="K42" i="1"/>
  <c r="K26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4" i="1"/>
  <c r="K35" i="1"/>
  <c r="K36" i="1"/>
  <c r="K37" i="1"/>
  <c r="K38" i="1"/>
  <c r="K39" i="1"/>
  <c r="K41" i="1"/>
  <c r="B24" i="1"/>
  <c r="C24" i="1"/>
  <c r="B25" i="1"/>
  <c r="C25" i="1"/>
  <c r="B27" i="1"/>
  <c r="C27" i="1"/>
  <c r="B28" i="1"/>
  <c r="C28" i="1"/>
  <c r="B29" i="1"/>
  <c r="C29" i="1"/>
  <c r="B34" i="1"/>
  <c r="C34" i="1"/>
  <c r="B35" i="1"/>
  <c r="C35" i="1"/>
  <c r="B36" i="1"/>
  <c r="C36" i="1"/>
  <c r="B37" i="1"/>
  <c r="C37" i="1"/>
  <c r="B38" i="1"/>
  <c r="C38" i="1"/>
  <c r="B39" i="1"/>
  <c r="C39" i="1"/>
  <c r="B23" i="1"/>
  <c r="C23" i="1"/>
  <c r="B11" i="1"/>
  <c r="B12" i="1"/>
  <c r="B13" i="1"/>
  <c r="B14" i="1"/>
  <c r="B15" i="1"/>
  <c r="B16" i="1"/>
  <c r="B17" i="1"/>
  <c r="B18" i="1"/>
  <c r="B19" i="1"/>
  <c r="B20" i="1"/>
  <c r="B21" i="1"/>
  <c r="B22" i="1"/>
  <c r="C11" i="1"/>
  <c r="C12" i="1"/>
  <c r="C13" i="1"/>
  <c r="C14" i="1"/>
  <c r="C15" i="1"/>
  <c r="C16" i="1"/>
  <c r="C17" i="1"/>
  <c r="C18" i="1"/>
  <c r="C19" i="1"/>
  <c r="C20" i="1"/>
  <c r="C21" i="1"/>
  <c r="C22" i="1"/>
  <c r="C4" i="1"/>
  <c r="C5" i="1"/>
  <c r="C6" i="1"/>
  <c r="C7" i="1"/>
  <c r="C8" i="1"/>
  <c r="C9" i="1"/>
  <c r="C10" i="1"/>
  <c r="B4" i="1"/>
  <c r="B5" i="1"/>
  <c r="B6" i="1"/>
  <c r="B7" i="1"/>
  <c r="B8" i="1"/>
  <c r="B9" i="1"/>
  <c r="B10" i="1"/>
  <c r="U89" i="1" l="1" a="1"/>
  <c r="U89" i="1" s="1"/>
  <c r="T89" i="1" a="1"/>
  <c r="T89" i="1" s="1"/>
  <c r="T90" i="1" a="1"/>
  <c r="T90" i="1" s="1"/>
  <c r="U90" i="1" a="1"/>
  <c r="U90" i="1" s="1"/>
  <c r="U107" i="1" a="1"/>
  <c r="U107" i="1" s="1"/>
  <c r="U108" i="1" a="1"/>
  <c r="U108" i="1" s="1"/>
  <c r="U96" i="1" a="1"/>
  <c r="U96" i="1" s="1"/>
  <c r="U92" i="1" a="1"/>
  <c r="U92" i="1" s="1"/>
  <c r="U100" i="1" a="1"/>
  <c r="U100" i="1" s="1"/>
  <c r="U97" i="1" a="1"/>
  <c r="U97" i="1" s="1"/>
  <c r="U105" i="1" a="1"/>
  <c r="U105" i="1" s="1"/>
  <c r="U113" i="1" a="1"/>
  <c r="U113" i="1" s="1"/>
  <c r="U93" i="1" a="1"/>
  <c r="U93" i="1" s="1"/>
  <c r="U101" i="1" a="1"/>
  <c r="U101" i="1" s="1"/>
  <c r="U94" i="1" a="1"/>
  <c r="U94" i="1" s="1"/>
  <c r="U98" i="1" a="1"/>
  <c r="U98" i="1" s="1"/>
  <c r="U102" i="1" a="1"/>
  <c r="U102" i="1" s="1"/>
  <c r="U106" i="1" a="1"/>
  <c r="U106" i="1" s="1"/>
  <c r="U110" i="1" a="1"/>
  <c r="U110" i="1" s="1"/>
  <c r="U114" i="1" a="1"/>
  <c r="U114" i="1" s="1"/>
  <c r="U91" i="1" a="1"/>
  <c r="U91" i="1" s="1"/>
  <c r="U95" i="1" a="1"/>
  <c r="U95" i="1" s="1"/>
  <c r="U99" i="1" a="1"/>
  <c r="U99" i="1" s="1"/>
  <c r="U103" i="1" a="1"/>
  <c r="U103" i="1" s="1"/>
  <c r="U111" i="1" a="1"/>
  <c r="U111" i="1" s="1"/>
  <c r="U115" i="1" a="1"/>
  <c r="U115" i="1" s="1"/>
  <c r="U112" i="1" a="1"/>
  <c r="U112" i="1" s="1"/>
  <c r="U109" i="1" a="1"/>
  <c r="U109" i="1" s="1"/>
  <c r="U104" i="1" a="1"/>
  <c r="U104" i="1" s="1"/>
  <c r="U116" i="1" a="1"/>
  <c r="U116" i="1" s="1"/>
  <c r="T91" i="1" a="1"/>
  <c r="T91" i="1" s="1"/>
  <c r="T92" i="1" a="1"/>
  <c r="T92" i="1" s="1"/>
  <c r="V92" i="1" s="1"/>
  <c r="T96" i="1" a="1"/>
  <c r="T96" i="1" s="1"/>
  <c r="T97" i="1" a="1"/>
  <c r="T97" i="1" s="1"/>
  <c r="V97" i="1" s="1"/>
  <c r="T101" i="1" a="1"/>
  <c r="T101" i="1" s="1"/>
  <c r="T109" i="1" a="1"/>
  <c r="T109" i="1" s="1"/>
  <c r="V109" i="1" s="1"/>
  <c r="T113" i="1" a="1"/>
  <c r="T113" i="1" s="1"/>
  <c r="T110" i="1" a="1"/>
  <c r="T110" i="1" s="1"/>
  <c r="T112" i="1" a="1"/>
  <c r="T112" i="1" s="1"/>
  <c r="T93" i="1" a="1"/>
  <c r="T93" i="1" s="1"/>
  <c r="T105" i="1" a="1"/>
  <c r="T105" i="1" s="1"/>
  <c r="T100" i="1" a="1"/>
  <c r="T100" i="1" s="1"/>
  <c r="T98" i="1" a="1"/>
  <c r="T98" i="1" s="1"/>
  <c r="T106" i="1" a="1"/>
  <c r="T106" i="1" s="1"/>
  <c r="T108" i="1" a="1"/>
  <c r="T108" i="1" s="1"/>
  <c r="T94" i="1" a="1"/>
  <c r="T94" i="1" s="1"/>
  <c r="T102" i="1" a="1"/>
  <c r="T102" i="1" s="1"/>
  <c r="T114" i="1" a="1"/>
  <c r="T114" i="1" s="1"/>
  <c r="T99" i="1" a="1"/>
  <c r="T99" i="1" s="1"/>
  <c r="T107" i="1" a="1"/>
  <c r="T107" i="1" s="1"/>
  <c r="T104" i="1" a="1"/>
  <c r="T104" i="1" s="1"/>
  <c r="T95" i="1" a="1"/>
  <c r="T95" i="1" s="1"/>
  <c r="T103" i="1" a="1"/>
  <c r="T103" i="1" s="1"/>
  <c r="T111" i="1" a="1"/>
  <c r="T111" i="1" s="1"/>
  <c r="T115" i="1" a="1"/>
  <c r="T115" i="1" s="1"/>
  <c r="T116" i="1" a="1"/>
  <c r="T116" i="1" s="1"/>
  <c r="U56" i="1" a="1"/>
  <c r="U56" i="1" s="1"/>
  <c r="U57" i="1" a="1"/>
  <c r="U57" i="1" s="1"/>
  <c r="U53" i="1" a="1"/>
  <c r="U53" i="1" s="1"/>
  <c r="U58" i="1" a="1"/>
  <c r="U58" i="1" s="1"/>
  <c r="U61" i="1" a="1"/>
  <c r="U61" i="1" s="1"/>
  <c r="U63" i="1" a="1"/>
  <c r="U63" i="1" s="1"/>
  <c r="U66" i="1" a="1"/>
  <c r="U66" i="1" s="1"/>
  <c r="U70" i="1" a="1"/>
  <c r="U70" i="1" s="1"/>
  <c r="U74" i="1" a="1"/>
  <c r="U74" i="1" s="1"/>
  <c r="U62" i="1" a="1"/>
  <c r="U62" i="1" s="1"/>
  <c r="U67" i="1" a="1"/>
  <c r="U67" i="1" s="1"/>
  <c r="U75" i="1" a="1"/>
  <c r="U75" i="1" s="1"/>
  <c r="U55" i="1" a="1"/>
  <c r="U55" i="1" s="1"/>
  <c r="U68" i="1" a="1"/>
  <c r="U68" i="1" s="1"/>
  <c r="U76" i="1" a="1"/>
  <c r="U76" i="1" s="1"/>
  <c r="U69" i="1" a="1"/>
  <c r="U69" i="1" s="1"/>
  <c r="U77" i="1" a="1"/>
  <c r="U77" i="1" s="1"/>
  <c r="U59" i="1" a="1"/>
  <c r="U59" i="1" s="1"/>
  <c r="U71" i="1" a="1"/>
  <c r="U71" i="1" s="1"/>
  <c r="U78" i="1" a="1"/>
  <c r="U78" i="1" s="1"/>
  <c r="U80" i="1" a="1"/>
  <c r="U80" i="1" s="1"/>
  <c r="U54" i="1" a="1"/>
  <c r="U54" i="1" s="1"/>
  <c r="U60" i="1" a="1"/>
  <c r="U60" i="1" s="1"/>
  <c r="U64" i="1" a="1"/>
  <c r="U64" i="1" s="1"/>
  <c r="U72" i="1" a="1"/>
  <c r="U72" i="1" s="1"/>
  <c r="U65" i="1" a="1"/>
  <c r="U65" i="1" s="1"/>
  <c r="U73" i="1" a="1"/>
  <c r="U73" i="1" s="1"/>
  <c r="U79" i="1" a="1"/>
  <c r="U79" i="1" s="1"/>
  <c r="U81" i="1" a="1"/>
  <c r="U81" i="1" s="1"/>
  <c r="U24" i="1" a="1"/>
  <c r="U24" i="1" s="1"/>
  <c r="U26" i="1" a="1"/>
  <c r="U26" i="1" s="1"/>
  <c r="U27" i="1" a="1"/>
  <c r="U27" i="1" s="1"/>
  <c r="U29" i="1" a="1"/>
  <c r="U29" i="1" s="1"/>
  <c r="U33" i="1" a="1"/>
  <c r="U33" i="1" s="1"/>
  <c r="U37" i="1" a="1"/>
  <c r="U37" i="1" s="1"/>
  <c r="U41" i="1" a="1"/>
  <c r="U41" i="1" s="1"/>
  <c r="U30" i="1" a="1"/>
  <c r="U30" i="1" s="1"/>
  <c r="U38" i="1" a="1"/>
  <c r="U38" i="1" s="1"/>
  <c r="U31" i="1" a="1"/>
  <c r="U31" i="1" s="1"/>
  <c r="U39" i="1" a="1"/>
  <c r="U39" i="1" s="1"/>
  <c r="U32" i="1" a="1"/>
  <c r="U32" i="1" s="1"/>
  <c r="U42" i="1" a="1"/>
  <c r="U42" i="1" s="1"/>
  <c r="U43" i="1" a="1"/>
  <c r="U43" i="1" s="1"/>
  <c r="U34" i="1" a="1"/>
  <c r="U34" i="1" s="1"/>
  <c r="U40" i="1" a="1"/>
  <c r="U40" i="1" s="1"/>
  <c r="U44" i="1" a="1"/>
  <c r="U44" i="1" s="1"/>
  <c r="U22" i="1" a="1"/>
  <c r="U22" i="1" s="1"/>
  <c r="U25" i="1" a="1"/>
  <c r="U25" i="1" s="1"/>
  <c r="U35" i="1" a="1"/>
  <c r="U35" i="1" s="1"/>
  <c r="U45" i="1" a="1"/>
  <c r="U45" i="1" s="1"/>
  <c r="U23" i="1" a="1"/>
  <c r="U23" i="1" s="1"/>
  <c r="U28" i="1" a="1"/>
  <c r="U28" i="1" s="1"/>
  <c r="U36" i="1" a="1"/>
  <c r="U36" i="1" s="1"/>
  <c r="T11" i="1" a="1"/>
  <c r="T11" i="1" s="1"/>
  <c r="T5" i="1" a="1"/>
  <c r="T5" i="1" s="1"/>
  <c r="M42" i="9" s="1"/>
  <c r="T12" i="1" a="1"/>
  <c r="T12" i="1" s="1"/>
  <c r="T10" i="1" a="1"/>
  <c r="T10" i="1" s="1"/>
  <c r="T8" i="1" a="1"/>
  <c r="T8" i="1" s="1"/>
  <c r="T7" i="1" a="1"/>
  <c r="T7" i="1" s="1"/>
  <c r="M44" i="9" s="1"/>
  <c r="T6" i="1" a="1"/>
  <c r="T6" i="1" s="1"/>
  <c r="M43" i="9" s="1"/>
  <c r="T4" i="1" a="1"/>
  <c r="T4" i="1" s="1"/>
  <c r="M41" i="9" s="1"/>
  <c r="T9" i="1" a="1"/>
  <c r="T9" i="1" s="1"/>
  <c r="T13" i="1" a="1"/>
  <c r="T13" i="1" s="1"/>
  <c r="T14" i="1" a="1"/>
  <c r="T14" i="1" s="1"/>
  <c r="U4" i="1" a="1"/>
  <c r="U4" i="1" s="1"/>
  <c r="L41" i="9" s="1"/>
  <c r="U8" i="1" a="1"/>
  <c r="U8" i="1" s="1"/>
  <c r="U12" i="1" a="1"/>
  <c r="U12" i="1" s="1"/>
  <c r="U7" i="1" a="1"/>
  <c r="U7" i="1" s="1"/>
  <c r="L44" i="9" s="1"/>
  <c r="U5" i="1" a="1"/>
  <c r="U5" i="1" s="1"/>
  <c r="L42" i="9" s="1"/>
  <c r="U6" i="1" a="1"/>
  <c r="U6" i="1" s="1"/>
  <c r="L43" i="9" s="1"/>
  <c r="U14" i="1" a="1"/>
  <c r="U14" i="1" s="1"/>
  <c r="U9" i="1" a="1"/>
  <c r="U9" i="1" s="1"/>
  <c r="U13" i="1" a="1"/>
  <c r="U13" i="1" s="1"/>
  <c r="U10" i="1" a="1"/>
  <c r="U10" i="1" s="1"/>
  <c r="U11" i="1" a="1"/>
  <c r="U11" i="1" s="1"/>
  <c r="V107" i="1" l="1"/>
  <c r="U117" i="1"/>
  <c r="V89" i="1"/>
  <c r="T117" i="1"/>
  <c r="V108" i="1"/>
  <c r="V100" i="1"/>
  <c r="V101" i="1"/>
  <c r="V111" i="1"/>
  <c r="V94" i="1"/>
  <c r="V95" i="1"/>
  <c r="V116" i="1"/>
  <c r="V114" i="1"/>
  <c r="V93" i="1"/>
  <c r="V90" i="1"/>
  <c r="V104" i="1"/>
  <c r="V115" i="1"/>
  <c r="V102" i="1"/>
  <c r="V91" i="1"/>
  <c r="V106" i="1"/>
  <c r="V98" i="1"/>
  <c r="V99" i="1"/>
  <c r="V105" i="1"/>
  <c r="V96" i="1"/>
  <c r="V112" i="1"/>
  <c r="V110" i="1"/>
  <c r="V103" i="1"/>
  <c r="V113" i="1"/>
  <c r="M52" i="9"/>
  <c r="L82" i="9" s="1"/>
  <c r="L52" i="9"/>
  <c r="L81" i="9" s="1"/>
  <c r="U82" i="1"/>
  <c r="T15" i="1"/>
  <c r="U15" i="1"/>
  <c r="U46" i="1"/>
  <c r="V4" i="1"/>
  <c r="N41" i="9" s="1"/>
  <c r="V13" i="1"/>
  <c r="V12" i="1"/>
  <c r="V8" i="1"/>
  <c r="V7" i="1"/>
  <c r="N44" i="9" s="1"/>
  <c r="V9" i="1"/>
  <c r="V11" i="1"/>
  <c r="V10" i="1"/>
  <c r="V5" i="1"/>
  <c r="N42" i="9" s="1"/>
  <c r="V6" i="1"/>
  <c r="N43" i="9" s="1"/>
  <c r="V14" i="1"/>
  <c r="V117" i="1" l="1"/>
  <c r="M82" i="9"/>
  <c r="M81" i="9"/>
  <c r="N52" i="9"/>
  <c r="L83" i="9" s="1"/>
  <c r="V15" i="1"/>
  <c r="M83" i="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<sst xmlns="http://schemas.openxmlformats.org/spreadsheetml/2006/main" count="3487" uniqueCount="656">
  <si>
    <t xml:space="preserve">Sede </t>
  </si>
  <si>
    <t xml:space="preserve">Ciudad </t>
  </si>
  <si>
    <t xml:space="preserve">Departemento </t>
  </si>
  <si>
    <t>Nombre Equipo</t>
  </si>
  <si>
    <t>Placa</t>
  </si>
  <si>
    <t>Periodicidad/calibración</t>
  </si>
  <si>
    <t>Ultima fehca de calibración</t>
  </si>
  <si>
    <t>Periodicidad/Mant Preventivo</t>
  </si>
  <si>
    <t>Sede</t>
  </si>
  <si>
    <t>Ciudad</t>
  </si>
  <si>
    <t>Departamento</t>
  </si>
  <si>
    <t>Administrativa CDP Bogota</t>
  </si>
  <si>
    <t>Bogotá</t>
  </si>
  <si>
    <t>Bogotá D.C</t>
  </si>
  <si>
    <t>Administrativa CDP Medellin</t>
  </si>
  <si>
    <t>Medellín</t>
  </si>
  <si>
    <t>Antioquia</t>
  </si>
  <si>
    <t>Administrativa Torreplaza</t>
  </si>
  <si>
    <t>Almacén Bogotá</t>
  </si>
  <si>
    <t>Almacén Medellín</t>
  </si>
  <si>
    <t>Atención domiciliaria Bog</t>
  </si>
  <si>
    <t>Atención domiciliaria Med</t>
  </si>
  <si>
    <t>Barranquilla</t>
  </si>
  <si>
    <t>Atlántico</t>
  </si>
  <si>
    <t>Bello</t>
  </si>
  <si>
    <t>Calle 27</t>
  </si>
  <si>
    <t>Montería</t>
  </si>
  <si>
    <t>Córdoba</t>
  </si>
  <si>
    <t>Campestre</t>
  </si>
  <si>
    <t>Central de Procesos Bogotá</t>
  </si>
  <si>
    <t>Central de Procesos Medellín</t>
  </si>
  <si>
    <t>Cientifica Nacional</t>
  </si>
  <si>
    <t>Chia</t>
  </si>
  <si>
    <t>Chía</t>
  </si>
  <si>
    <t>Cundinamarca</t>
  </si>
  <si>
    <t>Clinica Central</t>
  </si>
  <si>
    <t>Clinica EMMSA</t>
  </si>
  <si>
    <t>Clinica Monteria</t>
  </si>
  <si>
    <t>Clínica Primavera</t>
  </si>
  <si>
    <t>Villavicencio</t>
  </si>
  <si>
    <t>Meta</t>
  </si>
  <si>
    <t>Envigado</t>
  </si>
  <si>
    <t>Gran vía</t>
  </si>
  <si>
    <t>Hospital de caldas</t>
  </si>
  <si>
    <t>Caldas</t>
  </si>
  <si>
    <t>IPS</t>
  </si>
  <si>
    <t>Laureles</t>
  </si>
  <si>
    <t>Llanogrande</t>
  </si>
  <si>
    <t>Rionegro</t>
  </si>
  <si>
    <t>Manizales Palogrande</t>
  </si>
  <si>
    <t>Manizales</t>
  </si>
  <si>
    <t>Sabaneta</t>
  </si>
  <si>
    <t>Santa Teresita</t>
  </si>
  <si>
    <t>Sincelejo</t>
  </si>
  <si>
    <t>Sucre</t>
  </si>
  <si>
    <t>Suramericana</t>
  </si>
  <si>
    <t>Torre Médica Clínica EMMSA</t>
  </si>
  <si>
    <t>Torreplaza</t>
  </si>
  <si>
    <t>Unisalud Medellin</t>
  </si>
  <si>
    <t>Torre Medica Salud Vegas</t>
  </si>
  <si>
    <t>Medellin</t>
  </si>
  <si>
    <t>periodicidad de calibración</t>
  </si>
  <si>
    <t>Anual</t>
  </si>
  <si>
    <t>Bianual</t>
  </si>
  <si>
    <t>periodicidad preventivo</t>
  </si>
  <si>
    <t xml:space="preserve">Semestral </t>
  </si>
  <si>
    <t>Fehca
Mant. Preventivo</t>
  </si>
  <si>
    <t>Valor prev.</t>
  </si>
  <si>
    <t xml:space="preserve"> Valor calibración</t>
  </si>
  <si>
    <t xml:space="preserve">Costos Totales </t>
  </si>
  <si>
    <t>Proveedor prev.</t>
  </si>
  <si>
    <t>Proveedor calib.</t>
  </si>
  <si>
    <t>proveedores</t>
  </si>
  <si>
    <t>Celsius</t>
  </si>
  <si>
    <t>CAH</t>
  </si>
  <si>
    <t>Termohigrómetro</t>
  </si>
  <si>
    <t>N/A</t>
  </si>
  <si>
    <t>Termómetro digital</t>
  </si>
  <si>
    <t>LMEP3200942</t>
  </si>
  <si>
    <t>LMEP3202163</t>
  </si>
  <si>
    <t>LMEP3201552</t>
  </si>
  <si>
    <t>LMEP3202303</t>
  </si>
  <si>
    <t xml:space="preserve">LMEP3202200 </t>
  </si>
  <si>
    <t>LMEP3202070</t>
  </si>
  <si>
    <t xml:space="preserve">LMEP3201519 </t>
  </si>
  <si>
    <t>LMEP3201351</t>
  </si>
  <si>
    <t>LMEP3200549</t>
  </si>
  <si>
    <t>LMEC3200576</t>
  </si>
  <si>
    <t>LMEP3201360</t>
  </si>
  <si>
    <t>LMEP3202025</t>
  </si>
  <si>
    <t>LMEP3201984</t>
  </si>
  <si>
    <t>LMEP3200939</t>
  </si>
  <si>
    <t>LMEP3201562</t>
  </si>
  <si>
    <t>LMEP3202132</t>
  </si>
  <si>
    <t>LMEP3201065</t>
  </si>
  <si>
    <t>Precision</t>
  </si>
  <si>
    <t>LMEP3201591</t>
  </si>
  <si>
    <t>LMEP3202171</t>
  </si>
  <si>
    <t>LMEP3200084</t>
  </si>
  <si>
    <t>LMEP3201165</t>
  </si>
  <si>
    <t xml:space="preserve">LMEP3202150 </t>
  </si>
  <si>
    <t>LMEP3201811</t>
  </si>
  <si>
    <t xml:space="preserve">LMEP3201753 </t>
  </si>
  <si>
    <t>LMEP3202152</t>
  </si>
  <si>
    <t xml:space="preserve">LMEP3202336 </t>
  </si>
  <si>
    <t>LMEP3202148</t>
  </si>
  <si>
    <t>LMEP3202337</t>
  </si>
  <si>
    <t>LMEP3201369</t>
  </si>
  <si>
    <t xml:space="preserve">LMEP3201957 </t>
  </si>
  <si>
    <t>LMEP3201371</t>
  </si>
  <si>
    <t>LMEP3202036</t>
  </si>
  <si>
    <t>Equipo</t>
  </si>
  <si>
    <t>Costo</t>
  </si>
  <si>
    <t>Doxa</t>
  </si>
  <si>
    <t>Micropipeta 100-1000 ul</t>
  </si>
  <si>
    <t>Micropipeta 5-50ul</t>
  </si>
  <si>
    <t>Micropipeta 0,5-10ul</t>
  </si>
  <si>
    <t>Micropipeta 1-10 ml</t>
  </si>
  <si>
    <t>Micropipeta 20-200 ul</t>
  </si>
  <si>
    <t>Micropipeta 2-20 ul</t>
  </si>
  <si>
    <t>Termómetro punzón</t>
  </si>
  <si>
    <t>Termómetro infrarrojo</t>
  </si>
  <si>
    <t>Centrífuga</t>
  </si>
  <si>
    <t>Baño serológico</t>
  </si>
  <si>
    <t>Incubadora</t>
  </si>
  <si>
    <t>Nevera</t>
  </si>
  <si>
    <t>Baño seco</t>
  </si>
  <si>
    <t>Micropipeta 10-100 ul</t>
  </si>
  <si>
    <t>Equipos</t>
  </si>
  <si>
    <t>LMEP3200598</t>
  </si>
  <si>
    <t>Certificado Calb</t>
  </si>
  <si>
    <t>C-31988</t>
  </si>
  <si>
    <t>LMEP3201598</t>
  </si>
  <si>
    <t>DX-75085</t>
  </si>
  <si>
    <t>LMEP3201611</t>
  </si>
  <si>
    <t>DX-75086</t>
  </si>
  <si>
    <t>LMEP3201616</t>
  </si>
  <si>
    <t>DX-78220</t>
  </si>
  <si>
    <t>LMEP3201613</t>
  </si>
  <si>
    <t>DX-78954</t>
  </si>
  <si>
    <t>LMEP3201623</t>
  </si>
  <si>
    <t>DX-78955</t>
  </si>
  <si>
    <t>LMEP3201140</t>
  </si>
  <si>
    <t>DX-78965</t>
  </si>
  <si>
    <t>LMEP3202553</t>
  </si>
  <si>
    <t>DX-78966</t>
  </si>
  <si>
    <t>LMEP3201871</t>
  </si>
  <si>
    <t>DX-79086</t>
  </si>
  <si>
    <t>LMEP3200567</t>
  </si>
  <si>
    <t>Pipeta vol fijo</t>
  </si>
  <si>
    <t>DX-79088</t>
  </si>
  <si>
    <t>LMEP3201593</t>
  </si>
  <si>
    <t>DX-79089</t>
  </si>
  <si>
    <t>LMEP3202554</t>
  </si>
  <si>
    <t>DX-79119</t>
  </si>
  <si>
    <t>Micropipeta 40-200 ul</t>
  </si>
  <si>
    <t>Micropipeta 5-40 ul</t>
  </si>
  <si>
    <t>LMEP3202552</t>
  </si>
  <si>
    <t>DX-79121</t>
  </si>
  <si>
    <t>LMEP3202202</t>
  </si>
  <si>
    <t>LMEP3201481</t>
  </si>
  <si>
    <t>C-33049</t>
  </si>
  <si>
    <t>Trienal</t>
  </si>
  <si>
    <t>LMEP3201195</t>
  </si>
  <si>
    <t>DX-80514</t>
  </si>
  <si>
    <t>Báscula análoga</t>
  </si>
  <si>
    <t>LMEP3200617</t>
  </si>
  <si>
    <t>DX-80564</t>
  </si>
  <si>
    <t>LMEP3201279</t>
  </si>
  <si>
    <t>DX-80565</t>
  </si>
  <si>
    <t>Báscula digital</t>
  </si>
  <si>
    <t>LMEP3201282</t>
  </si>
  <si>
    <t>DX-80566</t>
  </si>
  <si>
    <t>LMEP3202172</t>
  </si>
  <si>
    <t>DX-80567</t>
  </si>
  <si>
    <t>LMEP3202151</t>
  </si>
  <si>
    <t>DX-80808</t>
  </si>
  <si>
    <t>LMEP3201961</t>
  </si>
  <si>
    <t>DX-80809</t>
  </si>
  <si>
    <t>LMEP3201131</t>
  </si>
  <si>
    <t>DX-80810</t>
  </si>
  <si>
    <t>LMEP3201375</t>
  </si>
  <si>
    <t>DX-80811</t>
  </si>
  <si>
    <t>LMEP3201962</t>
  </si>
  <si>
    <t>DX-80812</t>
  </si>
  <si>
    <t>LMEP3201452</t>
  </si>
  <si>
    <t>DX-80813</t>
  </si>
  <si>
    <t>LMEP3201414</t>
  </si>
  <si>
    <t>DX-80814</t>
  </si>
  <si>
    <t>LMEP3201127</t>
  </si>
  <si>
    <t>DX-80815</t>
  </si>
  <si>
    <t>CC 349079</t>
  </si>
  <si>
    <t>CC 349078</t>
  </si>
  <si>
    <t>CC 349070</t>
  </si>
  <si>
    <t>CC 349071</t>
  </si>
  <si>
    <t>CC 349069</t>
  </si>
  <si>
    <t>CC 349083</t>
  </si>
  <si>
    <t>CC 349106</t>
  </si>
  <si>
    <t>CC 349111</t>
  </si>
  <si>
    <t>CC 349112</t>
  </si>
  <si>
    <t>CC 349113</t>
  </si>
  <si>
    <t>CC 349096</t>
  </si>
  <si>
    <t>CC 349097</t>
  </si>
  <si>
    <t>CC  349098</t>
  </si>
  <si>
    <t>CC 349099</t>
  </si>
  <si>
    <t>CC 349100</t>
  </si>
  <si>
    <t>CC 349101</t>
  </si>
  <si>
    <t>CC 349102</t>
  </si>
  <si>
    <t>CC 349103</t>
  </si>
  <si>
    <t>CC 349115</t>
  </si>
  <si>
    <t>CC 349116</t>
  </si>
  <si>
    <t>CC 349117</t>
  </si>
  <si>
    <t>CC 349105</t>
  </si>
  <si>
    <t>CC 349075</t>
  </si>
  <si>
    <t>CC 349084</t>
  </si>
  <si>
    <t>CC 349085</t>
  </si>
  <si>
    <t>CC 349086</t>
  </si>
  <si>
    <t>CC 349087</t>
  </si>
  <si>
    <t>CC 349088</t>
  </si>
  <si>
    <t>CC 349089</t>
  </si>
  <si>
    <t>CC 349091</t>
  </si>
  <si>
    <t>CC 349092</t>
  </si>
  <si>
    <t>CC 349093</t>
  </si>
  <si>
    <t>CC 349094</t>
  </si>
  <si>
    <t>LMEP3201609</t>
  </si>
  <si>
    <t>DX-79875</t>
  </si>
  <si>
    <t>LMEP3202041</t>
  </si>
  <si>
    <t>DX-79876</t>
  </si>
  <si>
    <t>LMEP3200783</t>
  </si>
  <si>
    <t>DX-79877</t>
  </si>
  <si>
    <t>LMEP3202162</t>
  </si>
  <si>
    <t>LMEC3200602</t>
  </si>
  <si>
    <t>DX-79879</t>
  </si>
  <si>
    <t>DX-79882</t>
  </si>
  <si>
    <t>LMEP3201596</t>
  </si>
  <si>
    <t>DX-79916</t>
  </si>
  <si>
    <t>LMEP3201808</t>
  </si>
  <si>
    <t>DX-79950</t>
  </si>
  <si>
    <t>LMEC3200599</t>
  </si>
  <si>
    <t>DX-79928</t>
  </si>
  <si>
    <t>LMEP3201475</t>
  </si>
  <si>
    <t>C-31848</t>
  </si>
  <si>
    <t>LMEC3200598</t>
  </si>
  <si>
    <t>DX-79370</t>
  </si>
  <si>
    <t>LMEC3200595</t>
  </si>
  <si>
    <t>DX-79371</t>
  </si>
  <si>
    <t>LMEP3201606</t>
  </si>
  <si>
    <t>DX-79372</t>
  </si>
  <si>
    <t>LMEP3201350</t>
  </si>
  <si>
    <t>DX-79593</t>
  </si>
  <si>
    <t>LMEP3201599</t>
  </si>
  <si>
    <t>DX-79594</t>
  </si>
  <si>
    <t>LMEP3201594</t>
  </si>
  <si>
    <t>DX-79595</t>
  </si>
  <si>
    <t>LMEP3202166</t>
  </si>
  <si>
    <t>DX-79596</t>
  </si>
  <si>
    <t>LMEC3200601</t>
  </si>
  <si>
    <t>DX-79597</t>
  </si>
  <si>
    <t>LMEC3200603</t>
  </si>
  <si>
    <t>DX-79598</t>
  </si>
  <si>
    <t>LMEP3201528</t>
  </si>
  <si>
    <t>DX-79599</t>
  </si>
  <si>
    <t>LMEP3201365</t>
  </si>
  <si>
    <t>LMEP3201561</t>
  </si>
  <si>
    <t>DX-79601</t>
  </si>
  <si>
    <t>DX-79600</t>
  </si>
  <si>
    <t>LMEP3201607</t>
  </si>
  <si>
    <t>DX-79602</t>
  </si>
  <si>
    <t>LMEP3201364</t>
  </si>
  <si>
    <t>DX-79603</t>
  </si>
  <si>
    <t>LMEP3201541</t>
  </si>
  <si>
    <t>DX-79604</t>
  </si>
  <si>
    <t>DX-79605</t>
  </si>
  <si>
    <t>LMEP3201542</t>
  </si>
  <si>
    <t>LMEP3200008</t>
  </si>
  <si>
    <t>DX-79606</t>
  </si>
  <si>
    <t>LMEP3201263</t>
  </si>
  <si>
    <t>DX-79623</t>
  </si>
  <si>
    <t>LMEP3201821</t>
  </si>
  <si>
    <t>DX-79624</t>
  </si>
  <si>
    <t>LMEP3201285</t>
  </si>
  <si>
    <t>DX-79625</t>
  </si>
  <si>
    <t>LMEP3200234</t>
  </si>
  <si>
    <t>DX-79626</t>
  </si>
  <si>
    <t>LMEP3200723</t>
  </si>
  <si>
    <t>DX-79627</t>
  </si>
  <si>
    <t>LMEP3201812</t>
  </si>
  <si>
    <t>DX-79628</t>
  </si>
  <si>
    <t>LMEP3200758</t>
  </si>
  <si>
    <t>DX-79629</t>
  </si>
  <si>
    <t>LMEP3200676</t>
  </si>
  <si>
    <t>DX-79630</t>
  </si>
  <si>
    <t>LMEP3201303</t>
  </si>
  <si>
    <t>DX-79631</t>
  </si>
  <si>
    <t xml:space="preserve">Agitador </t>
  </si>
  <si>
    <t>Agitador magnético</t>
  </si>
  <si>
    <t>Agitador de mazzini</t>
  </si>
  <si>
    <t>Bomba de vacío</t>
  </si>
  <si>
    <t>Horno de secado</t>
  </si>
  <si>
    <t>Minicentrífuga</t>
  </si>
  <si>
    <t>Microscopio</t>
  </si>
  <si>
    <t>Microcentrífuga</t>
  </si>
  <si>
    <t>Microondas</t>
  </si>
  <si>
    <t>Cámara de electroforesis</t>
  </si>
  <si>
    <t>Transiluminador</t>
  </si>
  <si>
    <t>Piano 5 teclas</t>
  </si>
  <si>
    <t>Silla de ruedas</t>
  </si>
  <si>
    <t>DX-79122</t>
  </si>
  <si>
    <t>DX-79685</t>
  </si>
  <si>
    <t>LMEP3201858</t>
  </si>
  <si>
    <t>DX-79734</t>
  </si>
  <si>
    <t>LMEP3202562</t>
  </si>
  <si>
    <t>DX-79735</t>
  </si>
  <si>
    <t>LMEP3202564</t>
  </si>
  <si>
    <t>DX-79736</t>
  </si>
  <si>
    <t>LMEP3202566</t>
  </si>
  <si>
    <t>DX-79737</t>
  </si>
  <si>
    <t>LMEP3202567</t>
  </si>
  <si>
    <t>LMEP3202561</t>
  </si>
  <si>
    <t>DX-79738</t>
  </si>
  <si>
    <t>DX-79806</t>
  </si>
  <si>
    <t>DX-79807</t>
  </si>
  <si>
    <t>DX-79808</t>
  </si>
  <si>
    <t>LMEP3202125</t>
  </si>
  <si>
    <t>DX-79811</t>
  </si>
  <si>
    <t>LMEP3202560</t>
  </si>
  <si>
    <t>DX-79812</t>
  </si>
  <si>
    <t>LMEP3202568</t>
  </si>
  <si>
    <t>DX-79813</t>
  </si>
  <si>
    <t>LMEP3202563</t>
  </si>
  <si>
    <t>DX-79814</t>
  </si>
  <si>
    <t>LMEP3202565</t>
  </si>
  <si>
    <t>DX-79820</t>
  </si>
  <si>
    <t>LMEP3201909</t>
  </si>
  <si>
    <t>DX-79821</t>
  </si>
  <si>
    <t>LMEP3202067</t>
  </si>
  <si>
    <t>DX-79852</t>
  </si>
  <si>
    <t>DX-79923</t>
  </si>
  <si>
    <t>LMEP3201989</t>
  </si>
  <si>
    <t>DX-79926</t>
  </si>
  <si>
    <t>LMEP3201592</t>
  </si>
  <si>
    <t>CA 213902</t>
  </si>
  <si>
    <t>LMEP3200165</t>
  </si>
  <si>
    <t>CA 213903</t>
  </si>
  <si>
    <t>LMEP3200355</t>
  </si>
  <si>
    <t>LMEP3201638</t>
  </si>
  <si>
    <t>CA 213904</t>
  </si>
  <si>
    <t>CA 213905</t>
  </si>
  <si>
    <t>LMEP3200140</t>
  </si>
  <si>
    <t>CA 215387</t>
  </si>
  <si>
    <t>LMEP3201726</t>
  </si>
  <si>
    <t>CA 215388</t>
  </si>
  <si>
    <t>LMEP3201723</t>
  </si>
  <si>
    <t>CA 215389</t>
  </si>
  <si>
    <t>LMEP3200833</t>
  </si>
  <si>
    <t>LMEP3200144</t>
  </si>
  <si>
    <t>CA 215390</t>
  </si>
  <si>
    <t>CA 215391</t>
  </si>
  <si>
    <t>LMEP3200922</t>
  </si>
  <si>
    <t>CA 248106</t>
  </si>
  <si>
    <t>LMEP3202093</t>
  </si>
  <si>
    <t>CA 248107</t>
  </si>
  <si>
    <t>LMEP3200236</t>
  </si>
  <si>
    <t>LMEP3201083</t>
  </si>
  <si>
    <t>CA 214281</t>
  </si>
  <si>
    <t>LMEP3201903</t>
  </si>
  <si>
    <t>CC 349107</t>
  </si>
  <si>
    <t>LMEP3201841</t>
  </si>
  <si>
    <t>CC 349108</t>
  </si>
  <si>
    <t>LMEP3201840</t>
  </si>
  <si>
    <t>CC 349109</t>
  </si>
  <si>
    <t>LMEP3200339</t>
  </si>
  <si>
    <t>CC 349110</t>
  </si>
  <si>
    <t>CC 349114</t>
  </si>
  <si>
    <t>LMEP3201814</t>
  </si>
  <si>
    <t>LMEP3200206</t>
  </si>
  <si>
    <t>CA 243683</t>
  </si>
  <si>
    <t>Congelador</t>
  </si>
  <si>
    <t>CA 243684</t>
  </si>
  <si>
    <t>LMEP3200756</t>
  </si>
  <si>
    <t>CA 248295</t>
  </si>
  <si>
    <t xml:space="preserve">LMEP3201046 </t>
  </si>
  <si>
    <t>CA 248310</t>
  </si>
  <si>
    <t>LMEP3201200</t>
  </si>
  <si>
    <t>CC 348153</t>
  </si>
  <si>
    <t>CC 349654</t>
  </si>
  <si>
    <t>LMEP3202168</t>
  </si>
  <si>
    <t>CC 349655</t>
  </si>
  <si>
    <t>Baño María</t>
  </si>
  <si>
    <t>Vortex</t>
  </si>
  <si>
    <t>Contador de células</t>
  </si>
  <si>
    <t>Equipo Iontoforesis</t>
  </si>
  <si>
    <t>LMEP3201536</t>
  </si>
  <si>
    <t>Reporte Mant. Prev</t>
  </si>
  <si>
    <t>LMEP3201530</t>
  </si>
  <si>
    <t>LMEP3202063</t>
  </si>
  <si>
    <t>LMEP3201982</t>
  </si>
  <si>
    <t>LMEP3200387</t>
  </si>
  <si>
    <t>LMEP3200684</t>
  </si>
  <si>
    <t>LMEP3201526</t>
  </si>
  <si>
    <t>LMEP3201839</t>
  </si>
  <si>
    <t>LMEP3201595</t>
  </si>
  <si>
    <t>LMEP3201029</t>
  </si>
  <si>
    <t>LMEP3202201</t>
  </si>
  <si>
    <t>LMEP3201398</t>
  </si>
  <si>
    <t>LMEP3201937</t>
  </si>
  <si>
    <t>LMEP3201834</t>
  </si>
  <si>
    <t>LMEP3201981</t>
  </si>
  <si>
    <t>LMEP3201391</t>
  </si>
  <si>
    <t>LMEP3200528</t>
  </si>
  <si>
    <t>LMEP3200562</t>
  </si>
  <si>
    <t>Micropipeta 200-1000 ul</t>
  </si>
  <si>
    <t>LMEP3202306</t>
  </si>
  <si>
    <t>LMEP3200007</t>
  </si>
  <si>
    <t>LMEP3202109</t>
  </si>
  <si>
    <t>LMEP3201601</t>
  </si>
  <si>
    <t>LMEP3201873</t>
  </si>
  <si>
    <t>LMEP3201874</t>
  </si>
  <si>
    <t>LMEP3201385</t>
  </si>
  <si>
    <t>LMEP3201399</t>
  </si>
  <si>
    <t>LMEP3201983</t>
  </si>
  <si>
    <t>Micropipeta 10-50 ul</t>
  </si>
  <si>
    <t>LMEP3201347</t>
  </si>
  <si>
    <t>LMEP3201387</t>
  </si>
  <si>
    <t>LMEP3201159</t>
  </si>
  <si>
    <t>LMEP3200150</t>
  </si>
  <si>
    <t>LMEP3200303</t>
  </si>
  <si>
    <t>LMEP3201986</t>
  </si>
  <si>
    <t>Micropipeta 25-250 ul</t>
  </si>
  <si>
    <t>LMEP3200297</t>
  </si>
  <si>
    <t>LMEP3200897</t>
  </si>
  <si>
    <t>Refrigerador</t>
  </si>
  <si>
    <t>MYE0105</t>
  </si>
  <si>
    <t>LMEP3201419</t>
  </si>
  <si>
    <t>MYE0128</t>
  </si>
  <si>
    <t>MYE0126</t>
  </si>
  <si>
    <t>MYE0102</t>
  </si>
  <si>
    <t>LMEP3200683</t>
  </si>
  <si>
    <t>LMEP3200941</t>
  </si>
  <si>
    <t>LMEP3200202</t>
  </si>
  <si>
    <t>LMEP3200230</t>
  </si>
  <si>
    <t>LMEP3200971</t>
  </si>
  <si>
    <t>LMEP3200606</t>
  </si>
  <si>
    <t>LMEP3200203</t>
  </si>
  <si>
    <t>LMEP3200137</t>
  </si>
  <si>
    <t>LMEP3200919</t>
  </si>
  <si>
    <t>LMEP3200161</t>
  </si>
  <si>
    <t>LMEP3202265</t>
  </si>
  <si>
    <t>LMEP3200499</t>
  </si>
  <si>
    <t>LMEP3200133</t>
  </si>
  <si>
    <t>LMEP3201455</t>
  </si>
  <si>
    <t>LMEP3200525</t>
  </si>
  <si>
    <t>LMEP3202030</t>
  </si>
  <si>
    <t>LMEP3200840</t>
  </si>
  <si>
    <t>LMEP3201063</t>
  </si>
  <si>
    <t>LMEP3200155</t>
  </si>
  <si>
    <t>LMEP3200149</t>
  </si>
  <si>
    <t>LMEP3201635</t>
  </si>
  <si>
    <t>LMEP3201631</t>
  </si>
  <si>
    <t>LMEP3200164</t>
  </si>
  <si>
    <t>LMEP3200162</t>
  </si>
  <si>
    <t>LMEP3200898</t>
  </si>
  <si>
    <t>LMEP3201418</t>
  </si>
  <si>
    <t>LMEP3201633</t>
  </si>
  <si>
    <t>LMEP3201149</t>
  </si>
  <si>
    <t>LMEP3200158</t>
  </si>
  <si>
    <t>LMEP3200328</t>
  </si>
  <si>
    <t>LMEP3200480</t>
  </si>
  <si>
    <t>LMEP3200270</t>
  </si>
  <si>
    <t>LMEP3202095</t>
  </si>
  <si>
    <t>LMEP3200814</t>
  </si>
  <si>
    <t>LMEP3202029</t>
  </si>
  <si>
    <t>LMEP3200980</t>
  </si>
  <si>
    <t>LMEP3203492</t>
  </si>
  <si>
    <t>LMEP3200266</t>
  </si>
  <si>
    <t>LMEP3201620</t>
  </si>
  <si>
    <t>LMEP3201098</t>
  </si>
  <si>
    <t>LMEP3200737</t>
  </si>
  <si>
    <t>LMEP3200674</t>
  </si>
  <si>
    <t>LMEP3202069</t>
  </si>
  <si>
    <t>LMEP3202073</t>
  </si>
  <si>
    <t>LMEC3200578</t>
  </si>
  <si>
    <t>LMEP3201361</t>
  </si>
  <si>
    <t>LMEP3200388</t>
  </si>
  <si>
    <t>LMEP3200227</t>
  </si>
  <si>
    <t>LMEP3201617</t>
  </si>
  <si>
    <t>LMEC3200600</t>
  </si>
  <si>
    <t>Zoser</t>
  </si>
  <si>
    <t>Proveedores calibración de equipos biomédicos</t>
  </si>
  <si>
    <t>Proveedores Mantenimiento preventivo de equipos biomédicos</t>
  </si>
  <si>
    <t>LMEP3201170</t>
  </si>
  <si>
    <t>LMEP3200585</t>
  </si>
  <si>
    <t>NA</t>
  </si>
  <si>
    <t>LMEP3200111</t>
  </si>
  <si>
    <t>LMEP3200025</t>
  </si>
  <si>
    <t>LMEP3200070</t>
  </si>
  <si>
    <t>LMEP3200314</t>
  </si>
  <si>
    <t>LMEP3200395</t>
  </si>
  <si>
    <t>LMEP3201154</t>
  </si>
  <si>
    <t xml:space="preserve">Nevera minibar </t>
  </si>
  <si>
    <t>LMEP3200950</t>
  </si>
  <si>
    <t>LMEP3201100</t>
  </si>
  <si>
    <t>LMEP3200377</t>
  </si>
  <si>
    <t>LMEP32301024</t>
  </si>
  <si>
    <t>LMEP3200826</t>
  </si>
  <si>
    <t>LMEP3201141</t>
  </si>
  <si>
    <t>LMEP3201897</t>
  </si>
  <si>
    <t>LMEP3200276</t>
  </si>
  <si>
    <t>LMEP3201101</t>
  </si>
  <si>
    <t>LMEP3200197</t>
  </si>
  <si>
    <t>Micropipeta 5-40ul</t>
  </si>
  <si>
    <t>LMEP3201987</t>
  </si>
  <si>
    <t>LMEP3200959</t>
  </si>
  <si>
    <t>LMEP3200577</t>
  </si>
  <si>
    <t>LMEP3201608</t>
  </si>
  <si>
    <t>LMEP3201605</t>
  </si>
  <si>
    <t>LMEP3201791</t>
  </si>
  <si>
    <t>LMEP3201394</t>
  </si>
  <si>
    <t>LMEP3200603</t>
  </si>
  <si>
    <t>LMEP3201603</t>
  </si>
  <si>
    <t>LMEP3201988</t>
  </si>
  <si>
    <t>LMEP3201383</t>
  </si>
  <si>
    <t>LMEP3201558</t>
  </si>
  <si>
    <t>LMEP3200667</t>
  </si>
  <si>
    <t>LMEP3201614</t>
  </si>
  <si>
    <t>LMEP3201835</t>
  </si>
  <si>
    <t>Cabina de flujo (Ptvo)</t>
  </si>
  <si>
    <t>Cabina de bioseguridad (Ptvo)</t>
  </si>
  <si>
    <t>Cabina de flujo (Calf)</t>
  </si>
  <si>
    <t>Cabina de bioseguridad (Calf)</t>
  </si>
  <si>
    <t>Centrífuga (Chía)</t>
  </si>
  <si>
    <t>Baño serológico (Chía)</t>
  </si>
  <si>
    <t>M2715-090523</t>
  </si>
  <si>
    <t>15108-090523</t>
  </si>
  <si>
    <t>M3056-160523</t>
  </si>
  <si>
    <t>15598-160523</t>
  </si>
  <si>
    <t>LMEP3201353</t>
  </si>
  <si>
    <t>LMEP3200868</t>
  </si>
  <si>
    <t>LMEP3202134</t>
  </si>
  <si>
    <t>Nevera (Chía)</t>
  </si>
  <si>
    <t>LMEP3200946</t>
  </si>
  <si>
    <t>LMEP3201188</t>
  </si>
  <si>
    <t>LMEP3201051</t>
  </si>
  <si>
    <t>Febrero</t>
  </si>
  <si>
    <t>Mes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</si>
  <si>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</si>
  <si>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</si>
  <si>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</si>
  <si>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</si>
  <si>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</si>
  <si>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</si>
  <si>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</si>
  <si>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</si>
  <si>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</si>
  <si>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</si>
  <si>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Preventivo</t>
  </si>
  <si>
    <t>Total Calibración</t>
  </si>
  <si>
    <t>Total Mes</t>
  </si>
  <si>
    <t>Total Año</t>
  </si>
  <si>
    <t xml:space="preserve">Tablero de datos de costos de mantenimientos de los equipos biomedicos </t>
  </si>
  <si>
    <t>Valor Prev + IVA</t>
  </si>
  <si>
    <t>Valor Calb + IVA</t>
  </si>
  <si>
    <t>Nevera minibar</t>
  </si>
  <si>
    <t>Horno/Incubadora</t>
  </si>
  <si>
    <t>Agitador (Mag,mazzini)</t>
  </si>
  <si>
    <t>Pipetas</t>
  </si>
  <si>
    <t>Congelador/Nevera</t>
  </si>
  <si>
    <t>Minibar</t>
  </si>
  <si>
    <t>Baño (María, seco, serolg)</t>
  </si>
  <si>
    <t>Tabla comparativa Proveedores</t>
  </si>
  <si>
    <t xml:space="preserve">Total calibración </t>
  </si>
  <si>
    <t>total preventivo</t>
  </si>
  <si>
    <t>Total servicios</t>
  </si>
  <si>
    <t>Total</t>
  </si>
  <si>
    <t>Totales</t>
  </si>
  <si>
    <t>Costos de calibración por equipo</t>
  </si>
  <si>
    <t>Costos de preventivo por equipo</t>
  </si>
  <si>
    <t xml:space="preserve"> </t>
  </si>
  <si>
    <t>Tablas comparativas</t>
  </si>
  <si>
    <t>Tablas informativas</t>
  </si>
  <si>
    <t>TABLERO DE CONTROL</t>
  </si>
  <si>
    <t>Proveedor "A"</t>
  </si>
  <si>
    <t>Proveedor "B"</t>
  </si>
  <si>
    <t>Proveedor "C"</t>
  </si>
  <si>
    <t>Proveedor "D"</t>
  </si>
  <si>
    <t>Proveedor "Z"</t>
  </si>
  <si>
    <t>Diferencias</t>
  </si>
  <si>
    <t>Agitador</t>
  </si>
  <si>
    <t>Clínica Montería</t>
  </si>
  <si>
    <t>Centrifuga</t>
  </si>
  <si>
    <t>Pipeta tipo 1</t>
  </si>
  <si>
    <t>Baño serologico</t>
  </si>
  <si>
    <t>Horno secado</t>
  </si>
  <si>
    <t>Horno micoondas</t>
  </si>
  <si>
    <t>Costo indiviual</t>
  </si>
  <si>
    <t>Costo total</t>
  </si>
  <si>
    <t>Contador de celulas</t>
  </si>
  <si>
    <t xml:space="preserve">Pipeta </t>
  </si>
  <si>
    <t>Clínica Central</t>
  </si>
  <si>
    <t>Total sede</t>
  </si>
  <si>
    <t>Total mes</t>
  </si>
  <si>
    <t>n° equipos</t>
  </si>
  <si>
    <t>Emmsa</t>
  </si>
  <si>
    <t>Salud Vegas</t>
  </si>
  <si>
    <t>Serofuga</t>
  </si>
  <si>
    <t>CDP Medellín</t>
  </si>
  <si>
    <t xml:space="preserve">Pipetas </t>
  </si>
  <si>
    <t>Neveras</t>
  </si>
  <si>
    <t>Almacén</t>
  </si>
  <si>
    <t>Atención domiciliaria</t>
  </si>
  <si>
    <t>Pipeta</t>
  </si>
  <si>
    <t>Llano Grande</t>
  </si>
  <si>
    <t>Empresariales</t>
  </si>
  <si>
    <t xml:space="preserve">Centrífuga </t>
  </si>
  <si>
    <t>LMEP3201401</t>
  </si>
  <si>
    <t>LMEP3201400</t>
  </si>
  <si>
    <t>LMEP3201402</t>
  </si>
  <si>
    <t>LMEP3201408</t>
  </si>
  <si>
    <t>LMEP3200146</t>
  </si>
  <si>
    <t>LMEP3200541</t>
  </si>
  <si>
    <t>CDP Bogotá</t>
  </si>
  <si>
    <t>MANTENIMIENTO PREVENTIVO</t>
  </si>
  <si>
    <t>centrífuga</t>
  </si>
  <si>
    <t>Báscula</t>
  </si>
  <si>
    <t>Torre Plaza</t>
  </si>
  <si>
    <t>CDP Manizales</t>
  </si>
  <si>
    <t>Pipeta tipo 2</t>
  </si>
  <si>
    <t>Termómetro</t>
  </si>
  <si>
    <t>Termohigómetro</t>
  </si>
  <si>
    <t>Gran Vía</t>
  </si>
  <si>
    <t>CDDP Medellín</t>
  </si>
  <si>
    <t>Termómetro láser</t>
  </si>
  <si>
    <t>Termohogrómetro</t>
  </si>
  <si>
    <t>Nutibara</t>
  </si>
  <si>
    <t>Clínica central</t>
  </si>
  <si>
    <t xml:space="preserve">Rionegro </t>
  </si>
  <si>
    <t>CALIBRACIONES</t>
  </si>
  <si>
    <t>TOTAL</t>
  </si>
  <si>
    <t>Resumen</t>
  </si>
  <si>
    <t>Gastos mantenimiento</t>
  </si>
  <si>
    <t>Gastos de Calibración</t>
  </si>
  <si>
    <t>Mantenimiento</t>
  </si>
  <si>
    <t>Total costos Anuales</t>
  </si>
  <si>
    <t>Calibración</t>
  </si>
  <si>
    <t xml:space="preserve">Total </t>
  </si>
  <si>
    <t>IPC proyectado para 2024</t>
  </si>
  <si>
    <t>Costos proyectados para 2024</t>
  </si>
  <si>
    <t>Total preventivo</t>
  </si>
  <si>
    <t>Total calibración</t>
  </si>
  <si>
    <t>Total anual</t>
  </si>
  <si>
    <t>Año actual</t>
  </si>
  <si>
    <t>Proyección 2024</t>
  </si>
  <si>
    <t xml:space="preserve">  </t>
  </si>
  <si>
    <t>Total Calb</t>
  </si>
  <si>
    <t>Total Ptvo</t>
  </si>
  <si>
    <t>Costos de calibración y preventivo por 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</si>
</sst>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0.499984740745262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12"/>
      <color theme="1" tint="0.499984740745262"/>
      <name val="Calibri Light"/>
      <family val="2"/>
      <scheme val="major"/>
    </font>
    <font>
      <b/>
      <sz val="14"/>
      <color theme="8" tint="-0.249977111117893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0"/>
      <color theme="1" tint="0.249977111117893"/>
      <name val="Calibri Light"/>
      <family val="2"/>
      <scheme val="major"/>
    </font>
    <font>
      <b/>
      <sz val="14"/>
      <color rgb="FF62983E"/>
      <name val="Calibri Light"/>
      <family val="2"/>
      <scheme val="maj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5" tint="-0.249977111117893"/>
      <name val="Calibri Light"/>
      <family val="2"/>
      <scheme val="major"/>
    </font>
    <font>
      <sz val="14"/>
      <name val="Calibri Light"/>
      <family val="2"/>
      <scheme val="major"/>
    </font>
    <font>
      <sz val="14"/>
      <color theme="7" tint="-0.249977111117893"/>
      <name val="Calibri Light"/>
      <family val="2"/>
      <scheme val="maj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Abadi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62983E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D13F"/>
        <bgColor indexed="64"/>
      </patternFill>
    </fill>
    <fill>
      <patternFill patternType="solid">
        <fgColor rgb="FFEC752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uble">
        <color theme="4" tint="-0.249977111117893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thin">
        <color theme="4" tint="-0.2499465926084170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double">
        <color rgb="FF62983E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double">
        <color theme="5" tint="-0.249977111117893"/>
      </bottom>
      <diagonal/>
    </border>
    <border>
      <left/>
      <right/>
      <top/>
      <bottom style="double">
        <color theme="1"/>
      </bottom>
      <diagonal/>
    </border>
    <border>
      <left/>
      <right/>
      <top/>
      <bottom style="double">
        <color theme="7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44" fontId="8" fillId="0" borderId="0" xfId="1" applyFont="1" applyAlignment="1">
      <alignment horizontal="center" vertical="center"/>
    </xf>
    <xf numFmtId="44" fontId="0" fillId="0" borderId="0" xfId="1" applyFont="1"/>
    <xf numFmtId="0" fontId="10" fillId="0" borderId="0" xfId="0" applyFont="1"/>
    <xf numFmtId="44" fontId="8" fillId="0" borderId="0" xfId="1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2" fillId="3" borderId="9" xfId="0" applyFont="1" applyFill="1" applyBorder="1" applyAlignment="1">
      <alignment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wrapText="1"/>
    </xf>
    <xf numFmtId="0" fontId="0" fillId="0" borderId="7" xfId="0" applyBorder="1"/>
    <xf numFmtId="44" fontId="0" fillId="0" borderId="10" xfId="1" applyFont="1" applyBorder="1"/>
    <xf numFmtId="44" fontId="14" fillId="0" borderId="0" xfId="1" applyFont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vertical="center" wrapText="1"/>
    </xf>
    <xf numFmtId="0" fontId="0" fillId="7" borderId="7" xfId="0" applyFill="1" applyBorder="1"/>
    <xf numFmtId="44" fontId="0" fillId="7" borderId="10" xfId="1" applyFont="1" applyFill="1" applyBorder="1"/>
    <xf numFmtId="0" fontId="0" fillId="7" borderId="13" xfId="0" applyFill="1" applyBorder="1"/>
    <xf numFmtId="0" fontId="0" fillId="0" borderId="13" xfId="0" applyBorder="1"/>
    <xf numFmtId="44" fontId="0" fillId="0" borderId="14" xfId="1" applyFont="1" applyFill="1" applyBorder="1"/>
    <xf numFmtId="44" fontId="0" fillId="7" borderId="14" xfId="1" applyFont="1" applyFill="1" applyBorder="1"/>
    <xf numFmtId="0" fontId="12" fillId="0" borderId="0" xfId="0" applyFont="1"/>
    <xf numFmtId="4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4" fontId="13" fillId="6" borderId="11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13" fillId="8" borderId="0" xfId="0" applyFont="1" applyFill="1" applyAlignment="1">
      <alignment horizontal="center" vertical="center"/>
    </xf>
    <xf numFmtId="44" fontId="13" fillId="8" borderId="0" xfId="0" applyNumberFormat="1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44" fontId="13" fillId="9" borderId="0" xfId="1" applyFont="1" applyFill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44" fontId="13" fillId="10" borderId="0" xfId="0" applyNumberFormat="1" applyFont="1" applyFill="1" applyAlignment="1">
      <alignment horizontal="center" vertical="center"/>
    </xf>
    <xf numFmtId="44" fontId="0" fillId="0" borderId="0" xfId="0" applyNumberFormat="1"/>
    <xf numFmtId="0" fontId="0" fillId="12" borderId="0" xfId="0" applyFill="1"/>
    <xf numFmtId="44" fontId="0" fillId="12" borderId="0" xfId="0" applyNumberFormat="1" applyFill="1"/>
    <xf numFmtId="10" fontId="0" fillId="0" borderId="0" xfId="0" applyNumberFormat="1"/>
    <xf numFmtId="0" fontId="0" fillId="13" borderId="25" xfId="0" applyFill="1" applyBorder="1"/>
    <xf numFmtId="0" fontId="0" fillId="13" borderId="26" xfId="0" applyFill="1" applyBorder="1"/>
    <xf numFmtId="0" fontId="0" fillId="13" borderId="40" xfId="0" applyFill="1" applyBorder="1"/>
    <xf numFmtId="0" fontId="0" fillId="13" borderId="42" xfId="0" applyFill="1" applyBorder="1"/>
    <xf numFmtId="0" fontId="0" fillId="13" borderId="34" xfId="0" applyFill="1" applyBorder="1" applyAlignment="1">
      <alignment vertical="center"/>
    </xf>
    <xf numFmtId="0" fontId="0" fillId="0" borderId="29" xfId="0" applyBorder="1" applyAlignment="1">
      <alignment horizontal="center" vertical="center"/>
    </xf>
    <xf numFmtId="44" fontId="0" fillId="0" borderId="43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29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44" fontId="0" fillId="0" borderId="25" xfId="0" applyNumberFormat="1" applyBorder="1"/>
    <xf numFmtId="44" fontId="0" fillId="0" borderId="47" xfId="0" applyNumberFormat="1" applyBorder="1" applyAlignment="1">
      <alignment horizontal="center" vertical="center"/>
    </xf>
    <xf numFmtId="44" fontId="0" fillId="0" borderId="38" xfId="0" applyNumberFormat="1" applyBorder="1"/>
    <xf numFmtId="44" fontId="0" fillId="0" borderId="46" xfId="0" applyNumberFormat="1" applyBorder="1" applyAlignment="1">
      <alignment horizontal="center" vertical="center"/>
    </xf>
    <xf numFmtId="44" fontId="0" fillId="0" borderId="48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43" xfId="1" applyFont="1" applyBorder="1" applyAlignment="1">
      <alignment horizontal="center" vertical="center"/>
    </xf>
    <xf numFmtId="44" fontId="0" fillId="0" borderId="47" xfId="1" applyFont="1" applyBorder="1" applyAlignment="1">
      <alignment horizontal="center" vertical="center"/>
    </xf>
    <xf numFmtId="44" fontId="0" fillId="0" borderId="29" xfId="1" applyFont="1" applyBorder="1" applyAlignment="1">
      <alignment horizontal="center" vertical="center"/>
    </xf>
    <xf numFmtId="44" fontId="0" fillId="0" borderId="30" xfId="1" applyFont="1" applyBorder="1" applyAlignment="1">
      <alignment horizontal="center" vertical="center"/>
    </xf>
    <xf numFmtId="44" fontId="0" fillId="0" borderId="25" xfId="1" applyFont="1" applyBorder="1" applyAlignment="1">
      <alignment horizontal="center" vertical="center"/>
    </xf>
    <xf numFmtId="44" fontId="0" fillId="0" borderId="25" xfId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44" fontId="0" fillId="0" borderId="42" xfId="1" applyFont="1" applyBorder="1" applyAlignment="1">
      <alignment horizontal="center" vertical="center"/>
    </xf>
    <xf numFmtId="44" fontId="0" fillId="0" borderId="52" xfId="1" applyFont="1" applyBorder="1" applyAlignment="1">
      <alignment horizontal="center" vertical="center"/>
    </xf>
    <xf numFmtId="44" fontId="0" fillId="0" borderId="43" xfId="1" applyFont="1" applyFill="1" applyBorder="1" applyAlignment="1">
      <alignment horizontal="center" vertical="center"/>
    </xf>
    <xf numFmtId="44" fontId="0" fillId="0" borderId="53" xfId="1" applyFont="1" applyBorder="1" applyAlignment="1">
      <alignment horizontal="center" vertical="center"/>
    </xf>
    <xf numFmtId="44" fontId="0" fillId="0" borderId="30" xfId="1" applyFont="1" applyFill="1" applyBorder="1" applyAlignment="1">
      <alignment horizontal="center" vertical="center"/>
    </xf>
    <xf numFmtId="44" fontId="0" fillId="0" borderId="52" xfId="1" applyFont="1" applyFill="1" applyBorder="1" applyAlignment="1">
      <alignment horizontal="center" vertical="center"/>
    </xf>
    <xf numFmtId="44" fontId="0" fillId="0" borderId="53" xfId="1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44" fontId="0" fillId="0" borderId="29" xfId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4" fontId="0" fillId="0" borderId="42" xfId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4" fontId="0" fillId="0" borderId="23" xfId="1" applyFon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22" xfId="1" applyFont="1" applyBorder="1" applyAlignment="1">
      <alignment horizontal="center" vertical="center"/>
    </xf>
    <xf numFmtId="44" fontId="0" fillId="0" borderId="31" xfId="0" applyNumberFormat="1" applyBorder="1" applyAlignment="1">
      <alignment horizontal="center" vertical="center"/>
    </xf>
    <xf numFmtId="44" fontId="0" fillId="0" borderId="41" xfId="1" applyFont="1" applyBorder="1" applyAlignment="1">
      <alignment horizontal="center" vertical="center"/>
    </xf>
    <xf numFmtId="44" fontId="0" fillId="0" borderId="32" xfId="0" applyNumberFormat="1" applyBorder="1" applyAlignment="1">
      <alignment horizontal="center" vertical="center"/>
    </xf>
    <xf numFmtId="44" fontId="0" fillId="0" borderId="25" xfId="0" applyNumberForma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39" xfId="1" applyFont="1" applyFill="1" applyBorder="1" applyAlignment="1">
      <alignment horizontal="center" vertical="center"/>
    </xf>
    <xf numFmtId="44" fontId="0" fillId="0" borderId="23" xfId="0" applyNumberFormat="1" applyBorder="1" applyAlignment="1">
      <alignment horizontal="center" vertical="center"/>
    </xf>
    <xf numFmtId="44" fontId="0" fillId="0" borderId="31" xfId="1" applyFont="1" applyFill="1" applyBorder="1" applyAlignment="1">
      <alignment horizontal="center" vertical="center"/>
    </xf>
    <xf numFmtId="44" fontId="0" fillId="0" borderId="22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4" fontId="0" fillId="0" borderId="28" xfId="1" applyFont="1" applyFill="1" applyBorder="1" applyAlignment="1">
      <alignment horizontal="center" vertical="center"/>
    </xf>
    <xf numFmtId="44" fontId="0" fillId="0" borderId="51" xfId="0" applyNumberFormat="1" applyBorder="1" applyAlignment="1">
      <alignment horizontal="center" vertical="center"/>
    </xf>
    <xf numFmtId="44" fontId="0" fillId="0" borderId="32" xfId="1" applyFont="1" applyFill="1" applyBorder="1" applyAlignment="1">
      <alignment horizontal="center" vertical="center"/>
    </xf>
    <xf numFmtId="44" fontId="0" fillId="0" borderId="37" xfId="0" applyNumberFormat="1" applyBorder="1" applyAlignment="1">
      <alignment horizontal="center" vertical="center"/>
    </xf>
    <xf numFmtId="44" fontId="0" fillId="0" borderId="27" xfId="1" applyFont="1" applyFill="1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0" fillId="0" borderId="46" xfId="1" applyFont="1" applyBorder="1" applyAlignment="1">
      <alignment horizontal="center" vertical="center"/>
    </xf>
    <xf numFmtId="44" fontId="0" fillId="0" borderId="48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14" borderId="0" xfId="0" applyFill="1"/>
    <xf numFmtId="44" fontId="0" fillId="14" borderId="0" xfId="0" applyNumberFormat="1" applyFill="1"/>
    <xf numFmtId="0" fontId="0" fillId="15" borderId="0" xfId="0" applyFill="1"/>
    <xf numFmtId="44" fontId="0" fillId="15" borderId="0" xfId="1" applyFont="1" applyFill="1"/>
    <xf numFmtId="44" fontId="0" fillId="15" borderId="0" xfId="0" applyNumberFormat="1" applyFill="1"/>
    <xf numFmtId="44" fontId="8" fillId="0" borderId="0" xfId="0" applyNumberFormat="1" applyFont="1" applyAlignment="1">
      <alignment horizontal="center" vertical="center"/>
    </xf>
    <xf numFmtId="0" fontId="0" fillId="16" borderId="0" xfId="0" applyFill="1"/>
    <xf numFmtId="44" fontId="0" fillId="16" borderId="0" xfId="0" applyNumberFormat="1" applyFill="1"/>
    <xf numFmtId="0" fontId="23" fillId="11" borderId="20" xfId="0" applyFont="1" applyFill="1" applyBorder="1" applyAlignment="1">
      <alignment horizontal="center"/>
    </xf>
    <xf numFmtId="0" fontId="21" fillId="11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2" fillId="11" borderId="20" xfId="0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4" fontId="0" fillId="0" borderId="46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4" fontId="0" fillId="0" borderId="43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4" fontId="0" fillId="0" borderId="29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44" fontId="0" fillId="0" borderId="47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4" fontId="0" fillId="0" borderId="48" xfId="0" applyNumberForma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8" xfId="0" applyBorder="1" applyAlignment="1">
      <alignment horizontal="center"/>
    </xf>
  </cellXfs>
  <cellStyles count="2">
    <cellStyle name="Moneda" xfId="1" builtinId="4"/>
    <cellStyle name="Normal" xfId="0" builtinId="0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Calibri Light"/>
        <family val="2"/>
        <scheme val="maj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 Light"/>
        <family val="2"/>
        <scheme val="maj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 Light"/>
        <family val="2"/>
        <scheme val="maj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 Light"/>
        <family val="2"/>
        <scheme val="maj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04040"/>
        <name val="Calibri Light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ajor"/>
      </font>
      <fill>
        <patternFill patternType="solid">
          <fgColor indexed="64"/>
          <bgColor rgb="FF62983E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numFmt numFmtId="19" formatCode="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164" formatCode="dd\-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808080"/>
        <name val="Calibri Light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ajor"/>
      </font>
      <alignment horizontal="center" vertical="center" textRotation="0" wrapText="1" indent="0" justifyLastLine="0" shrinkToFit="0" readingOrder="0"/>
    </dxf>
    <dxf>
      <numFmt numFmtId="34" formatCode="_-&quot;$&quot;\ * #,##0.00_-;\-&quot;$&quot;\ * #,##0.00_-;_-&quot;$&quot;\ * &quot;-&quot;??_-;_-@_-"/>
      <fill>
        <patternFill patternType="solid">
          <fgColor indexed="64"/>
          <bgColor theme="4" tint="0.39997558519241921"/>
        </patternFill>
      </fill>
    </dxf>
    <dxf>
      <numFmt numFmtId="34" formatCode="_-&quot;$&quot;\ * #,##0.00_-;\-&quot;$&quot;\ * #,##0.00_-;_-&quot;$&quot;\ * &quot;-&quot;??_-;_-@_-"/>
    </dxf>
    <dxf>
      <numFmt numFmtId="34" formatCode="_-&quot;$&quot;\ * #,##0.00_-;\-&quot;$&quot;\ * #,##0.00_-;_-&quot;$&quot;\ * &quot;-&quot;??_-;_-@_-"/>
      <fill>
        <patternFill patternType="solid">
          <fgColor indexed="64"/>
          <bgColor theme="4" tint="0.39997558519241921"/>
        </patternFill>
      </fill>
    </dxf>
    <dxf>
      <numFmt numFmtId="34" formatCode="_-&quot;$&quot;\ * #,##0.00_-;\-&quot;$&quot;\ * #,##0.00_-;_-&quot;$&quot;\ * &quot;-&quot;??_-;_-@_-"/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numFmt numFmtId="34" formatCode="_-&quot;$&quot;\ * #,##0.00_-;\-&quot;$&quot;\ * #,##0.0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4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Calibri Light"/>
        <family val="2"/>
        <scheme val="maj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 Light"/>
        <family val="2"/>
        <scheme val="maj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 Light"/>
        <family val="2"/>
        <scheme val="maj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 Light"/>
        <family val="2"/>
        <scheme val="maj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ajor"/>
      </font>
      <fill>
        <patternFill patternType="solid">
          <fgColor indexed="64"/>
          <bgColor rgb="FF62983E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numFmt numFmtId="19" formatCode="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numFmt numFmtId="34" formatCode="_-&quot;$&quot;\ * #,##0.00_-;\-&quot;$&quot;\ * #,##0.00_-;_-&quot;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164" formatCode="dd\-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Calibri Light"/>
        <family val="2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Calibri Ligh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aj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EC752C"/>
      <color rgb="FFFFD13F"/>
      <color rgb="FFFF66CC"/>
      <color rgb="FF6298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Gastos Mes a mes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606610528553747"/>
          <c:y val="0.10557894736842106"/>
          <c:w val="0.82786189214294215"/>
          <c:h val="0.59304738223511533"/>
        </c:manualLayout>
      </c:layout>
      <c:bar3DChart>
        <c:barDir val="col"/>
        <c:grouping val="clustered"/>
        <c:varyColors val="0"/>
        <c:ser>
          <c:idx val="0"/>
          <c:order val="0"/>
          <c:tx>
            <c:v>Preventivo</c:v>
          </c:tx>
          <c:spPr>
            <a:gradFill rotWithShape="1">
              <a:gsLst>
                <a:gs pos="0">
                  <a:schemeClr val="accent6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Datos!$S$4:$S$14</c:f>
              <c:strCache>
                <c:ptCount val="11"/>
                <c:pt idx="0">
                  <c:v> Febrero </c:v>
                </c:pt>
                <c:pt idx="1">
                  <c:v> Marzo </c:v>
                </c:pt>
                <c:pt idx="2">
                  <c:v> Abril </c:v>
                </c:pt>
                <c:pt idx="3">
                  <c:v> Mayo </c:v>
                </c:pt>
                <c:pt idx="4">
                  <c:v> Junio </c:v>
                </c:pt>
                <c:pt idx="5">
                  <c:v> Julio </c:v>
                </c:pt>
                <c:pt idx="6">
                  <c:v> Agosto </c:v>
                </c:pt>
                <c:pt idx="7">
                  <c:v> Septiembre </c:v>
                </c:pt>
                <c:pt idx="8">
                  <c:v> Octubre </c:v>
                </c:pt>
                <c:pt idx="9">
                  <c:v> Noviembre </c:v>
                </c:pt>
                <c:pt idx="10">
                  <c:v> Diciembre </c:v>
                </c:pt>
              </c:strCache>
            </c:strRef>
          </c:cat>
          <c:val>
            <c:numRef>
              <c:f>Datos!$U$4:$U$14</c:f>
              <c:numCache>
                <c:formatCode>_("$"* #,##0.00_);_("$"* \(#,##0.00\);_("$"* "-"??_);_(@_)</c:formatCode>
                <c:ptCount val="11"/>
                <c:pt idx="0">
                  <c:v>5188400</c:v>
                </c:pt>
                <c:pt idx="1">
                  <c:v>4370275</c:v>
                </c:pt>
                <c:pt idx="2">
                  <c:v>5072375</c:v>
                </c:pt>
                <c:pt idx="3">
                  <c:v>2374050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0-4A71-9FAE-767FAD59CECA}"/>
            </c:ext>
          </c:extLst>
        </c:ser>
        <c:ser>
          <c:idx val="1"/>
          <c:order val="1"/>
          <c:tx>
            <c:v>Calibración</c:v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Datos!$S$4:$S$14</c:f>
              <c:strCache>
                <c:ptCount val="11"/>
                <c:pt idx="0">
                  <c:v> Febrero </c:v>
                </c:pt>
                <c:pt idx="1">
                  <c:v> Marzo </c:v>
                </c:pt>
                <c:pt idx="2">
                  <c:v> Abril </c:v>
                </c:pt>
                <c:pt idx="3">
                  <c:v> Mayo </c:v>
                </c:pt>
                <c:pt idx="4">
                  <c:v> Junio </c:v>
                </c:pt>
                <c:pt idx="5">
                  <c:v> Julio </c:v>
                </c:pt>
                <c:pt idx="6">
                  <c:v> Agosto </c:v>
                </c:pt>
                <c:pt idx="7">
                  <c:v> Septiembre </c:v>
                </c:pt>
                <c:pt idx="8">
                  <c:v> Octubre </c:v>
                </c:pt>
                <c:pt idx="9">
                  <c:v> Noviembre </c:v>
                </c:pt>
                <c:pt idx="10">
                  <c:v> Diciembre </c:v>
                </c:pt>
              </c:strCache>
            </c:strRef>
          </c:cat>
          <c:val>
            <c:numRef>
              <c:f>Datos!$T$4:$T$14</c:f>
              <c:numCache>
                <c:formatCode>_("$"* #,##0.00_);_("$"* \(#,##0.00\);_("$"* "-"??_);_(@_)</c:formatCode>
                <c:ptCount val="11"/>
                <c:pt idx="0">
                  <c:v>10236856</c:v>
                </c:pt>
                <c:pt idx="1">
                  <c:v>3206435.9600000009</c:v>
                </c:pt>
                <c:pt idx="2">
                  <c:v>5934215.8400000017</c:v>
                </c:pt>
                <c:pt idx="3">
                  <c:v>943622.39999999979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E0-4A71-9FAE-767FAD59CECA}"/>
            </c:ext>
          </c:extLst>
        </c:ser>
        <c:ser>
          <c:idx val="2"/>
          <c:order val="2"/>
          <c:tx>
            <c:v>Total mes</c:v>
          </c:tx>
          <c:spPr>
            <a:gradFill rotWithShape="1">
              <a:gsLst>
                <a:gs pos="0">
                  <a:schemeClr val="accent6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Datos!$S$4:$S$14</c:f>
              <c:strCache>
                <c:ptCount val="11"/>
                <c:pt idx="0">
                  <c:v> Febrero </c:v>
                </c:pt>
                <c:pt idx="1">
                  <c:v> Marzo </c:v>
                </c:pt>
                <c:pt idx="2">
                  <c:v> Abril </c:v>
                </c:pt>
                <c:pt idx="3">
                  <c:v> Mayo </c:v>
                </c:pt>
                <c:pt idx="4">
                  <c:v> Junio </c:v>
                </c:pt>
                <c:pt idx="5">
                  <c:v> Julio </c:v>
                </c:pt>
                <c:pt idx="6">
                  <c:v> Agosto </c:v>
                </c:pt>
                <c:pt idx="7">
                  <c:v> Septiembre </c:v>
                </c:pt>
                <c:pt idx="8">
                  <c:v> Octubre </c:v>
                </c:pt>
                <c:pt idx="9">
                  <c:v> Noviembre </c:v>
                </c:pt>
                <c:pt idx="10">
                  <c:v> Diciembre </c:v>
                </c:pt>
              </c:strCache>
            </c:strRef>
          </c:cat>
          <c:val>
            <c:numRef>
              <c:f>Datos!$V$4:$V$14</c:f>
              <c:numCache>
                <c:formatCode>_("$"* #,##0.00_);_("$"* \(#,##0.00\);_("$"* "-"??_);_(@_)</c:formatCode>
                <c:ptCount val="11"/>
                <c:pt idx="0">
                  <c:v>15425256</c:v>
                </c:pt>
                <c:pt idx="1">
                  <c:v>7576710.9600000009</c:v>
                </c:pt>
                <c:pt idx="2">
                  <c:v>11006590.840000002</c:v>
                </c:pt>
                <c:pt idx="3">
                  <c:v>3317672.4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E0-4A71-9FAE-767FAD59C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5778672"/>
        <c:axId val="1255782032"/>
        <c:axId val="0"/>
      </c:bar3DChart>
      <c:catAx>
        <c:axId val="1255778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</a:t>
                </a:r>
              </a:p>
            </c:rich>
          </c:tx>
          <c:layout>
            <c:manualLayout>
              <c:xMode val="edge"/>
              <c:yMode val="edge"/>
              <c:x val="0.54567167216212209"/>
              <c:y val="0.93594694163693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55782032"/>
        <c:crosses val="autoZero"/>
        <c:auto val="1"/>
        <c:lblAlgn val="ctr"/>
        <c:lblOffset val="100"/>
        <c:noMultiLvlLbl val="0"/>
      </c:catAx>
      <c:valAx>
        <c:axId val="125578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osto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55778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Comparación entre proveedores de Mto Ptvo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043519469191301"/>
          <c:y val="0.13439017761737015"/>
          <c:w val="0.79287899175703103"/>
          <c:h val="0.516348477830645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Proveedores!$H$47</c:f>
              <c:strCache>
                <c:ptCount val="1"/>
                <c:pt idx="0">
                  <c:v>Proveedor "A"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Proveedores!$G$48:$G$58</c:f>
              <c:strCache>
                <c:ptCount val="11"/>
                <c:pt idx="0">
                  <c:v>Agitador (Mag,mazzini)</c:v>
                </c:pt>
                <c:pt idx="1">
                  <c:v>Baño (María, seco, serolg)</c:v>
                </c:pt>
                <c:pt idx="2">
                  <c:v>Centrífuga</c:v>
                </c:pt>
                <c:pt idx="3">
                  <c:v>Congelador/Nevera</c:v>
                </c:pt>
                <c:pt idx="4">
                  <c:v>Minibar</c:v>
                </c:pt>
                <c:pt idx="5">
                  <c:v>Contador de células</c:v>
                </c:pt>
                <c:pt idx="6">
                  <c:v>Horno/Incubadora</c:v>
                </c:pt>
                <c:pt idx="7">
                  <c:v>Pipetas</c:v>
                </c:pt>
                <c:pt idx="8">
                  <c:v>Microscopio</c:v>
                </c:pt>
                <c:pt idx="9">
                  <c:v>Piano 5 teclas</c:v>
                </c:pt>
                <c:pt idx="10">
                  <c:v>Vortex</c:v>
                </c:pt>
              </c:strCache>
            </c:strRef>
          </c:cat>
          <c:val>
            <c:numRef>
              <c:f>Proveedores!$H$48:$H$58</c:f>
              <c:numCache>
                <c:formatCode>_("$"* #,##0.00_);_("$"* \(#,##0.00\);_("$"* "-"??_);_(@_)</c:formatCode>
                <c:ptCount val="11"/>
                <c:pt idx="0">
                  <c:v>65000</c:v>
                </c:pt>
                <c:pt idx="1">
                  <c:v>75000</c:v>
                </c:pt>
                <c:pt idx="2">
                  <c:v>112500</c:v>
                </c:pt>
                <c:pt idx="3">
                  <c:v>100000</c:v>
                </c:pt>
                <c:pt idx="4">
                  <c:v>50000</c:v>
                </c:pt>
                <c:pt idx="5">
                  <c:v>40000</c:v>
                </c:pt>
                <c:pt idx="6">
                  <c:v>80000</c:v>
                </c:pt>
                <c:pt idx="7">
                  <c:v>45000</c:v>
                </c:pt>
                <c:pt idx="8">
                  <c:v>100000</c:v>
                </c:pt>
                <c:pt idx="9">
                  <c:v>40000</c:v>
                </c:pt>
                <c:pt idx="10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F-4EED-8961-BAF6EDD3BA47}"/>
            </c:ext>
          </c:extLst>
        </c:ser>
        <c:ser>
          <c:idx val="1"/>
          <c:order val="1"/>
          <c:tx>
            <c:strRef>
              <c:f>Proveedores!$I$47</c:f>
              <c:strCache>
                <c:ptCount val="1"/>
                <c:pt idx="0">
                  <c:v>Proveedor "B"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Proveedores!$G$48:$G$58</c:f>
              <c:strCache>
                <c:ptCount val="11"/>
                <c:pt idx="0">
                  <c:v>Agitador (Mag,mazzini)</c:v>
                </c:pt>
                <c:pt idx="1">
                  <c:v>Baño (María, seco, serolg)</c:v>
                </c:pt>
                <c:pt idx="2">
                  <c:v>Centrífuga</c:v>
                </c:pt>
                <c:pt idx="3">
                  <c:v>Congelador/Nevera</c:v>
                </c:pt>
                <c:pt idx="4">
                  <c:v>Minibar</c:v>
                </c:pt>
                <c:pt idx="5">
                  <c:v>Contador de células</c:v>
                </c:pt>
                <c:pt idx="6">
                  <c:v>Horno/Incubadora</c:v>
                </c:pt>
                <c:pt idx="7">
                  <c:v>Pipetas</c:v>
                </c:pt>
                <c:pt idx="8">
                  <c:v>Microscopio</c:v>
                </c:pt>
                <c:pt idx="9">
                  <c:v>Piano 5 teclas</c:v>
                </c:pt>
                <c:pt idx="10">
                  <c:v>Vortex</c:v>
                </c:pt>
              </c:strCache>
            </c:strRef>
          </c:cat>
          <c:val>
            <c:numRef>
              <c:f>Proveedores!$I$48:$I$58</c:f>
              <c:numCache>
                <c:formatCode>_("$"* #,##0.00_);_("$"* \(#,##0.00\);_("$"* "-"??_);_(@_)</c:formatCode>
                <c:ptCount val="11"/>
                <c:pt idx="0">
                  <c:v>47500</c:v>
                </c:pt>
                <c:pt idx="1">
                  <c:v>60000</c:v>
                </c:pt>
                <c:pt idx="2">
                  <c:v>87000</c:v>
                </c:pt>
                <c:pt idx="3">
                  <c:v>119000</c:v>
                </c:pt>
                <c:pt idx="4">
                  <c:v>89500</c:v>
                </c:pt>
                <c:pt idx="5">
                  <c:v>35000</c:v>
                </c:pt>
                <c:pt idx="6">
                  <c:v>79500</c:v>
                </c:pt>
                <c:pt idx="7">
                  <c:v>46000</c:v>
                </c:pt>
                <c:pt idx="8">
                  <c:v>119500</c:v>
                </c:pt>
                <c:pt idx="9">
                  <c:v>87000</c:v>
                </c:pt>
                <c:pt idx="10">
                  <c:v>27000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F-4EED-8961-BAF6EDD3BA47}"/>
            </c:ext>
          </c:extLst>
        </c:ser>
        <c:ser>
          <c:idx val="2"/>
          <c:order val="2"/>
          <c:tx>
            <c:strRef>
              <c:f>Proveedores!$J$47</c:f>
              <c:strCache>
                <c:ptCount val="1"/>
                <c:pt idx="0">
                  <c:v>Diferencias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Proveedores!$G$48:$G$58</c:f>
              <c:strCache>
                <c:ptCount val="11"/>
                <c:pt idx="0">
                  <c:v>Agitador (Mag,mazzini)</c:v>
                </c:pt>
                <c:pt idx="1">
                  <c:v>Baño (María, seco, serolg)</c:v>
                </c:pt>
                <c:pt idx="2">
                  <c:v>Centrífuga</c:v>
                </c:pt>
                <c:pt idx="3">
                  <c:v>Congelador/Nevera</c:v>
                </c:pt>
                <c:pt idx="4">
                  <c:v>Minibar</c:v>
                </c:pt>
                <c:pt idx="5">
                  <c:v>Contador de células</c:v>
                </c:pt>
                <c:pt idx="6">
                  <c:v>Horno/Incubadora</c:v>
                </c:pt>
                <c:pt idx="7">
                  <c:v>Pipetas</c:v>
                </c:pt>
                <c:pt idx="8">
                  <c:v>Microscopio</c:v>
                </c:pt>
                <c:pt idx="9">
                  <c:v>Piano 5 teclas</c:v>
                </c:pt>
                <c:pt idx="10">
                  <c:v>Vortex</c:v>
                </c:pt>
              </c:strCache>
            </c:strRef>
          </c:cat>
          <c:val>
            <c:numRef>
              <c:f>Proveedores!$J$48:$J$58</c:f>
              <c:numCache>
                <c:formatCode>_("$"* #,##0.00_);_("$"* \(#,##0.00\);_("$"* "-"??_);_(@_)</c:formatCode>
                <c:ptCount val="11"/>
                <c:pt idx="0">
                  <c:v>17500</c:v>
                </c:pt>
                <c:pt idx="1">
                  <c:v>15000</c:v>
                </c:pt>
                <c:pt idx="2">
                  <c:v>25500</c:v>
                </c:pt>
                <c:pt idx="3">
                  <c:v>19000</c:v>
                </c:pt>
                <c:pt idx="4">
                  <c:v>39500</c:v>
                </c:pt>
                <c:pt idx="5">
                  <c:v>5000</c:v>
                </c:pt>
                <c:pt idx="6">
                  <c:v>500</c:v>
                </c:pt>
                <c:pt idx="7">
                  <c:v>1000</c:v>
                </c:pt>
                <c:pt idx="8">
                  <c:v>19500</c:v>
                </c:pt>
                <c:pt idx="9">
                  <c:v>47000</c:v>
                </c:pt>
                <c:pt idx="10">
                  <c:v>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3F-4EED-8961-BAF6EDD3B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5457327"/>
        <c:axId val="575453967"/>
        <c:axId val="0"/>
      </c:bar3DChart>
      <c:catAx>
        <c:axId val="5754573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200"/>
                  <a:t>Equipo</a:t>
                </a:r>
              </a:p>
            </c:rich>
          </c:tx>
          <c:layout>
            <c:manualLayout>
              <c:xMode val="edge"/>
              <c:yMode val="edge"/>
              <c:x val="0.43623420273762947"/>
              <c:y val="0.893538112423447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5453967"/>
        <c:crosses val="autoZero"/>
        <c:auto val="1"/>
        <c:lblAlgn val="ctr"/>
        <c:lblOffset val="100"/>
        <c:noMultiLvlLbl val="0"/>
      </c:catAx>
      <c:valAx>
        <c:axId val="575453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200"/>
                  <a:t>Costo</a:t>
                </a:r>
              </a:p>
            </c:rich>
          </c:tx>
          <c:layout>
            <c:manualLayout>
              <c:xMode val="edge"/>
              <c:yMode val="edge"/>
              <c:x val="2.712268586747512E-2"/>
              <c:y val="0.36415035019018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5457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166038859162953"/>
          <c:y val="0.16225600001647078"/>
          <c:w val="0.22284655039181336"/>
          <c:h val="4.882846675415573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Costo mantenimiento</a:t>
            </a:r>
            <a:r>
              <a:rPr lang="en-US" baseline="0"/>
              <a:t> por cada equipo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1"/>
          <c:order val="1"/>
          <c:tx>
            <c:v>Costo ptvo</c:v>
          </c:tx>
          <c:spPr>
            <a:ln w="3175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marker>
          <c:cat>
            <c:strRef>
              <c:f>Datos!$T$53:$T$81</c:f>
              <c:strCache>
                <c:ptCount val="29"/>
                <c:pt idx="0">
                  <c:v>Agitador </c:v>
                </c:pt>
                <c:pt idx="1">
                  <c:v>Baño María</c:v>
                </c:pt>
                <c:pt idx="2">
                  <c:v>Baño serológico</c:v>
                </c:pt>
                <c:pt idx="3">
                  <c:v>Cabina de flujo (Ptvo)</c:v>
                </c:pt>
                <c:pt idx="4">
                  <c:v>Cabina de flujo (Calf)</c:v>
                </c:pt>
                <c:pt idx="5">
                  <c:v>Cabina de bioseguridad (Ptvo)</c:v>
                </c:pt>
                <c:pt idx="6">
                  <c:v>Cabina de bioseguridad (Calf)</c:v>
                </c:pt>
                <c:pt idx="7">
                  <c:v>Centrífuga</c:v>
                </c:pt>
                <c:pt idx="8">
                  <c:v>Congelador</c:v>
                </c:pt>
                <c:pt idx="9">
                  <c:v>Contador de células</c:v>
                </c:pt>
                <c:pt idx="10">
                  <c:v>Incubadora</c:v>
                </c:pt>
                <c:pt idx="11">
                  <c:v>Microondas</c:v>
                </c:pt>
                <c:pt idx="12">
                  <c:v>Micropipeta 0,5-10ul</c:v>
                </c:pt>
                <c:pt idx="13">
                  <c:v>Micropipeta 100-1000 ul</c:v>
                </c:pt>
                <c:pt idx="14">
                  <c:v>Micropipeta 10-100 ul</c:v>
                </c:pt>
                <c:pt idx="15">
                  <c:v>Micropipeta 10-50 ul</c:v>
                </c:pt>
                <c:pt idx="16">
                  <c:v>Micropipeta 1-10 ml</c:v>
                </c:pt>
                <c:pt idx="17">
                  <c:v>Micropipeta 20-200 ul</c:v>
                </c:pt>
                <c:pt idx="18">
                  <c:v>Micropipeta 2-20 ul</c:v>
                </c:pt>
                <c:pt idx="19">
                  <c:v>Micropipeta 25-250 ul</c:v>
                </c:pt>
                <c:pt idx="20">
                  <c:v>Micropipeta 40-200 ul</c:v>
                </c:pt>
                <c:pt idx="21">
                  <c:v>Micropipeta 200-1000 ul</c:v>
                </c:pt>
                <c:pt idx="22">
                  <c:v>Micropipeta 5-40 ul</c:v>
                </c:pt>
                <c:pt idx="23">
                  <c:v>Micropipeta 5-50ul</c:v>
                </c:pt>
                <c:pt idx="24">
                  <c:v>Microscopio</c:v>
                </c:pt>
                <c:pt idx="25">
                  <c:v>Nevera</c:v>
                </c:pt>
                <c:pt idx="26">
                  <c:v>Pipeta vol fijo</c:v>
                </c:pt>
                <c:pt idx="27">
                  <c:v>Refrigerador</c:v>
                </c:pt>
                <c:pt idx="28">
                  <c:v>Vortex</c:v>
                </c:pt>
              </c:strCache>
            </c:strRef>
          </c:cat>
          <c:val>
            <c:numRef>
              <c:f>Datos!$U$53:$U$81</c:f>
              <c:numCache>
                <c:formatCode>_("$"* #,##0.00_);_("$"* \(#,##0.00\);_("$"* "-"??_);_(@_)</c:formatCode>
                <c:ptCount val="29"/>
                <c:pt idx="0">
                  <c:v>154700</c:v>
                </c:pt>
                <c:pt idx="1">
                  <c:v>89250</c:v>
                </c:pt>
                <c:pt idx="2">
                  <c:v>267750</c:v>
                </c:pt>
                <c:pt idx="3">
                  <c:v>0</c:v>
                </c:pt>
                <c:pt idx="4">
                  <c:v>0</c:v>
                </c:pt>
                <c:pt idx="5">
                  <c:v>666400</c:v>
                </c:pt>
                <c:pt idx="6">
                  <c:v>999600</c:v>
                </c:pt>
                <c:pt idx="7">
                  <c:v>4223310</c:v>
                </c:pt>
                <c:pt idx="8">
                  <c:v>952000</c:v>
                </c:pt>
                <c:pt idx="9">
                  <c:v>238000</c:v>
                </c:pt>
                <c:pt idx="10">
                  <c:v>380800</c:v>
                </c:pt>
                <c:pt idx="11">
                  <c:v>0</c:v>
                </c:pt>
                <c:pt idx="12">
                  <c:v>160650</c:v>
                </c:pt>
                <c:pt idx="13">
                  <c:v>1394680</c:v>
                </c:pt>
                <c:pt idx="14">
                  <c:v>481950</c:v>
                </c:pt>
                <c:pt idx="15">
                  <c:v>107100</c:v>
                </c:pt>
                <c:pt idx="16">
                  <c:v>428400</c:v>
                </c:pt>
                <c:pt idx="17">
                  <c:v>696150</c:v>
                </c:pt>
                <c:pt idx="18">
                  <c:v>214200</c:v>
                </c:pt>
                <c:pt idx="19">
                  <c:v>107100</c:v>
                </c:pt>
                <c:pt idx="20">
                  <c:v>267750</c:v>
                </c:pt>
                <c:pt idx="21">
                  <c:v>53550</c:v>
                </c:pt>
                <c:pt idx="22">
                  <c:v>107100</c:v>
                </c:pt>
                <c:pt idx="23">
                  <c:v>1178100</c:v>
                </c:pt>
                <c:pt idx="24">
                  <c:v>1950410</c:v>
                </c:pt>
                <c:pt idx="25">
                  <c:v>476000</c:v>
                </c:pt>
                <c:pt idx="26">
                  <c:v>267750</c:v>
                </c:pt>
                <c:pt idx="27">
                  <c:v>952000</c:v>
                </c:pt>
                <c:pt idx="28">
                  <c:v>190400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F-4C50-A876-B05F80D25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747583"/>
        <c:axId val="71974566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Equipo</c:v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12700">
                      <a:solidFill>
                        <a:schemeClr val="lt2"/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Datos!$T$53:$T$81</c15:sqref>
                        </c15:formulaRef>
                      </c:ext>
                    </c:extLst>
                    <c:strCache>
                      <c:ptCount val="29"/>
                      <c:pt idx="0">
                        <c:v>Agitador </c:v>
                      </c:pt>
                      <c:pt idx="1">
                        <c:v>Baño María</c:v>
                      </c:pt>
                      <c:pt idx="2">
                        <c:v>Baño serológico</c:v>
                      </c:pt>
                      <c:pt idx="3">
                        <c:v>Cabina de flujo (Ptvo)</c:v>
                      </c:pt>
                      <c:pt idx="4">
                        <c:v>Cabina de flujo (Calf)</c:v>
                      </c:pt>
                      <c:pt idx="5">
                        <c:v>Cabina de bioseguridad (Ptvo)</c:v>
                      </c:pt>
                      <c:pt idx="6">
                        <c:v>Cabina de bioseguridad (Calf)</c:v>
                      </c:pt>
                      <c:pt idx="7">
                        <c:v>Centrífuga</c:v>
                      </c:pt>
                      <c:pt idx="8">
                        <c:v>Congelador</c:v>
                      </c:pt>
                      <c:pt idx="9">
                        <c:v>Contador de células</c:v>
                      </c:pt>
                      <c:pt idx="10">
                        <c:v>Incubadora</c:v>
                      </c:pt>
                      <c:pt idx="11">
                        <c:v>Microondas</c:v>
                      </c:pt>
                      <c:pt idx="12">
                        <c:v>Micropipeta 0,5-10ul</c:v>
                      </c:pt>
                      <c:pt idx="13">
                        <c:v>Micropipeta 100-1000 ul</c:v>
                      </c:pt>
                      <c:pt idx="14">
                        <c:v>Micropipeta 10-100 ul</c:v>
                      </c:pt>
                      <c:pt idx="15">
                        <c:v>Micropipeta 10-50 ul</c:v>
                      </c:pt>
                      <c:pt idx="16">
                        <c:v>Micropipeta 1-10 ml</c:v>
                      </c:pt>
                      <c:pt idx="17">
                        <c:v>Micropipeta 20-200 ul</c:v>
                      </c:pt>
                      <c:pt idx="18">
                        <c:v>Micropipeta 2-20 ul</c:v>
                      </c:pt>
                      <c:pt idx="19">
                        <c:v>Micropipeta 25-250 ul</c:v>
                      </c:pt>
                      <c:pt idx="20">
                        <c:v>Micropipeta 40-200 ul</c:v>
                      </c:pt>
                      <c:pt idx="21">
                        <c:v>Micropipeta 200-1000 ul</c:v>
                      </c:pt>
                      <c:pt idx="22">
                        <c:v>Micropipeta 5-40 ul</c:v>
                      </c:pt>
                      <c:pt idx="23">
                        <c:v>Micropipeta 5-50ul</c:v>
                      </c:pt>
                      <c:pt idx="24">
                        <c:v>Microscopio</c:v>
                      </c:pt>
                      <c:pt idx="25">
                        <c:v>Nevera</c:v>
                      </c:pt>
                      <c:pt idx="26">
                        <c:v>Pipeta vol fijo</c:v>
                      </c:pt>
                      <c:pt idx="27">
                        <c:v>Refrigerador</c:v>
                      </c:pt>
                      <c:pt idx="28">
                        <c:v>Vortex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Datos!$T$53:$T$81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BEF-4C50-A876-B05F80D25A37}"/>
                  </c:ext>
                </c:extLst>
              </c15:ser>
            </c15:filteredLineSeries>
          </c:ext>
        </c:extLst>
      </c:lineChart>
      <c:catAx>
        <c:axId val="7197475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50"/>
                  <a:t>Equipo</a:t>
                </a:r>
              </a:p>
            </c:rich>
          </c:tx>
          <c:layout>
            <c:manualLayout>
              <c:xMode val="edge"/>
              <c:yMode val="edge"/>
              <c:x val="0.48654709049254841"/>
              <c:y val="0.92534407873954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9745663"/>
        <c:crosses val="autoZero"/>
        <c:auto val="1"/>
        <c:lblAlgn val="ctr"/>
        <c:lblOffset val="100"/>
        <c:noMultiLvlLbl val="0"/>
      </c:catAx>
      <c:valAx>
        <c:axId val="719745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50"/>
                  <a:t>Costo</a:t>
                </a:r>
              </a:p>
            </c:rich>
          </c:tx>
          <c:layout>
            <c:manualLayout>
              <c:xMode val="edge"/>
              <c:yMode val="edge"/>
              <c:x val="6.6595317038280772E-3"/>
              <c:y val="0.356876239417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&quot;$&quot;\ 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19747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Costo de calibración total</a:t>
            </a:r>
            <a:r>
              <a:rPr lang="en-US" baseline="0"/>
              <a:t> </a:t>
            </a:r>
            <a:r>
              <a:rPr lang="en-US"/>
              <a:t>por cada equipo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Costo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EC752C"/>
              </a:solidFill>
              <a:ln w="22225" cap="rnd">
                <a:solidFill>
                  <a:schemeClr val="accent2"/>
                </a:solidFill>
                <a:round/>
                <a:headEnd type="oval"/>
                <a:tailEnd type="oval"/>
              </a:ln>
              <a:effectLst/>
            </c:spPr>
          </c:marker>
          <c:cat>
            <c:strRef>
              <c:f>Datos!$T$22:$T$45</c:f>
              <c:strCache>
                <c:ptCount val="24"/>
                <c:pt idx="0">
                  <c:v>Baño serológico</c:v>
                </c:pt>
                <c:pt idx="1">
                  <c:v>Báscula análoga</c:v>
                </c:pt>
                <c:pt idx="2">
                  <c:v>Báscula digital</c:v>
                </c:pt>
                <c:pt idx="3">
                  <c:v>Centrífuga</c:v>
                </c:pt>
                <c:pt idx="4">
                  <c:v>Congelador</c:v>
                </c:pt>
                <c:pt idx="5">
                  <c:v>Incubadora</c:v>
                </c:pt>
                <c:pt idx="6">
                  <c:v>Micropipeta 0,5-10ul</c:v>
                </c:pt>
                <c:pt idx="7">
                  <c:v>Micropipeta 100-1000 ul</c:v>
                </c:pt>
                <c:pt idx="8">
                  <c:v>Micropipeta 10-100 ul</c:v>
                </c:pt>
                <c:pt idx="9">
                  <c:v>Micropipeta 10-50 ul</c:v>
                </c:pt>
                <c:pt idx="10">
                  <c:v>Micropipeta 1-10 ml</c:v>
                </c:pt>
                <c:pt idx="11">
                  <c:v>Micropipeta 20-200 ul</c:v>
                </c:pt>
                <c:pt idx="12">
                  <c:v>Micropipeta 2-20 ul</c:v>
                </c:pt>
                <c:pt idx="13">
                  <c:v>Micropipeta 25-250 ul</c:v>
                </c:pt>
                <c:pt idx="14">
                  <c:v>Micropipeta 40-200 ul</c:v>
                </c:pt>
                <c:pt idx="15">
                  <c:v>Micropipeta 200-1000 ul</c:v>
                </c:pt>
                <c:pt idx="16">
                  <c:v>Micropipeta 5-40 ul</c:v>
                </c:pt>
                <c:pt idx="17">
                  <c:v>Micropipeta 5-50ul</c:v>
                </c:pt>
                <c:pt idx="18">
                  <c:v>Nevera</c:v>
                </c:pt>
                <c:pt idx="19">
                  <c:v>Pipeta vol fijo</c:v>
                </c:pt>
                <c:pt idx="20">
                  <c:v>Termohigrómetro</c:v>
                </c:pt>
                <c:pt idx="21">
                  <c:v>Termómetro digital</c:v>
                </c:pt>
                <c:pt idx="22">
                  <c:v>Termómetro infrarrojo</c:v>
                </c:pt>
                <c:pt idx="23">
                  <c:v>Termómetro punzón</c:v>
                </c:pt>
              </c:strCache>
            </c:strRef>
          </c:cat>
          <c:val>
            <c:numRef>
              <c:f>Datos!$U$22:$U$45</c:f>
              <c:numCache>
                <c:formatCode>_("$"* #,##0.00_);_("$"* \(#,##0.00\);_("$"* "-"??_);_(@_)</c:formatCode>
                <c:ptCount val="24"/>
                <c:pt idx="0">
                  <c:v>422231.03999999998</c:v>
                </c:pt>
                <c:pt idx="1">
                  <c:v>118167</c:v>
                </c:pt>
                <c:pt idx="2">
                  <c:v>870680.15999999992</c:v>
                </c:pt>
                <c:pt idx="3">
                  <c:v>700557.75999999989</c:v>
                </c:pt>
                <c:pt idx="4">
                  <c:v>140743.67999999999</c:v>
                </c:pt>
                <c:pt idx="5">
                  <c:v>422231.03999999998</c:v>
                </c:pt>
                <c:pt idx="6">
                  <c:v>403172</c:v>
                </c:pt>
                <c:pt idx="7">
                  <c:v>2072246.96</c:v>
                </c:pt>
                <c:pt idx="8">
                  <c:v>771372.28</c:v>
                </c:pt>
                <c:pt idx="9">
                  <c:v>313955.32</c:v>
                </c:pt>
                <c:pt idx="10">
                  <c:v>879172</c:v>
                </c:pt>
                <c:pt idx="11">
                  <c:v>1417304.28</c:v>
                </c:pt>
                <c:pt idx="12">
                  <c:v>671702.64</c:v>
                </c:pt>
                <c:pt idx="13">
                  <c:v>322966</c:v>
                </c:pt>
                <c:pt idx="14">
                  <c:v>322966</c:v>
                </c:pt>
                <c:pt idx="15">
                  <c:v>0</c:v>
                </c:pt>
                <c:pt idx="16">
                  <c:v>183379</c:v>
                </c:pt>
                <c:pt idx="17">
                  <c:v>2076921.28</c:v>
                </c:pt>
                <c:pt idx="18">
                  <c:v>140743.67999999999</c:v>
                </c:pt>
                <c:pt idx="19">
                  <c:v>248829</c:v>
                </c:pt>
                <c:pt idx="20">
                  <c:v>4760923.4399999995</c:v>
                </c:pt>
                <c:pt idx="21">
                  <c:v>1974157.6400000001</c:v>
                </c:pt>
                <c:pt idx="22">
                  <c:v>316302</c:v>
                </c:pt>
                <c:pt idx="23">
                  <c:v>770406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4-4439-B484-DF8DDD90E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109423"/>
        <c:axId val="426711567"/>
      </c:lineChart>
      <c:catAx>
        <c:axId val="4391094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50"/>
                  <a:t>Equipo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6711567"/>
        <c:crosses val="autoZero"/>
        <c:auto val="1"/>
        <c:lblAlgn val="ctr"/>
        <c:lblOffset val="100"/>
        <c:noMultiLvlLbl val="0"/>
      </c:catAx>
      <c:valAx>
        <c:axId val="426711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50"/>
                  <a:t>Costo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9109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Costos Mantenimiento y calibración por sede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Datos!$T$88</c:f>
              <c:strCache>
                <c:ptCount val="1"/>
                <c:pt idx="0">
                  <c:v>Total Calb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Datos!$S$89:$S$116</c:f>
              <c:strCache>
                <c:ptCount val="28"/>
                <c:pt idx="0">
                  <c:v>Almacén Bogotá</c:v>
                </c:pt>
                <c:pt idx="1">
                  <c:v>Almacén Medellín</c:v>
                </c:pt>
                <c:pt idx="2">
                  <c:v>Atención domiciliaria Med</c:v>
                </c:pt>
                <c:pt idx="3">
                  <c:v>Barranquilla</c:v>
                </c:pt>
                <c:pt idx="4">
                  <c:v>Calle 27</c:v>
                </c:pt>
                <c:pt idx="5">
                  <c:v>Campestre</c:v>
                </c:pt>
                <c:pt idx="6">
                  <c:v>Central de Procesos Bogotá</c:v>
                </c:pt>
                <c:pt idx="7">
                  <c:v>Central de Procesos Medellín</c:v>
                </c:pt>
                <c:pt idx="8">
                  <c:v>Chia</c:v>
                </c:pt>
                <c:pt idx="9">
                  <c:v>Clinica Central</c:v>
                </c:pt>
                <c:pt idx="10">
                  <c:v>Clinica EMMSA</c:v>
                </c:pt>
                <c:pt idx="11">
                  <c:v>Clinica Monteria</c:v>
                </c:pt>
                <c:pt idx="12">
                  <c:v>Clínica Primavera</c:v>
                </c:pt>
                <c:pt idx="13">
                  <c:v>Envigado</c:v>
                </c:pt>
                <c:pt idx="14">
                  <c:v>Gran vía</c:v>
                </c:pt>
                <c:pt idx="15">
                  <c:v>Hospital de caldas</c:v>
                </c:pt>
                <c:pt idx="16">
                  <c:v>IPS</c:v>
                </c:pt>
                <c:pt idx="17">
                  <c:v>Laureles</c:v>
                </c:pt>
                <c:pt idx="18">
                  <c:v>Llanogrande</c:v>
                </c:pt>
                <c:pt idx="19">
                  <c:v>Manizales Palogrande</c:v>
                </c:pt>
                <c:pt idx="20">
                  <c:v>Rionegro</c:v>
                </c:pt>
                <c:pt idx="21">
                  <c:v>Sabaneta</c:v>
                </c:pt>
                <c:pt idx="22">
                  <c:v>Santa Teresita</c:v>
                </c:pt>
                <c:pt idx="23">
                  <c:v>Sincelejo</c:v>
                </c:pt>
                <c:pt idx="24">
                  <c:v>Suramericana</c:v>
                </c:pt>
                <c:pt idx="25">
                  <c:v>Torre Médica Clínica EMMSA</c:v>
                </c:pt>
                <c:pt idx="26">
                  <c:v>Torreplaza</c:v>
                </c:pt>
                <c:pt idx="27">
                  <c:v>Torre Medica Salud Vegas</c:v>
                </c:pt>
              </c:strCache>
            </c:strRef>
          </c:cat>
          <c:val>
            <c:numRef>
              <c:f>Datos!$T$89:$T$116</c:f>
              <c:numCache>
                <c:formatCode>_("$"* #,##0.00_);_("$"* \(#,##0.00\);_("$"* "-"??_);_(@_)</c:formatCode>
                <c:ptCount val="28"/>
                <c:pt idx="0">
                  <c:v>128401</c:v>
                </c:pt>
                <c:pt idx="1">
                  <c:v>0</c:v>
                </c:pt>
                <c:pt idx="2">
                  <c:v>304944.64000000001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1729817.32</c:v>
                </c:pt>
                <c:pt idx="7">
                  <c:v>10395311.639999999</c:v>
                </c:pt>
                <c:pt idx="8">
                  <c:v>0</c:v>
                </c:pt>
                <c:pt idx="9">
                  <c:v>1466232.32</c:v>
                </c:pt>
                <c:pt idx="10">
                  <c:v>1194284</c:v>
                </c:pt>
                <c:pt idx="11">
                  <c:v>611184</c:v>
                </c:pt>
                <c:pt idx="12">
                  <c:v>311780</c:v>
                </c:pt>
                <c:pt idx="13">
                  <c:v>0</c:v>
                </c:pt>
                <c:pt idx="14">
                  <c:v>123150.72</c:v>
                </c:pt>
                <c:pt idx="15">
                  <c:v>1399420.96</c:v>
                </c:pt>
                <c:pt idx="16">
                  <c:v>97560.959999999992</c:v>
                </c:pt>
                <c:pt idx="17">
                  <c:v>220711.67999999999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152472.32000000001</c:v>
                </c:pt>
                <c:pt idx="26">
                  <c:v>220711.67999999999</c:v>
                </c:pt>
                <c:pt idx="27">
                  <c:v>1965146.9599999997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8-4475-AA48-BDD878B3E4B7}"/>
            </c:ext>
          </c:extLst>
        </c:ser>
        <c:ser>
          <c:idx val="1"/>
          <c:order val="1"/>
          <c:tx>
            <c:strRef>
              <c:f>Datos!$U$88</c:f>
              <c:strCache>
                <c:ptCount val="1"/>
                <c:pt idx="0">
                  <c:v>Total Ptvo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Datos!$S$89:$S$116</c:f>
              <c:strCache>
                <c:ptCount val="28"/>
                <c:pt idx="0">
                  <c:v>Almacén Bogotá</c:v>
                </c:pt>
                <c:pt idx="1">
                  <c:v>Almacén Medellín</c:v>
                </c:pt>
                <c:pt idx="2">
                  <c:v>Atención domiciliaria Med</c:v>
                </c:pt>
                <c:pt idx="3">
                  <c:v>Barranquilla</c:v>
                </c:pt>
                <c:pt idx="4">
                  <c:v>Calle 27</c:v>
                </c:pt>
                <c:pt idx="5">
                  <c:v>Campestre</c:v>
                </c:pt>
                <c:pt idx="6">
                  <c:v>Central de Procesos Bogotá</c:v>
                </c:pt>
                <c:pt idx="7">
                  <c:v>Central de Procesos Medellín</c:v>
                </c:pt>
                <c:pt idx="8">
                  <c:v>Chia</c:v>
                </c:pt>
                <c:pt idx="9">
                  <c:v>Clinica Central</c:v>
                </c:pt>
                <c:pt idx="10">
                  <c:v>Clinica EMMSA</c:v>
                </c:pt>
                <c:pt idx="11">
                  <c:v>Clinica Monteria</c:v>
                </c:pt>
                <c:pt idx="12">
                  <c:v>Clínica Primavera</c:v>
                </c:pt>
                <c:pt idx="13">
                  <c:v>Envigado</c:v>
                </c:pt>
                <c:pt idx="14">
                  <c:v>Gran vía</c:v>
                </c:pt>
                <c:pt idx="15">
                  <c:v>Hospital de caldas</c:v>
                </c:pt>
                <c:pt idx="16">
                  <c:v>IPS</c:v>
                </c:pt>
                <c:pt idx="17">
                  <c:v>Laureles</c:v>
                </c:pt>
                <c:pt idx="18">
                  <c:v>Llanogrande</c:v>
                </c:pt>
                <c:pt idx="19">
                  <c:v>Manizales Palogrande</c:v>
                </c:pt>
                <c:pt idx="20">
                  <c:v>Rionegro</c:v>
                </c:pt>
                <c:pt idx="21">
                  <c:v>Sabaneta</c:v>
                </c:pt>
                <c:pt idx="22">
                  <c:v>Santa Teresita</c:v>
                </c:pt>
                <c:pt idx="23">
                  <c:v>Sincelejo</c:v>
                </c:pt>
                <c:pt idx="24">
                  <c:v>Suramericana</c:v>
                </c:pt>
                <c:pt idx="25">
                  <c:v>Torre Médica Clínica EMMSA</c:v>
                </c:pt>
                <c:pt idx="26">
                  <c:v>Torreplaza</c:v>
                </c:pt>
                <c:pt idx="27">
                  <c:v>Torre Medica Salud Vegas</c:v>
                </c:pt>
              </c:strCache>
            </c:strRef>
          </c:cat>
          <c:val>
            <c:numRef>
              <c:f>Datos!$U$89:$U$116</c:f>
              <c:numCache>
                <c:formatCode>_("$"* #,##0.00_);_("$"* \(#,##0.00\);_("$"* "-"??_);_(@_)</c:formatCode>
                <c:ptCount val="28"/>
                <c:pt idx="0">
                  <c:v>0</c:v>
                </c:pt>
                <c:pt idx="1">
                  <c:v>238000</c:v>
                </c:pt>
                <c:pt idx="2">
                  <c:v>0</c:v>
                </c:pt>
                <c:pt idx="3">
                  <c:v>349265</c:v>
                </c:pt>
                <c:pt idx="4">
                  <c:v>0</c:v>
                </c:pt>
                <c:pt idx="5">
                  <c:v>133875</c:v>
                </c:pt>
                <c:pt idx="6">
                  <c:v>2131885</c:v>
                </c:pt>
                <c:pt idx="7">
                  <c:v>7964075</c:v>
                </c:pt>
                <c:pt idx="8">
                  <c:v>0</c:v>
                </c:pt>
                <c:pt idx="9">
                  <c:v>214200</c:v>
                </c:pt>
                <c:pt idx="10">
                  <c:v>267750</c:v>
                </c:pt>
                <c:pt idx="11">
                  <c:v>294525</c:v>
                </c:pt>
                <c:pt idx="12">
                  <c:v>321300</c:v>
                </c:pt>
                <c:pt idx="13">
                  <c:v>133875</c:v>
                </c:pt>
                <c:pt idx="14">
                  <c:v>133875</c:v>
                </c:pt>
                <c:pt idx="15">
                  <c:v>1303050</c:v>
                </c:pt>
                <c:pt idx="16">
                  <c:v>401625</c:v>
                </c:pt>
                <c:pt idx="17">
                  <c:v>133875</c:v>
                </c:pt>
                <c:pt idx="18">
                  <c:v>133875</c:v>
                </c:pt>
                <c:pt idx="19">
                  <c:v>0</c:v>
                </c:pt>
                <c:pt idx="20">
                  <c:v>133875</c:v>
                </c:pt>
                <c:pt idx="21">
                  <c:v>133875</c:v>
                </c:pt>
                <c:pt idx="22">
                  <c:v>133875</c:v>
                </c:pt>
                <c:pt idx="23">
                  <c:v>0</c:v>
                </c:pt>
                <c:pt idx="24">
                  <c:v>535500</c:v>
                </c:pt>
                <c:pt idx="25">
                  <c:v>833000</c:v>
                </c:pt>
                <c:pt idx="26">
                  <c:v>133875</c:v>
                </c:pt>
                <c:pt idx="27">
                  <c:v>946050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8-4475-AA48-BDD878B3E4B7}"/>
            </c:ext>
          </c:extLst>
        </c:ser>
        <c:ser>
          <c:idx val="2"/>
          <c:order val="2"/>
          <c:tx>
            <c:strRef>
              <c:f>Datos!$V$88</c:f>
              <c:strCache>
                <c:ptCount val="1"/>
                <c:pt idx="0">
                  <c:v>Total servicios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Datos!$S$89:$S$116</c:f>
              <c:strCache>
                <c:ptCount val="28"/>
                <c:pt idx="0">
                  <c:v>Almacén Bogotá</c:v>
                </c:pt>
                <c:pt idx="1">
                  <c:v>Almacén Medellín</c:v>
                </c:pt>
                <c:pt idx="2">
                  <c:v>Atención domiciliaria Med</c:v>
                </c:pt>
                <c:pt idx="3">
                  <c:v>Barranquilla</c:v>
                </c:pt>
                <c:pt idx="4">
                  <c:v>Calle 27</c:v>
                </c:pt>
                <c:pt idx="5">
                  <c:v>Campestre</c:v>
                </c:pt>
                <c:pt idx="6">
                  <c:v>Central de Procesos Bogotá</c:v>
                </c:pt>
                <c:pt idx="7">
                  <c:v>Central de Procesos Medellín</c:v>
                </c:pt>
                <c:pt idx="8">
                  <c:v>Chia</c:v>
                </c:pt>
                <c:pt idx="9">
                  <c:v>Clinica Central</c:v>
                </c:pt>
                <c:pt idx="10">
                  <c:v>Clinica EMMSA</c:v>
                </c:pt>
                <c:pt idx="11">
                  <c:v>Clinica Monteria</c:v>
                </c:pt>
                <c:pt idx="12">
                  <c:v>Clínica Primavera</c:v>
                </c:pt>
                <c:pt idx="13">
                  <c:v>Envigado</c:v>
                </c:pt>
                <c:pt idx="14">
                  <c:v>Gran vía</c:v>
                </c:pt>
                <c:pt idx="15">
                  <c:v>Hospital de caldas</c:v>
                </c:pt>
                <c:pt idx="16">
                  <c:v>IPS</c:v>
                </c:pt>
                <c:pt idx="17">
                  <c:v>Laureles</c:v>
                </c:pt>
                <c:pt idx="18">
                  <c:v>Llanogrande</c:v>
                </c:pt>
                <c:pt idx="19">
                  <c:v>Manizales Palogrande</c:v>
                </c:pt>
                <c:pt idx="20">
                  <c:v>Rionegro</c:v>
                </c:pt>
                <c:pt idx="21">
                  <c:v>Sabaneta</c:v>
                </c:pt>
                <c:pt idx="22">
                  <c:v>Santa Teresita</c:v>
                </c:pt>
                <c:pt idx="23">
                  <c:v>Sincelejo</c:v>
                </c:pt>
                <c:pt idx="24">
                  <c:v>Suramericana</c:v>
                </c:pt>
                <c:pt idx="25">
                  <c:v>Torre Médica Clínica EMMSA</c:v>
                </c:pt>
                <c:pt idx="26">
                  <c:v>Torreplaza</c:v>
                </c:pt>
                <c:pt idx="27">
                  <c:v>Torre Medica Salud Vegas</c:v>
                </c:pt>
              </c:strCache>
            </c:strRef>
          </c:cat>
          <c:val>
            <c:numRef>
              <c:f>Datos!$V$89:$V$116</c:f>
              <c:numCache>
                <c:formatCode>_("$"* #,##0.00_);_("$"* \(#,##0.00\);_("$"* "-"??_);_(@_)</c:formatCode>
                <c:ptCount val="28"/>
                <c:pt idx="0">
                  <c:v>128401</c:v>
                </c:pt>
                <c:pt idx="1">
                  <c:v>238000</c:v>
                </c:pt>
                <c:pt idx="2">
                  <c:v>304944.64000000001</c:v>
                </c:pt>
                <c:pt idx="3">
                  <c:v>349265</c:v>
                </c:pt>
                <c:pt idx="4">
                  <c:v>0</c:v>
                </c:pt>
                <c:pt idx="5">
                  <c:v>133875</c:v>
                </c:pt>
                <c:pt idx="6">
                  <c:v>3861702.3200000003</c:v>
                </c:pt>
                <c:pt idx="7">
                  <c:v>18359386.640000001</c:v>
                </c:pt>
                <c:pt idx="8">
                  <c:v>0</c:v>
                </c:pt>
                <c:pt idx="9">
                  <c:v>1680432.32</c:v>
                </c:pt>
                <c:pt idx="10">
                  <c:v>1462034</c:v>
                </c:pt>
                <c:pt idx="11">
                  <c:v>905709</c:v>
                </c:pt>
                <c:pt idx="12">
                  <c:v>633080</c:v>
                </c:pt>
                <c:pt idx="13">
                  <c:v>133875</c:v>
                </c:pt>
                <c:pt idx="14">
                  <c:v>257025.72</c:v>
                </c:pt>
                <c:pt idx="15">
                  <c:v>2702470.96</c:v>
                </c:pt>
                <c:pt idx="16">
                  <c:v>499185.95999999996</c:v>
                </c:pt>
                <c:pt idx="17">
                  <c:v>354586.68</c:v>
                </c:pt>
                <c:pt idx="18">
                  <c:v>133875</c:v>
                </c:pt>
                <c:pt idx="19">
                  <c:v>0</c:v>
                </c:pt>
                <c:pt idx="20">
                  <c:v>133875</c:v>
                </c:pt>
                <c:pt idx="21">
                  <c:v>133875</c:v>
                </c:pt>
                <c:pt idx="22">
                  <c:v>133875</c:v>
                </c:pt>
                <c:pt idx="23">
                  <c:v>0</c:v>
                </c:pt>
                <c:pt idx="24">
                  <c:v>535500</c:v>
                </c:pt>
                <c:pt idx="25">
                  <c:v>985472.32000000007</c:v>
                </c:pt>
                <c:pt idx="26">
                  <c:v>354586.68</c:v>
                </c:pt>
                <c:pt idx="27">
                  <c:v>2911196.96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8-4475-AA48-BDD878B3E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2649631"/>
        <c:axId val="1952654911"/>
        <c:axId val="0"/>
      </c:bar3DChart>
      <c:catAx>
        <c:axId val="19526496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100"/>
                  <a:t>Sede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52654911"/>
        <c:crosses val="autoZero"/>
        <c:auto val="1"/>
        <c:lblAlgn val="ctr"/>
        <c:lblOffset val="100"/>
        <c:noMultiLvlLbl val="0"/>
      </c:catAx>
      <c:valAx>
        <c:axId val="1952654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Costo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52649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534961809527323"/>
          <c:y val="0.18022472602909512"/>
          <c:w val="0.27539194017317459"/>
          <c:h val="5.014453927010886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Proyección de costos durante el resto de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Proyecciones!$K$5:$K$11</c:f>
              <c:strCache>
                <c:ptCount val="7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Septiembre</c:v>
                </c:pt>
                <c:pt idx="4">
                  <c:v>Octubre</c:v>
                </c:pt>
                <c:pt idx="5">
                  <c:v>Noviembre</c:v>
                </c:pt>
                <c:pt idx="6">
                  <c:v>Diciembre</c:v>
                </c:pt>
              </c:strCache>
            </c:strRef>
          </c:cat>
          <c:val>
            <c:numRef>
              <c:f>Proyecciones!$L$5:$L$11</c:f>
              <c:numCache>
                <c:formatCode>_("$"* #,##0.00_);_("$"* \(#,##0.00\);_("$"* "-"??_);_(@_)</c:formatCode>
                <c:ptCount val="7"/>
                <c:pt idx="0">
                  <c:v>7607500</c:v>
                </c:pt>
                <c:pt idx="1">
                  <c:v>236500</c:v>
                </c:pt>
                <c:pt idx="2">
                  <c:v>4102500</c:v>
                </c:pt>
                <c:pt idx="3">
                  <c:v>1152500</c:v>
                </c:pt>
                <c:pt idx="4">
                  <c:v>3127500</c:v>
                </c:pt>
                <c:pt idx="5">
                  <c:v>210500</c:v>
                </c:pt>
                <c:pt idx="6">
                  <c:v>6749000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E8A-46D0-869E-545F7033B48E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Proyecciones!$K$5:$K$11</c:f>
              <c:strCache>
                <c:ptCount val="7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  <c:pt idx="3">
                  <c:v>Septiembre</c:v>
                </c:pt>
                <c:pt idx="4">
                  <c:v>Octubre</c:v>
                </c:pt>
                <c:pt idx="5">
                  <c:v>Noviembre</c:v>
                </c:pt>
                <c:pt idx="6">
                  <c:v>Diciembre</c:v>
                </c:pt>
              </c:strCache>
            </c:strRef>
          </c:cat>
          <c:val>
            <c:numRef>
              <c:f>Proyecciones!$M$5:$M$11</c:f>
              <c:numCache>
                <c:formatCode>_("$"* #,##0.00_);_("$"* \(#,##0.00\);_("$"* "-"??_);_(@_)</c:formatCode>
                <c:ptCount val="7"/>
                <c:pt idx="0">
                  <c:v>11400160</c:v>
                </c:pt>
                <c:pt idx="1">
                  <c:v>1325984</c:v>
                </c:pt>
                <c:pt idx="2">
                  <c:v>2617688</c:v>
                </c:pt>
                <c:pt idx="3">
                  <c:v>1902208</c:v>
                </c:pt>
                <c:pt idx="4">
                  <c:v>2456160</c:v>
                </c:pt>
                <c:pt idx="5">
                  <c:v>1460976</c:v>
                </c:pt>
                <c:pt idx="6">
                  <c:v>2665280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E8A-46D0-869E-545F7033B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5005824"/>
        <c:axId val="1255008224"/>
        <c:axId val="0"/>
      </c:bar3DChart>
      <c:catAx>
        <c:axId val="1255005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</a:t>
                </a:r>
              </a:p>
            </c:rich>
          </c:tx>
          <c:layout>
            <c:manualLayout>
              <c:xMode val="edge"/>
              <c:yMode val="edge"/>
              <c:x val="0.55464184873201916"/>
              <c:y val="0.930767696591117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55008224"/>
        <c:crosses val="autoZero"/>
        <c:auto val="1"/>
        <c:lblAlgn val="ctr"/>
        <c:lblOffset val="100"/>
        <c:noMultiLvlLbl val="0"/>
      </c:catAx>
      <c:valAx>
        <c:axId val="125500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Costo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550058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Costos mensuales por mantenimiento y calibración durante año</a:t>
            </a:r>
            <a:r>
              <a:rPr lang="es-CO" baseline="0"/>
              <a:t> </a:t>
            </a:r>
            <a:r>
              <a:rPr lang="es-CO"/>
              <a:t>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Proyecciones!$M$40</c:f>
              <c:strCache>
                <c:ptCount val="1"/>
                <c:pt idx="0">
                  <c:v> Calibración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Proyecciones!$K$41:$K$51</c:f>
              <c:strCache>
                <c:ptCount val="11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</c:strCache>
            </c:strRef>
          </c:cat>
          <c:val>
            <c:numRef>
              <c:f>Proyecciones!$M$41:$M$51</c:f>
              <c:numCache>
                <c:formatCode>_("$"* #,##0.00_);_("$"* \(#,##0.00\);_("$"* "-"??_);_(@_)</c:formatCode>
                <c:ptCount val="11"/>
                <c:pt idx="0">
                  <c:v>10236856</c:v>
                </c:pt>
                <c:pt idx="1">
                  <c:v>3206435.9600000009</c:v>
                </c:pt>
                <c:pt idx="2">
                  <c:v>5934215.8400000017</c:v>
                </c:pt>
                <c:pt idx="3">
                  <c:v>943622.39999999979</c:v>
                </c:pt>
                <c:pt idx="4">
                  <c:v>11400160</c:v>
                </c:pt>
                <c:pt idx="5">
                  <c:v>1325984</c:v>
                </c:pt>
                <c:pt idx="6">
                  <c:v>2617688</c:v>
                </c:pt>
                <c:pt idx="7">
                  <c:v>1902208</c:v>
                </c:pt>
                <c:pt idx="8">
                  <c:v>2456160</c:v>
                </c:pt>
                <c:pt idx="9">
                  <c:v>1460976</c:v>
                </c:pt>
                <c:pt idx="10">
                  <c:v>2665280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5-4BDB-B615-7B0845A6C7BF}"/>
            </c:ext>
          </c:extLst>
        </c:ser>
        <c:ser>
          <c:idx val="1"/>
          <c:order val="1"/>
          <c:tx>
            <c:strRef>
              <c:f>Proyecciones!$L$40</c:f>
              <c:strCache>
                <c:ptCount val="1"/>
                <c:pt idx="0">
                  <c:v> Mantenimiento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Proyecciones!$K$41:$K$51</c:f>
              <c:strCache>
                <c:ptCount val="11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</c:strCache>
            </c:strRef>
          </c:cat>
          <c:val>
            <c:numRef>
              <c:f>Proyecciones!$L$41:$L$51</c:f>
              <c:numCache>
                <c:formatCode>_("$"* #,##0.00_);_("$"* \(#,##0.00\);_("$"* "-"??_);_(@_)</c:formatCode>
                <c:ptCount val="11"/>
                <c:pt idx="0">
                  <c:v>5188400</c:v>
                </c:pt>
                <c:pt idx="1">
                  <c:v>4370275</c:v>
                </c:pt>
                <c:pt idx="2">
                  <c:v>5072375</c:v>
                </c:pt>
                <c:pt idx="3">
                  <c:v>2374050</c:v>
                </c:pt>
                <c:pt idx="4">
                  <c:v>7607500</c:v>
                </c:pt>
                <c:pt idx="5">
                  <c:v>236500</c:v>
                </c:pt>
                <c:pt idx="6">
                  <c:v>4102500</c:v>
                </c:pt>
                <c:pt idx="7">
                  <c:v>1152500</c:v>
                </c:pt>
                <c:pt idx="8">
                  <c:v>3127500</c:v>
                </c:pt>
                <c:pt idx="9">
                  <c:v>210500</c:v>
                </c:pt>
                <c:pt idx="10">
                  <c:v>6749000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C5-4BDB-B615-7B0845A6C7BF}"/>
            </c:ext>
          </c:extLst>
        </c:ser>
        <c:ser>
          <c:idx val="2"/>
          <c:order val="2"/>
          <c:tx>
            <c:strRef>
              <c:f>Proyecciones!$N$40</c:f>
              <c:strCache>
                <c:ptCount val="1"/>
                <c:pt idx="0">
                  <c:v>Total Mes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cat>
            <c:strRef>
              <c:f>Proyecciones!$K$41:$K$51</c:f>
              <c:strCache>
                <c:ptCount val="11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</c:strCache>
            </c:strRef>
          </c:cat>
          <c:val>
            <c:numRef>
              <c:f>Proyecciones!$N$41:$N$51</c:f>
              <c:numCache>
                <c:formatCode>_("$"* #,##0.00_);_("$"* \(#,##0.00\);_("$"* "-"??_);_(@_)</c:formatCode>
                <c:ptCount val="11"/>
                <c:pt idx="0">
                  <c:v>15425256</c:v>
                </c:pt>
                <c:pt idx="1">
                  <c:v>7576710.9600000009</c:v>
                </c:pt>
                <c:pt idx="2">
                  <c:v>11006590.840000002</c:v>
                </c:pt>
                <c:pt idx="3">
                  <c:v>3317672.4</c:v>
                </c:pt>
                <c:pt idx="4">
                  <c:v>19007660</c:v>
                </c:pt>
                <c:pt idx="5">
                  <c:v>1562484</c:v>
                </c:pt>
                <c:pt idx="6">
                  <c:v>6720188</c:v>
                </c:pt>
                <c:pt idx="7">
                  <c:v>3054708</c:v>
                </c:pt>
                <c:pt idx="8">
                  <c:v>5583660</c:v>
                </c:pt>
                <c:pt idx="9">
                  <c:v>1671476</c:v>
                </c:pt>
                <c:pt idx="10">
                  <c:v>9414280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C5-4BDB-B615-7B0845A6C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8420831"/>
        <c:axId val="1448426591"/>
        <c:axId val="0"/>
      </c:bar3DChart>
      <c:catAx>
        <c:axId val="14484208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8426591"/>
        <c:crosses val="autoZero"/>
        <c:auto val="1"/>
        <c:lblAlgn val="ctr"/>
        <c:lblOffset val="100"/>
        <c:noMultiLvlLbl val="0"/>
      </c:catAx>
      <c:valAx>
        <c:axId val="144842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Costo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8420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85160643969563"/>
          <c:y val="0.20031793047503516"/>
          <c:w val="0.15423743290541816"/>
          <c:h val="0.1903413338180616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Costos actuales y proyectados</a:t>
            </a:r>
          </a:p>
        </c:rich>
      </c:tx>
      <c:layout>
        <c:manualLayout>
          <c:xMode val="edge"/>
          <c:yMode val="edge"/>
          <c:x val="0.29091432237954529"/>
          <c:y val="3.77714825306893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Proyecciones!$L$80</c:f>
              <c:strCache>
                <c:ptCount val="1"/>
                <c:pt idx="0">
                  <c:v>Año actual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Proyecciones!$K$81:$K$83</c:f>
              <c:strCache>
                <c:ptCount val="3"/>
                <c:pt idx="0">
                  <c:v>Total preventivo</c:v>
                </c:pt>
                <c:pt idx="1">
                  <c:v>Total calibración</c:v>
                </c:pt>
                <c:pt idx="2">
                  <c:v>Total anual</c:v>
                </c:pt>
              </c:strCache>
            </c:strRef>
          </c:cat>
          <c:val>
            <c:numRef>
              <c:f>Proyecciones!$L$81:$L$83</c:f>
              <c:numCache>
                <c:formatCode>_("$"* #,##0.00_);_("$"* \(#,##0.00\);_("$"* "-"??_);_(@_)</c:formatCode>
                <c:ptCount val="3"/>
                <c:pt idx="0">
                  <c:v>40191100</c:v>
                </c:pt>
                <c:pt idx="1">
                  <c:v>44149586.200000003</c:v>
                </c:pt>
                <c:pt idx="2">
                  <c:v>84340686.200000003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2-4BC4-B8BE-AEB337A83DDD}"/>
            </c:ext>
          </c:extLst>
        </c:ser>
        <c:ser>
          <c:idx val="1"/>
          <c:order val="1"/>
          <c:tx>
            <c:strRef>
              <c:f>Proyecciones!$M$80</c:f>
              <c:strCache>
                <c:ptCount val="1"/>
                <c:pt idx="0">
                  <c:v>Proyección 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Proyecciones!$K$81:$K$83</c:f>
              <c:strCache>
                <c:ptCount val="3"/>
                <c:pt idx="0">
                  <c:v>Total preventivo</c:v>
                </c:pt>
                <c:pt idx="1">
                  <c:v>Total calibración</c:v>
                </c:pt>
                <c:pt idx="2">
                  <c:v>Total anual</c:v>
                </c:pt>
              </c:strCache>
            </c:strRef>
          </c:cat>
          <c:val>
            <c:numRef>
              <c:f>Proyecciones!$M$81:$M$83</c:f>
              <c:numCache>
                <c:formatCode>_("$"* #,##0.00_);_("$"* \(#,##0.00\);_("$"* "-"??_);_(@_)</c:formatCode>
                <c:ptCount val="3"/>
                <c:pt idx="0">
                  <c:v>44009254.5</c:v>
                </c:pt>
                <c:pt idx="1">
                  <c:v>48343796.888999999</c:v>
                </c:pt>
                <c:pt idx="2">
                  <c:v>92353051.388999999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2-4BC4-B8BE-AEB337A83DDD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3769087"/>
        <c:axId val="1433784927"/>
      </c:lineChart>
      <c:catAx>
        <c:axId val="1433769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33784927"/>
        <c:crosses val="autoZero"/>
        <c:auto val="1"/>
        <c:lblAlgn val="ctr"/>
        <c:lblOffset val="100"/>
        <c:noMultiLvlLbl val="0"/>
      </c:catAx>
      <c:valAx>
        <c:axId val="1433784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Costo</a:t>
                </a:r>
              </a:p>
            </c:rich>
          </c:tx>
          <c:layout>
            <c:manualLayout>
              <c:xMode val="edge"/>
              <c:yMode val="edge"/>
              <c:x val="3.3396942382823626E-2"/>
              <c:y val="0.344078502226881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33769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433267716535435"/>
          <c:y val="0.16745297462817149"/>
          <c:w val="0.2650610567984692"/>
          <c:h val="0.1593495572260266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62048</xdr:colOff>
      <xdr:row>6</xdr:row>
      <xdr:rowOff>129540</xdr:rowOff>
    </xdr:from>
    <xdr:to>
      <xdr:col>9</xdr:col>
      <xdr:colOff>685800</xdr:colOff>
      <xdr:row>30</xdr:row>
      <xdr:rowOff>54429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1BA202-8F42-E676-4412-3B8437D17D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80009</xdr:colOff>
      <xdr:row>6</xdr:row>
      <xdr:rowOff>128451</xdr:rowOff>
    </xdr:from>
    <xdr:to>
      <xdr:col>20</xdr:col>
      <xdr:colOff>664029</xdr:colOff>
      <xdr:row>30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D487F3-2F43-755F-253A-FEF7C20E56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36</xdr:row>
      <xdr:rowOff>97971</xdr:rowOff>
    </xdr:from>
    <xdr:to>
      <xdr:col>9</xdr:col>
      <xdr:colOff>647700</xdr:colOff>
      <xdr:row>62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1A82413-01F7-5AF9-E995-AA26A83A23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144234</xdr:colOff>
      <xdr:row>36</xdr:row>
      <xdr:rowOff>89806</xdr:rowOff>
    </xdr:from>
    <xdr:to>
      <xdr:col>19</xdr:col>
      <xdr:colOff>666750</xdr:colOff>
      <xdr:row>62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61C8255-0B4D-8B82-7110-23AB68B7C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89645</xdr:colOff>
      <xdr:row>6</xdr:row>
      <xdr:rowOff>73957</xdr:rowOff>
    </xdr:from>
    <xdr:to>
      <xdr:col>31</xdr:col>
      <xdr:colOff>717177</xdr:colOff>
      <xdr:row>30</xdr:row>
      <xdr:rowOff>44823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A29B92-3B19-1297-C851-C1348DF9F8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220980</xdr:colOff>
      <xdr:row>13</xdr:row>
      <xdr:rowOff>57150</xdr:rowOff>
    </xdr:from>
    <xdr:to>
      <xdr:col>16</xdr:col>
      <xdr:colOff>83820</xdr:colOff>
      <xdr:row>35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45AD2CF-7B3C-FD92-5858-8C985D250C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707572</xdr:colOff>
      <xdr:row>53</xdr:row>
      <xdr:rowOff>152400</xdr:rowOff>
    </xdr:from>
    <xdr:to>
      <xdr:col>13</xdr:col>
      <xdr:colOff>1349829</xdr:colOff>
      <xdr:row>72</xdr:row>
      <xdr:rowOff>32657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5E979C5-0732-97EF-F77F-F81F1280D2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1382485</xdr:colOff>
      <xdr:row>87</xdr:row>
      <xdr:rowOff>54429</xdr:rowOff>
    </xdr:from>
    <xdr:to>
      <xdr:col>13</xdr:col>
      <xdr:colOff>1023257</xdr:colOff>
      <xdr:row>101</xdr:row>
      <xdr:rowOff>130629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2D1909E-6244-9803-7ABA-288B5B8F15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66F386-0370-45A2-8298-2AC781D64D5A}" name="Tabla1" displayName="Tabla1" ref="A3:Q281" totalsRowShown="0" headerRowDxfId="92" dataDxfId="91">
  <tableColumns count="17">
    <tableColumn id="1" xr3:uid="{DE579482-0D2D-49F2-9387-9446E9A003D8}" name="Sede " dataDxfId="90"/>
    <tableColumn id="2" xr3:uid="{5746B21F-2571-4CAB-97A1-DA3D7B4D2A6F}" name="Ciudad " dataDxfId="89">
      <calculatedColumnFormula>IFERROR(VLOOKUP(Tabla1[[#This Row],[Sede ]],Tabla2[[#All],[Sede]:[Departamento]],2,FALSE),"")</calculatedColumnFormula>
    </tableColumn>
    <tableColumn id="3" xr3:uid="{3BDDFC9A-83B9-44A0-8E1A-F147F67CEC6F}" name="Departemento " dataDxfId="88">
      <calculatedColumnFormula>IFERROR(VLOOKUP(Tabla1[[#This Row],[Sede ]],Tabla2[[#All],[Sede]:[Departamento]],3,FALSE),"")</calculatedColumnFormula>
    </tableColumn>
    <tableColumn id="4" xr3:uid="{4391282C-25AB-4F60-97D9-373E8E0BC1A7}" name="Nombre Equipo" dataDxfId="87"/>
    <tableColumn id="7" xr3:uid="{0196431A-A408-414F-BD98-0B723B2D9A56}" name="Placa" dataDxfId="86"/>
    <tableColumn id="8" xr3:uid="{0EC07FFD-9E1D-46DB-AF54-C58ADF8E8ECE}" name="Ultima fehca de calibración" dataDxfId="85"/>
    <tableColumn id="9" xr3:uid="{743F3265-584B-4F2A-AF8F-A3AE0FB8F607}" name="Periodicidad/calibración" dataDxfId="84"/>
    <tableColumn id="18" xr3:uid="{DA69385B-C964-4B36-B076-52E850FE9D8B}" name="Proveedor calib." dataDxfId="83"/>
    <tableColumn id="6" xr3:uid="{B9F05826-18B1-4089-9668-532764BA5CBB}" name="Certificado Calb" dataDxfId="82"/>
    <tableColumn id="10" xr3:uid="{87293760-33C8-45FA-BE7B-BB14CFCFC41F}" name=" Valor calibración" dataDxfId="81" dataCellStyle="Moneda">
      <calculatedColumnFormula>VLOOKUP(Tabla1[[#This Row],[Nombre Equipo]],INDIRECT(Tabla1[[#This Row],[Proveedor calib.]]),2,FALSE)</calculatedColumnFormula>
    </tableColumn>
    <tableColumn id="14" xr3:uid="{7F3B52BA-A964-425F-A676-7BE2F5B365A7}" name="Valor Calb + IVA" dataDxfId="80" dataCellStyle="Moneda">
      <calculatedColumnFormula>Tabla1[[#This Row],[ Valor calibración]]*1.19</calculatedColumnFormula>
    </tableColumn>
    <tableColumn id="11" xr3:uid="{FEAA4166-6C1E-441F-87EA-9DA60F6DEF10}" name="Periodicidad/Mant Preventivo" dataDxfId="79"/>
    <tableColumn id="12" xr3:uid="{1D157A66-5520-4589-9CB5-8E8F2004DB68}" name="Fehca_x000a_Mant. Preventivo" dataDxfId="78"/>
    <tableColumn id="19" xr3:uid="{8CAE5077-2460-45D1-AB12-802B9CF70B99}" name="Proveedor prev." dataDxfId="77"/>
    <tableColumn id="21" xr3:uid="{17EB95DA-D016-4374-A626-EB568C966F9A}" name="Reporte Mant. Prev" dataDxfId="76"/>
    <tableColumn id="13" xr3:uid="{BCB6F5E0-A8B7-4537-9CE7-1D662FB9C9DD}" name="Valor prev." dataDxfId="75" dataCellStyle="Moneda"/>
    <tableColumn id="17" xr3:uid="{28A027D5-C942-482E-9B6C-3B4A99E688D6}" name="Valor Prev + IVA" dataDxfId="74" dataCellStyle="Moneda">
      <calculatedColumnFormula>Tabla1[[#This Row],[Valor prev.]]*1.19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8EFC71-4109-44C0-8DB6-26871DC854C4}" name="Tabla3" displayName="Tabla3" ref="S3:V14" totalsRowShown="0" headerRowDxfId="73" dataDxfId="72" dataCellStyle="Moneda">
  <tableColumns count="4">
    <tableColumn id="1" xr3:uid="{CE8A86AA-36EE-44B4-8D33-23C1305A5EAA}" name="Mes" dataDxfId="71" dataCellStyle="Moneda"/>
    <tableColumn id="3" xr3:uid="{CBDBFD4C-1DCF-4779-9905-171A734A1DAF}" name="Total Calibración" dataDxfId="70" dataCellStyle="Moneda">
      <calculatedColumnFormula array="1">SUMPRODUCT((TEXT($F$4:$F$281,"mmmm")=S4)*1,K4:K281)</calculatedColumnFormula>
    </tableColumn>
    <tableColumn id="4" xr3:uid="{56DEA81E-B429-4031-A753-D4751FB8AEB7}" name="Total Preventivo" dataDxfId="69" dataCellStyle="Moneda">
      <calculatedColumnFormula array="1">SUMPRODUCT((TEXT(Tabla1[Fehca
Mant. Preventivo],"mmmm")=S4)*1,Tabla1[Valor Prev + IVA])</calculatedColumnFormula>
    </tableColumn>
    <tableColumn id="2" xr3:uid="{6C7D63DD-2568-4167-9DF2-E2BDD12F3C3E}" name="Total Mes" dataDxfId="68" dataCellStyle="Moneda">
      <calculatedColumnFormula>SUM(Tabla3[[#This Row],[Total Calibración]],Tabla3[[#This Row],[Total Preventivo]])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14C1E83-7994-4BEB-AD81-A8E9BC84ADC9}" name="Tabla15" displayName="Tabla15" ref="T21:U46" totalsRowShown="0" headerRowDxfId="67" dataDxfId="66">
  <tableColumns count="2">
    <tableColumn id="1" xr3:uid="{9A7700F8-9B9E-42E5-8EB8-D3EE14FA36ED}" name="Equipo" dataDxfId="65"/>
    <tableColumn id="2" xr3:uid="{0AD4DE91-74AF-4FD9-A3EE-31AD0F3BE273}" name="Total calibración " dataDxfId="64" dataCellStyle="Moneda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074467F-5E6B-439C-A9AD-3E7ACFC84CDA}" name="Tabla16" displayName="Tabla16" ref="T52:U82" totalsRowShown="0" headerRowDxfId="63" dataDxfId="62">
  <tableColumns count="2">
    <tableColumn id="1" xr3:uid="{CF2FB968-CAC7-4637-A371-96E157DA1F9D}" name="Equipo" dataDxfId="61"/>
    <tableColumn id="2" xr3:uid="{F2B28C05-591B-43D6-A93E-C47E157A610B}" name="total preventivo" dataDxfId="60" dataCellStyle="Moneda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D582602-3942-4906-84D0-B04F4D021987}" name="Tabla12" displayName="Tabla12" ref="S88:V117" totalsRowShown="0" headerRowDxfId="59">
  <tableColumns count="4">
    <tableColumn id="1" xr3:uid="{0927496A-7D87-4552-A1A2-4FEA8DAF357F}" name="Sede" dataDxfId="58"/>
    <tableColumn id="2" xr3:uid="{ADBF7B7B-B978-4485-BE8D-C18E26E4D8BF}" name="Total Calb" dataDxfId="57" dataCellStyle="Moneda"/>
    <tableColumn id="3" xr3:uid="{27618256-3059-4648-8601-012AA60ACE90}" name="Total Ptvo" dataDxfId="56" dataCellStyle="Moneda"/>
    <tableColumn id="4" xr3:uid="{B85382D2-A81E-4FD5-AFC3-F5A22D34D6E9}" name="Total servicios" dataDxfId="55">
      <calculatedColumnFormula>T89+U89</calculatedColumnFormula>
    </tableColumn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B21CA1-68CF-4A40-B18F-9C1DDF15F355}" name="Tabla2" displayName="Tabla2" ref="A1:G51" totalsRowShown="0" headerRowDxfId="54" dataDxfId="53" tableBorderDxfId="52">
  <tableColumns count="7">
    <tableColumn id="1" xr3:uid="{13AECF63-629A-4DBE-B509-910CEC108BCD}" name="Sede" dataDxfId="51"/>
    <tableColumn id="2" xr3:uid="{5B94CEDC-768A-4723-A454-911923D574A9}" name="Ciudad" dataDxfId="50"/>
    <tableColumn id="3" xr3:uid="{97E100BE-CCFC-49E4-8C32-FF3B448D7667}" name="Departamento" dataDxfId="49"/>
    <tableColumn id="6" xr3:uid="{7825C2B5-A7D4-430B-9986-199AB52416F9}" name="periodicidad de calibración" dataDxfId="48"/>
    <tableColumn id="7" xr3:uid="{3582B0AE-8127-400B-8448-E8C0A23289C4}" name="periodicidad preventivo" dataDxfId="47"/>
    <tableColumn id="8" xr3:uid="{E36F914B-7E53-427B-BD01-74DC19A9D612}" name="proveedores" dataDxfId="46"/>
    <tableColumn id="9" xr3:uid="{F4E505C2-18AE-4FA5-B802-24E2B78C02AC}" name="Equipos" dataDxfId="4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B061DE-1843-4F27-BB02-35E09F01370A}" name="Tabla5" displayName="Tabla5" ref="A5:B32" totalsRowShown="0">
  <autoFilter ref="A5:B32" xr:uid="{D9B061DE-1843-4F27-BB02-35E09F01370A}"/>
  <sortState xmlns:xlrd2="http://schemas.microsoft.com/office/spreadsheetml/2017/richdata2" ref="A6:B32">
    <sortCondition ref="A6:A32"/>
  </sortState>
  <tableColumns count="2">
    <tableColumn id="1" xr3:uid="{4D6A9715-EF03-496D-8722-EBF808EF167F}" name="Equipo"/>
    <tableColumn id="2" xr3:uid="{6353BFC3-5739-4523-A8DD-85F1BCE3CE1B}" name="Costo" dataCellStyle="Moned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F9CAFBC-A1DE-4077-8786-49A905A8770F}" name="Tabla58" displayName="Tabla58" ref="D5:E26" totalsRowShown="0">
  <autoFilter ref="D5:E26" xr:uid="{DF9CAFBC-A1DE-4077-8786-49A905A8770F}"/>
  <sortState xmlns:xlrd2="http://schemas.microsoft.com/office/spreadsheetml/2017/richdata2" ref="D6:E29">
    <sortCondition ref="D27:D29"/>
  </sortState>
  <tableColumns count="2">
    <tableColumn id="1" xr3:uid="{3693219B-B94F-4795-89CA-9061AFEFD524}" name="Equipo"/>
    <tableColumn id="2" xr3:uid="{6AC6A82F-665F-4E06-B46F-FB7454077211}" name="Costo" dataCellStyle="Moned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632CFFA-EAD5-49FE-B60A-1B0E01A4BEFF}" name="Tabla579" displayName="Tabla579" ref="A38:B73" totalsRowShown="0">
  <autoFilter ref="A38:B73" xr:uid="{3632CFFA-EAD5-49FE-B60A-1B0E01A4BEFF}"/>
  <sortState xmlns:xlrd2="http://schemas.microsoft.com/office/spreadsheetml/2017/richdata2" ref="A39:B79">
    <sortCondition ref="A72:A79"/>
  </sortState>
  <tableColumns count="2">
    <tableColumn id="1" xr3:uid="{05CFDF4D-434B-44F6-9B5E-A4C4169B0F6C}" name="Equipo"/>
    <tableColumn id="2" xr3:uid="{5C84B562-EC60-440C-B320-885AA3BA06EF}" name="Costo" dataCellStyle="Moned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3A10220-5339-43BC-9938-98B36D7AEB3B}" name="Tabla57911" displayName="Tabla57911" ref="D38:E76" totalsRowShown="0">
  <autoFilter ref="D38:E76" xr:uid="{F3A10220-5339-43BC-9938-98B36D7AEB3B}"/>
  <tableColumns count="2">
    <tableColumn id="1" xr3:uid="{483582B8-CCA4-4DF5-A32F-F790D8408B91}" name="Equipo"/>
    <tableColumn id="2" xr3:uid="{F64BA40F-700B-44D0-810F-74D677F79AB7}" name="Costo" dataDxfId="44" dataCellStyle="Moned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71433EA-D4CA-42BA-A55E-1E6ED481C2E4}" name="Tabla6" displayName="Tabla6" ref="G38:H42" totalsRowShown="0">
  <autoFilter ref="G38:H42" xr:uid="{971433EA-D4CA-42BA-A55E-1E6ED481C2E4}"/>
  <tableColumns count="2">
    <tableColumn id="1" xr3:uid="{9E7B9184-22DD-4C3E-8D46-2350321F8AE8}" name="Equipo"/>
    <tableColumn id="2" xr3:uid="{0A0331EC-7868-4CD5-A1A6-2A16DEB8DE1A}" name="Costo" dataCellStyle="Moneda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583B16A-D4EE-4215-A3BC-A850A47FE52F}" name="Tabla9" displayName="Tabla9" ref="A87:B135" totalsRowShown="0">
  <autoFilter ref="A87:B135" xr:uid="{E583B16A-D4EE-4215-A3BC-A850A47FE52F}"/>
  <tableColumns count="2">
    <tableColumn id="1" xr3:uid="{28F9AA49-1617-420A-A14B-593AB932CC75}" name="Equipo"/>
    <tableColumn id="2" xr3:uid="{0DAACCED-CB48-4D9F-9920-91ADB14E3110}" name="Costo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0148DB6-E9A6-4A37-94DF-745F32348763}" name="Tabla11" displayName="Tabla11" ref="G47:J59" totalsRowCount="1" totalsRowDxfId="43">
  <tableColumns count="4">
    <tableColumn id="1" xr3:uid="{73407694-3893-47A5-AF74-C7F67DD5B390}" name="Equipo" totalsRowLabel="Totales" totalsRowDxfId="42"/>
    <tableColumn id="2" xr3:uid="{37B860D2-1E9D-4CBD-B6E6-038929ECA137}" name="Proveedor &quot;A&quot;" totalsRowFunction="custom" totalsRowDxfId="41">
      <totalsRowFormula>SUM(Tabla11[Proveedor "A"])</totalsRowFormula>
    </tableColumn>
    <tableColumn id="3" xr3:uid="{36E129EB-7AF1-493C-9438-2CBA0766B4E0}" name="Proveedor &quot;B&quot;" totalsRowFunction="custom" totalsRowDxfId="40">
      <totalsRowFormula>SUM(Tabla11[Proveedor "B"])</totalsRowFormula>
    </tableColumn>
    <tableColumn id="4" xr3:uid="{DC2C92D7-E910-4064-A1DC-B18BC0899DF8}" name="Diferencias" totalsRowFunction="custom" dataDxfId="39" totalsRowDxfId="38">
      <calculatedColumnFormula>ABS(Tabla11[[#This Row],[Proveedor "A"]]-Tabla11[[#This Row],[Proveedor "B"]])</calculatedColumnFormula>
      <totalsRowFormula>ABS(Tabla11[[#Totals],[Proveedor "A"]]-Tabla11[[#Totals],[Proveedor "B"]])</totalsRow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C33F6B1-EDCC-4CB3-9DEC-5529F61E1080}" name="Tabla114" displayName="Tabla114" ref="A3:Q281" totalsRowShown="0" headerRowDxfId="37" dataDxfId="36">
  <tableColumns count="17">
    <tableColumn id="1" xr3:uid="{93F2B148-8872-4AD6-B7A1-6E5E012CB457}" name="Sede " dataDxfId="35"/>
    <tableColumn id="2" xr3:uid="{33E90A67-44E4-4C03-8E0D-7AF603D310D9}" name="Ciudad " dataDxfId="34"/>
    <tableColumn id="3" xr3:uid="{00018CCC-2B2F-4B59-AA0F-4C205F0517BE}" name="Departemento " dataDxfId="33"/>
    <tableColumn id="4" xr3:uid="{D901FBFE-080F-435B-8B85-13D81229F146}" name="Nombre Equipo" dataDxfId="32"/>
    <tableColumn id="7" xr3:uid="{5435A576-7074-428C-8729-271E7D1E4805}" name="Placa" dataDxfId="31"/>
    <tableColumn id="8" xr3:uid="{2C1668A0-8F7C-4388-83D8-70A75C843DC5}" name="Ultima fehca de calibración" dataDxfId="30"/>
    <tableColumn id="9" xr3:uid="{A5BE57B6-46C5-481E-931C-C472DFE10A9C}" name="Periodicidad/calibración" dataDxfId="29"/>
    <tableColumn id="18" xr3:uid="{3E790296-CFCD-4E20-B9AB-AF2FD04FEAEB}" name="Proveedor calib." dataDxfId="28"/>
    <tableColumn id="6" xr3:uid="{CCB2A27B-4B71-417E-9B35-0E561D476867}" name="Certificado Calb" dataDxfId="27"/>
    <tableColumn id="10" xr3:uid="{9DA7662E-9771-463D-8D26-0AF0CAF32B45}" name=" Valor calibración" dataDxfId="26" dataCellStyle="Moneda"/>
    <tableColumn id="14" xr3:uid="{53F1975B-D9A2-4A5B-8B01-CBF1D95C911A}" name="Valor Calb + IVA" dataDxfId="25" dataCellStyle="Moneda"/>
    <tableColumn id="11" xr3:uid="{EA47CD2C-5473-4570-A081-B1F3402689D3}" name="Periodicidad/Mant Preventivo" dataDxfId="24"/>
    <tableColumn id="12" xr3:uid="{2AC56D4D-CAB4-475F-B89C-9CDB8C5ABF1E}" name="Fehca_x000a_Mant. Preventivo" dataDxfId="23"/>
    <tableColumn id="19" xr3:uid="{B9DE0F78-1110-4165-9ADB-825244ABA38F}" name="Proveedor prev." dataDxfId="22"/>
    <tableColumn id="21" xr3:uid="{51ED501B-3139-4E37-9D12-F2CAFB9DA555}" name="Reporte Mant. Prev" dataDxfId="21"/>
    <tableColumn id="13" xr3:uid="{FE2C1C29-A475-4642-B56D-20FAED137808}" name="Valor prev." dataDxfId="20" dataCellStyle="Moneda"/>
    <tableColumn id="17" xr3:uid="{B2B0BC08-2D3B-43A7-9376-AB6321633DC5}" name="Valor Prev + IVA" dataDxfId="19" dataCellStyle="Moneda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5A7DBFD-3DD7-4DCF-B3D8-73D1699C4639}" name="Tabla315" displayName="Tabla315" ref="S3:V14" totalsRowShown="0" headerRowDxfId="18" dataDxfId="17" dataCellStyle="Moneda">
  <tableColumns count="4">
    <tableColumn id="1" xr3:uid="{7C0C6A87-EE98-44D7-8D7E-7864BDC4626A}" name="Mes" dataDxfId="16" dataCellStyle="Moneda"/>
    <tableColumn id="3" xr3:uid="{0AC2A712-DE95-4506-867B-F8C49035076B}" name="Total Calibración" dataDxfId="15" dataCellStyle="Moneda">
      <calculatedColumnFormula array="1">SUMPRODUCT((TEXT($F$4:$F$281,"mmmm")=S4)*1,$K$4:$K$281)</calculatedColumnFormula>
    </tableColumn>
    <tableColumn id="4" xr3:uid="{59CF1F1E-B053-4E2A-ADD3-C149D692BB90}" name="Total Preventivo" dataDxfId="14" dataCellStyle="Moneda">
      <calculatedColumnFormula array="1">SUMPRODUCT((TEXT(Tabla114[Fehca
Mant. Preventivo],"mmmm")=S4)*1,Tabla114[Valor Prev + IVA])</calculatedColumnFormula>
    </tableColumn>
    <tableColumn id="2" xr3:uid="{0AFDD81D-AB4F-418C-886E-7B2CC59D2482}" name="Total Mes" dataDxfId="13" dataCellStyle="Moneda">
      <calculatedColumnFormula>SUM(Tabla315[[#This Row],[Total Calibración]],Tabla315[[#This Row],[Total Preventivo]])</calculatedColumnFormula>
    </tableColumn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07A255A-8DCF-4767-B3CD-4EA05EF668BF}" name="Tabla1518" displayName="Tabla1518" ref="T21:U46" totalsRowShown="0" headerRowDxfId="12" dataDxfId="11">
  <tableColumns count="2">
    <tableColumn id="1" xr3:uid="{476CDE39-2818-4FA7-8BBB-7544DAF0F2D2}" name="Equipo" dataDxfId="10"/>
    <tableColumn id="2" xr3:uid="{40361445-A405-494C-9C81-90E6A1136B93}" name="Total calibración " dataDxfId="9" dataCellStyle="Moneda"/>
  </tableColumns>
  <tableStyleInfo name="TableStyleMedium3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CC7F941-E49C-4BE6-9817-7FD91E8AAC16}" name="Tabla1624" displayName="Tabla1624" ref="T52:U82" totalsRowShown="0" headerRowDxfId="8" dataDxfId="7">
  <tableColumns count="2">
    <tableColumn id="1" xr3:uid="{D17D89AA-CF28-4EAF-824F-7455E053273F}" name="Equipo" dataDxfId="6"/>
    <tableColumn id="2" xr3:uid="{94492D72-CA94-4468-97BD-71FDEBC2D6E5}" name="total preventivo" dataDxfId="5" dataCellStyle="Moneda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5A431AA-5DDE-4A3C-9CF6-D022092716EE}" name="Tabla1225" displayName="Tabla1225" ref="S88:V117" totalsRowShown="0" headerRowDxfId="4">
  <tableColumns count="4">
    <tableColumn id="1" xr3:uid="{5E52A74D-34A2-4E0B-98D4-D3C75433F167}" name="Sede" dataDxfId="3"/>
    <tableColumn id="2" xr3:uid="{24644E7C-5E8F-46DD-9535-064DF1537AB7}" name="Total Calb" dataDxfId="2" dataCellStyle="Moneda"/>
    <tableColumn id="3" xr3:uid="{03D334FF-06E1-43FE-83BE-07F767372224}" name="Total Ptvo" dataDxfId="1" dataCellStyle="Moneda"/>
    <tableColumn id="4" xr3:uid="{226C9117-D451-4101-9BD7-27002CFC54BE}" name="Total servicios" dataDxfId="0">
      <calculatedColumnFormula>T89+U89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/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D391-254C-41F6-9CD1-7F7CB0799DD2}">
  <dimension ref="A1:AF63"/>
  <sheetViews>
    <sheetView tabSelected="1" topLeftCell="F11" zoomScale="68" zoomScaleNormal="68" workbookViewId="0">
      <selection activeCell="AH30" sqref="AH30"/>
    </sheetView>
  </sheetViews>
  <sheetFormatPr baseColWidth="10" defaultRowHeight="14.4" x14ac:dyDescent="0.3"/>
  <sheetData>
    <row r="1" spans="1:32" ht="14.4" customHeight="1" x14ac:dyDescent="0.3">
      <c r="A1" s="128" t="s">
        <v>580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32" ht="14.4" customHeight="1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4" spans="1:32" ht="14.4" customHeight="1" x14ac:dyDescent="0.3">
      <c r="A4" s="131" t="s">
        <v>578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</row>
    <row r="5" spans="1:32" ht="14.4" customHeight="1" x14ac:dyDescent="0.3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</row>
    <row r="6" spans="1:32" ht="14.4" customHeight="1" x14ac:dyDescent="0.4">
      <c r="A6" s="133"/>
      <c r="B6" s="134"/>
      <c r="C6" s="134"/>
      <c r="D6" s="134"/>
      <c r="E6" s="134"/>
      <c r="F6" s="134"/>
      <c r="G6" s="134"/>
      <c r="H6" s="134"/>
      <c r="I6" s="134"/>
      <c r="J6" s="135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</row>
    <row r="7" spans="1:32" x14ac:dyDescent="0.3">
      <c r="A7" s="130" t="s">
        <v>577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</row>
    <row r="8" spans="1:32" x14ac:dyDescent="0.3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</row>
    <row r="9" spans="1:32" x14ac:dyDescent="0.3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</row>
    <row r="10" spans="1:32" x14ac:dyDescent="0.3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</row>
    <row r="11" spans="1:32" x14ac:dyDescent="0.3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</row>
    <row r="12" spans="1:32" x14ac:dyDescent="0.3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</row>
    <row r="13" spans="1:32" x14ac:dyDescent="0.3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</row>
    <row r="14" spans="1:32" x14ac:dyDescent="0.3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</row>
    <row r="15" spans="1:32" x14ac:dyDescent="0.3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</row>
    <row r="16" spans="1:32" x14ac:dyDescent="0.3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</row>
    <row r="17" spans="1:32" x14ac:dyDescent="0.3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</row>
    <row r="18" spans="1:32" x14ac:dyDescent="0.3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</row>
    <row r="19" spans="1:32" x14ac:dyDescent="0.3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</row>
    <row r="20" spans="1:32" x14ac:dyDescent="0.3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</row>
    <row r="21" spans="1:32" x14ac:dyDescent="0.3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</row>
    <row r="22" spans="1:32" x14ac:dyDescent="0.3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</row>
    <row r="23" spans="1:32" x14ac:dyDescent="0.3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</row>
    <row r="24" spans="1:32" x14ac:dyDescent="0.3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</row>
    <row r="25" spans="1:32" x14ac:dyDescent="0.3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</row>
    <row r="26" spans="1:32" x14ac:dyDescent="0.3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</row>
    <row r="27" spans="1:32" x14ac:dyDescent="0.3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</row>
    <row r="28" spans="1:32" x14ac:dyDescent="0.3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</row>
    <row r="29" spans="1:32" x14ac:dyDescent="0.3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</row>
    <row r="30" spans="1:32" x14ac:dyDescent="0.3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</row>
    <row r="31" spans="1:32" x14ac:dyDescent="0.3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</row>
    <row r="34" spans="1:25" x14ac:dyDescent="0.3">
      <c r="A34" s="131" t="s">
        <v>579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</row>
    <row r="35" spans="1:25" x14ac:dyDescent="0.3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</row>
    <row r="36" spans="1:25" x14ac:dyDescent="0.3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</row>
    <row r="37" spans="1:25" x14ac:dyDescent="0.3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</row>
    <row r="38" spans="1:25" x14ac:dyDescent="0.3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</row>
    <row r="39" spans="1:25" x14ac:dyDescent="0.3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Y39" t="s">
        <v>652</v>
      </c>
    </row>
    <row r="40" spans="1:25" x14ac:dyDescent="0.3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</row>
    <row r="41" spans="1:25" x14ac:dyDescent="0.3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</row>
    <row r="42" spans="1:25" x14ac:dyDescent="0.3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</row>
    <row r="43" spans="1:25" x14ac:dyDescent="0.3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</row>
    <row r="44" spans="1:25" x14ac:dyDescent="0.3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</row>
    <row r="45" spans="1:25" x14ac:dyDescent="0.3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</row>
    <row r="46" spans="1:25" x14ac:dyDescent="0.3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</row>
    <row r="47" spans="1:25" x14ac:dyDescent="0.3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</row>
    <row r="48" spans="1:25" x14ac:dyDescent="0.3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</row>
    <row r="49" spans="1:20" x14ac:dyDescent="0.3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</row>
    <row r="50" spans="1:20" x14ac:dyDescent="0.3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</row>
    <row r="51" spans="1:20" x14ac:dyDescent="0.3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</row>
    <row r="52" spans="1:20" x14ac:dyDescent="0.3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</row>
    <row r="53" spans="1:20" x14ac:dyDescent="0.3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</row>
    <row r="54" spans="1:20" x14ac:dyDescent="0.3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</row>
    <row r="55" spans="1:20" x14ac:dyDescent="0.3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</row>
    <row r="56" spans="1:20" x14ac:dyDescent="0.3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</row>
    <row r="57" spans="1:20" x14ac:dyDescent="0.3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</row>
    <row r="58" spans="1:20" x14ac:dyDescent="0.3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</row>
    <row r="59" spans="1:20" x14ac:dyDescent="0.3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</row>
    <row r="60" spans="1:20" x14ac:dyDescent="0.3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</row>
    <row r="61" spans="1:20" x14ac:dyDescent="0.3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</row>
    <row r="62" spans="1:20" x14ac:dyDescent="0.3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</row>
    <row r="63" spans="1:20" x14ac:dyDescent="0.3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</row>
  </sheetData>
  <mergeCells count="13">
    <mergeCell ref="A1:Z2"/>
    <mergeCell ref="V7:AF31"/>
    <mergeCell ref="A4:AF5"/>
    <mergeCell ref="A37:J63"/>
    <mergeCell ref="K37:T63"/>
    <mergeCell ref="V6:AF6"/>
    <mergeCell ref="K6:U6"/>
    <mergeCell ref="K36:T36"/>
    <mergeCell ref="A36:J36"/>
    <mergeCell ref="A6:J6"/>
    <mergeCell ref="A34:T35"/>
    <mergeCell ref="A7:J31"/>
    <mergeCell ref="K7:U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33E2E-3365-4135-A7D6-656840698646}">
  <dimension ref="A1:AA291"/>
  <sheetViews>
    <sheetView topLeftCell="I1" zoomScale="63" zoomScaleNormal="80" workbookViewId="0">
      <selection activeCell="S30" sqref="S30"/>
    </sheetView>
  </sheetViews>
  <sheetFormatPr baseColWidth="10" defaultColWidth="0" defaultRowHeight="13.8" x14ac:dyDescent="0.3"/>
  <cols>
    <col min="1" max="1" width="25.6640625" style="1" customWidth="1"/>
    <col min="2" max="2" width="13.44140625" style="1" customWidth="1"/>
    <col min="3" max="3" width="17.44140625" style="1" customWidth="1"/>
    <col min="4" max="4" width="22.6640625" style="1" customWidth="1"/>
    <col min="5" max="5" width="14.5546875" style="1" customWidth="1"/>
    <col min="6" max="6" width="13.44140625" style="1" customWidth="1"/>
    <col min="7" max="7" width="12.6640625" style="1" customWidth="1"/>
    <col min="8" max="8" width="14.6640625" style="1" customWidth="1"/>
    <col min="9" max="10" width="14.88671875" style="1" customWidth="1"/>
    <col min="11" max="11" width="14.6640625" style="1" customWidth="1"/>
    <col min="12" max="12" width="17.6640625" style="1" customWidth="1"/>
    <col min="13" max="13" width="16.109375" style="1" customWidth="1"/>
    <col min="14" max="14" width="13.6640625" style="1" customWidth="1"/>
    <col min="15" max="16" width="14.88671875" style="1" customWidth="1"/>
    <col min="17" max="17" width="16.6640625" style="1" customWidth="1"/>
    <col min="18" max="18" width="8.88671875" style="1" customWidth="1"/>
    <col min="19" max="19" width="24.88671875" style="1" customWidth="1"/>
    <col min="20" max="20" width="21.88671875" style="1" customWidth="1"/>
    <col min="21" max="21" width="17.33203125" style="1" customWidth="1"/>
    <col min="22" max="22" width="19.5546875" style="1" customWidth="1"/>
    <col min="23" max="23" width="15.33203125" style="1" customWidth="1"/>
    <col min="24" max="24" width="18.109375" style="1" hidden="1" customWidth="1"/>
    <col min="25" max="25" width="4.88671875" style="1" hidden="1" customWidth="1"/>
    <col min="26" max="27" width="8.6640625" style="1" hidden="1" customWidth="1"/>
    <col min="28" max="16384" width="11.44140625" style="1" hidden="1"/>
  </cols>
  <sheetData>
    <row r="1" spans="1:22" ht="32.25" customHeight="1" thickBot="1" x14ac:dyDescent="0.35">
      <c r="A1" s="142" t="s">
        <v>559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8"/>
      <c r="S1" s="143" t="s">
        <v>69</v>
      </c>
      <c r="T1" s="143"/>
      <c r="U1" s="143"/>
      <c r="V1" s="143"/>
    </row>
    <row r="2" spans="1:22" ht="14.4" thickTop="1" x14ac:dyDescent="0.3"/>
    <row r="3" spans="1:22" s="2" customFormat="1" ht="37.200000000000003" customHeigh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6</v>
      </c>
      <c r="G3" s="2" t="s">
        <v>5</v>
      </c>
      <c r="H3" s="2" t="s">
        <v>71</v>
      </c>
      <c r="I3" s="2" t="s">
        <v>130</v>
      </c>
      <c r="J3" s="2" t="s">
        <v>68</v>
      </c>
      <c r="K3" s="2" t="s">
        <v>561</v>
      </c>
      <c r="L3" s="2" t="s">
        <v>7</v>
      </c>
      <c r="M3" s="2" t="s">
        <v>66</v>
      </c>
      <c r="N3" s="2" t="s">
        <v>70</v>
      </c>
      <c r="O3" s="2" t="s">
        <v>393</v>
      </c>
      <c r="P3" s="2" t="s">
        <v>67</v>
      </c>
      <c r="Q3" s="2" t="s">
        <v>560</v>
      </c>
      <c r="S3" s="23" t="s">
        <v>544</v>
      </c>
      <c r="T3" s="23" t="s">
        <v>556</v>
      </c>
      <c r="U3" s="23" t="s">
        <v>555</v>
      </c>
      <c r="V3" s="23" t="s">
        <v>557</v>
      </c>
    </row>
    <row r="4" spans="1:22" x14ac:dyDescent="0.3">
      <c r="A4" s="8" t="s">
        <v>29</v>
      </c>
      <c r="B4" s="8" t="str">
        <f>IFERROR(VLOOKUP(Tabla1[[#This Row],[Sede ]],Tabla2[[#All],[Sede]:[Departamento]],2,FALSE),"")</f>
        <v>Bogotá</v>
      </c>
      <c r="C4" s="8" t="str">
        <f>IFERROR(VLOOKUP(Tabla1[[#This Row],[Sede ]],Tabla2[[#All],[Sede]:[Departamento]],3,FALSE),"")</f>
        <v>Bogotá</v>
      </c>
      <c r="D4" s="8" t="s">
        <v>115</v>
      </c>
      <c r="E4" s="13" t="s">
        <v>78</v>
      </c>
      <c r="F4" s="16">
        <v>45036</v>
      </c>
      <c r="G4" s="8" t="s">
        <v>62</v>
      </c>
      <c r="H4" s="8" t="s">
        <v>73</v>
      </c>
      <c r="I4" s="8" t="s">
        <v>213</v>
      </c>
      <c r="J4" s="9">
        <f ca="1">VLOOKUP(Tabla1[[#This Row],[Nombre Equipo]],INDIRECT(Tabla1[[#This Row],[Proveedor calib.]]),2,FALSE)</f>
        <v>128128</v>
      </c>
      <c r="K4" s="9">
        <f ca="1">Tabla1[[#This Row],[ Valor calibración]]*1.19</f>
        <v>152472.32000000001</v>
      </c>
      <c r="L4" s="8" t="s">
        <v>65</v>
      </c>
      <c r="M4" s="16">
        <v>45030</v>
      </c>
      <c r="N4" s="8" t="s">
        <v>74</v>
      </c>
      <c r="O4" s="8">
        <v>59814</v>
      </c>
      <c r="P4" s="9">
        <f ca="1">VLOOKUP(Tabla1[[#This Row],[Nombre Equipo]],INDIRECT(Tabla1[[#This Row],[Proveedor prev.]]),2,FALSE)</f>
        <v>45000</v>
      </c>
      <c r="Q4" s="9">
        <f ca="1">Tabla1[[#This Row],[Valor prev.]]*1.19</f>
        <v>53550</v>
      </c>
      <c r="S4" s="22" t="s">
        <v>543</v>
      </c>
      <c r="T4" s="22">
        <f t="array" aca="1" ref="T4" ca="1">SUMPRODUCT((TEXT($F$4:$F$281,"mmmm")=S4)*1,$K$4:$K$281)</f>
        <v>10236856</v>
      </c>
      <c r="U4" s="22">
        <f t="array" aca="1" ref="U4" ca="1">SUMPRODUCT((TEXT(Tabla1[Fehca
Mant. Preventivo],"mmmm")=S4)*1,Tabla1[Valor Prev + IVA])</f>
        <v>5188400</v>
      </c>
      <c r="V4" s="22">
        <f ca="1">SUM(Tabla3[[#This Row],[Total Calibración]],Tabla3[[#This Row],[Total Preventivo]])</f>
        <v>15425256</v>
      </c>
    </row>
    <row r="5" spans="1:22" x14ac:dyDescent="0.3">
      <c r="A5" s="8" t="s">
        <v>30</v>
      </c>
      <c r="B5" s="8" t="str">
        <f>IFERROR(VLOOKUP(Tabla1[[#This Row],[Sede ]],Tabla2[[#All],[Sede]:[Departamento]],2,FALSE),"")</f>
        <v>Medellín</v>
      </c>
      <c r="C5" s="8" t="str">
        <f>IFERROR(VLOOKUP(Tabla1[[#This Row],[Sede ]],Tabla2[[#All],[Sede]:[Departamento]],3,FALSE),"")</f>
        <v>Antioquia</v>
      </c>
      <c r="D5" s="8" t="s">
        <v>118</v>
      </c>
      <c r="E5" s="13" t="s">
        <v>79</v>
      </c>
      <c r="F5" s="16">
        <v>45037</v>
      </c>
      <c r="G5" s="8" t="s">
        <v>62</v>
      </c>
      <c r="H5" s="8" t="s">
        <v>73</v>
      </c>
      <c r="I5" s="8" t="s">
        <v>214</v>
      </c>
      <c r="J5" s="9">
        <f ca="1">VLOOKUP(Tabla1[[#This Row],[Nombre Equipo]],INDIRECT(Tabla1[[#This Row],[Proveedor calib.]]),2,FALSE)</f>
        <v>128128</v>
      </c>
      <c r="K5" s="9">
        <f ca="1">Tabla1[[#This Row],[ Valor calibración]]*1.19</f>
        <v>152472.32000000001</v>
      </c>
      <c r="L5" s="8" t="s">
        <v>65</v>
      </c>
      <c r="M5" s="16">
        <v>45017</v>
      </c>
      <c r="N5" s="8" t="s">
        <v>74</v>
      </c>
      <c r="O5" s="8"/>
      <c r="P5" s="9">
        <f ca="1">VLOOKUP(Tabla1[[#This Row],[Nombre Equipo]],INDIRECT(Tabla1[[#This Row],[Proveedor prev.]]),2,FALSE)</f>
        <v>45000</v>
      </c>
      <c r="Q5" s="9">
        <f ca="1">Tabla1[[#This Row],[Valor prev.]]*1.19</f>
        <v>53550</v>
      </c>
      <c r="S5" s="22" t="s">
        <v>545</v>
      </c>
      <c r="T5" s="22">
        <f t="array" aca="1" ref="T5" ca="1">SUMPRODUCT((TEXT($F$4:$F$281,"mmmm")=S5)*1,$K$4:$K$281)</f>
        <v>3206435.9600000009</v>
      </c>
      <c r="U5" s="22">
        <f t="array" aca="1" ref="U5" ca="1">SUMPRODUCT((TEXT(Tabla1[Fehca
Mant. Preventivo],"mmmm")=S5)*1,Tabla1[Valor Prev + IVA])</f>
        <v>4370275</v>
      </c>
      <c r="V5" s="22">
        <f ca="1">SUM(Tabla3[[#This Row],[Total Calibración]],Tabla3[[#This Row],[Total Preventivo]])</f>
        <v>7576710.9600000009</v>
      </c>
    </row>
    <row r="6" spans="1:22" x14ac:dyDescent="0.3">
      <c r="A6" s="8" t="s">
        <v>30</v>
      </c>
      <c r="B6" s="8" t="str">
        <f>IFERROR(VLOOKUP(Tabla1[[#This Row],[Sede ]],Tabla2[[#All],[Sede]:[Departamento]],2,FALSE),"")</f>
        <v>Medellín</v>
      </c>
      <c r="C6" s="8" t="str">
        <f>IFERROR(VLOOKUP(Tabla1[[#This Row],[Sede ]],Tabla2[[#All],[Sede]:[Departamento]],3,FALSE),"")</f>
        <v>Antioquia</v>
      </c>
      <c r="D6" s="8" t="s">
        <v>115</v>
      </c>
      <c r="E6" s="13" t="s">
        <v>80</v>
      </c>
      <c r="F6" s="16">
        <v>45036</v>
      </c>
      <c r="G6" s="8" t="s">
        <v>62</v>
      </c>
      <c r="H6" s="8" t="s">
        <v>73</v>
      </c>
      <c r="I6" s="8" t="s">
        <v>215</v>
      </c>
      <c r="J6" s="9">
        <f ca="1">VLOOKUP(Tabla1[[#This Row],[Nombre Equipo]],INDIRECT(Tabla1[[#This Row],[Proveedor calib.]]),2,FALSE)</f>
        <v>128128</v>
      </c>
      <c r="K6" s="9">
        <f ca="1">Tabla1[[#This Row],[ Valor calibración]]*1.19</f>
        <v>152472.32000000001</v>
      </c>
      <c r="L6" s="8" t="s">
        <v>65</v>
      </c>
      <c r="M6" s="16">
        <v>45030</v>
      </c>
      <c r="N6" s="8" t="s">
        <v>74</v>
      </c>
      <c r="O6" s="8">
        <v>59813</v>
      </c>
      <c r="P6" s="9">
        <f ca="1">VLOOKUP(Tabla1[[#This Row],[Nombre Equipo]],INDIRECT(Tabla1[[#This Row],[Proveedor prev.]]),2,FALSE)</f>
        <v>45000</v>
      </c>
      <c r="Q6" s="9">
        <f ca="1">Tabla1[[#This Row],[Valor prev.]]*1.19</f>
        <v>53550</v>
      </c>
      <c r="S6" s="22" t="s">
        <v>546</v>
      </c>
      <c r="T6" s="22">
        <f t="array" aca="1" ref="T6" ca="1">SUMPRODUCT((TEXT($F$4:$F$281,"mmmm")=S6)*1,$K$4:$K$281)</f>
        <v>5934215.8400000017</v>
      </c>
      <c r="U6" s="22">
        <f t="array" aca="1" ref="U6" ca="1">SUMPRODUCT((TEXT(Tabla1[Fehca
Mant. Preventivo],"mmmm")=S6)*1,Tabla1[Valor Prev + IVA])</f>
        <v>5072375</v>
      </c>
      <c r="V6" s="22">
        <f ca="1">SUM(Tabla3[[#This Row],[Total Calibración]],Tabla3[[#This Row],[Total Preventivo]])</f>
        <v>11006590.840000002</v>
      </c>
    </row>
    <row r="7" spans="1:22" x14ac:dyDescent="0.3">
      <c r="A7" s="8" t="s">
        <v>43</v>
      </c>
      <c r="B7" s="8" t="str">
        <f>IFERROR(VLOOKUP(Tabla1[[#This Row],[Sede ]],Tabla2[[#All],[Sede]:[Departamento]],2,FALSE),"")</f>
        <v>Caldas</v>
      </c>
      <c r="C7" s="8" t="str">
        <f>IFERROR(VLOOKUP(Tabla1[[#This Row],[Sede ]],Tabla2[[#All],[Sede]:[Departamento]],3,FALSE),"")</f>
        <v>Antioquia</v>
      </c>
      <c r="D7" s="8" t="s">
        <v>421</v>
      </c>
      <c r="E7" s="13" t="s">
        <v>486</v>
      </c>
      <c r="F7" s="16">
        <v>45036</v>
      </c>
      <c r="G7" s="8" t="s">
        <v>62</v>
      </c>
      <c r="H7" s="8" t="s">
        <v>73</v>
      </c>
      <c r="I7" s="8" t="s">
        <v>216</v>
      </c>
      <c r="J7" s="9">
        <f ca="1">VLOOKUP(Tabla1[[#This Row],[Nombre Equipo]],INDIRECT(Tabla1[[#This Row],[Proveedor calib.]]),2,FALSE)</f>
        <v>128128</v>
      </c>
      <c r="K7" s="9">
        <f ca="1">Tabla1[[#This Row],[ Valor calibración]]*1.19</f>
        <v>152472.32000000001</v>
      </c>
      <c r="L7" s="8" t="s">
        <v>65</v>
      </c>
      <c r="M7" s="16">
        <v>44964</v>
      </c>
      <c r="N7" s="8" t="s">
        <v>74</v>
      </c>
      <c r="O7" s="8">
        <v>59375</v>
      </c>
      <c r="P7" s="9">
        <f ca="1">VLOOKUP(Tabla1[[#This Row],[Nombre Equipo]],INDIRECT(Tabla1[[#This Row],[Proveedor prev.]]),2,FALSE)</f>
        <v>45000</v>
      </c>
      <c r="Q7" s="9">
        <f ca="1">Tabla1[[#This Row],[Valor prev.]]*1.19</f>
        <v>53550</v>
      </c>
      <c r="S7" s="22" t="s">
        <v>547</v>
      </c>
      <c r="T7" s="22">
        <f t="array" aca="1" ref="T7" ca="1">SUMPRODUCT((TEXT($F$4:$F$281,"mmmm")=S7)*1,$K$4:$K$281)</f>
        <v>943622.39999999979</v>
      </c>
      <c r="U7" s="22">
        <f t="array" aca="1" ref="U7" ca="1">SUMPRODUCT((TEXT(Tabla1[Fehca
Mant. Preventivo],"mmmm")=S7)*1,Tabla1[Valor Prev + IVA])</f>
        <v>2374050</v>
      </c>
      <c r="V7" s="22">
        <f ca="1">SUM(Tabla3[[#This Row],[Total Calibración]],Tabla3[[#This Row],[Total Preventivo]])</f>
        <v>3317672.4</v>
      </c>
    </row>
    <row r="8" spans="1:22" x14ac:dyDescent="0.3">
      <c r="A8" s="8" t="s">
        <v>30</v>
      </c>
      <c r="B8" s="8" t="str">
        <f>IFERROR(VLOOKUP(Tabla1[[#This Row],[Sede ]],Tabla2[[#All],[Sede]:[Departamento]],2,FALSE),"")</f>
        <v>Medellín</v>
      </c>
      <c r="C8" s="8" t="str">
        <f>IFERROR(VLOOKUP(Tabla1[[#This Row],[Sede ]],Tabla2[[#All],[Sede]:[Departamento]],3,FALSE),"")</f>
        <v>Antioquia</v>
      </c>
      <c r="D8" s="8" t="s">
        <v>114</v>
      </c>
      <c r="E8" s="13" t="s">
        <v>81</v>
      </c>
      <c r="F8" s="16">
        <v>45035</v>
      </c>
      <c r="G8" s="8" t="s">
        <v>62</v>
      </c>
      <c r="H8" s="8" t="s">
        <v>73</v>
      </c>
      <c r="I8" s="8" t="s">
        <v>217</v>
      </c>
      <c r="J8" s="9">
        <f ca="1">VLOOKUP(Tabla1[[#This Row],[Nombre Equipo]],INDIRECT(Tabla1[[#This Row],[Proveedor calib.]]),2,FALSE)</f>
        <v>128128</v>
      </c>
      <c r="K8" s="9">
        <f ca="1">Tabla1[[#This Row],[ Valor calibración]]*1.19</f>
        <v>152472.32000000001</v>
      </c>
      <c r="L8" s="8" t="s">
        <v>65</v>
      </c>
      <c r="M8" s="16">
        <v>45045</v>
      </c>
      <c r="N8" s="8" t="s">
        <v>74</v>
      </c>
      <c r="O8" s="8">
        <v>59910</v>
      </c>
      <c r="P8" s="9">
        <f ca="1">VLOOKUP(Tabla1[[#This Row],[Nombre Equipo]],INDIRECT(Tabla1[[#This Row],[Proveedor prev.]]),2,FALSE)</f>
        <v>45000</v>
      </c>
      <c r="Q8" s="9">
        <f ca="1">Tabla1[[#This Row],[Valor prev.]]*1.19</f>
        <v>53550</v>
      </c>
      <c r="S8" s="22" t="s">
        <v>548</v>
      </c>
      <c r="T8" s="22">
        <f t="array" aca="1" ref="T8" ca="1">SUMPRODUCT((TEXT($F$4:$F$281,"mmmm")=S8)*1,$K$4:$K$281)</f>
        <v>0</v>
      </c>
      <c r="U8" s="22">
        <f t="array" aca="1" ref="U8" ca="1">SUMPRODUCT((TEXT(Tabla1[Fehca
Mant. Preventivo],"mmmm")=S8)*1,Tabla1[Valor Prev + IVA])</f>
        <v>0</v>
      </c>
      <c r="V8" s="22">
        <f ca="1">SUM(Tabla3[[#This Row],[Total Calibración]],Tabla3[[#This Row],[Total Preventivo]])</f>
        <v>0</v>
      </c>
    </row>
    <row r="9" spans="1:22" x14ac:dyDescent="0.3">
      <c r="A9" s="8" t="s">
        <v>36</v>
      </c>
      <c r="B9" s="8" t="str">
        <f>IFERROR(VLOOKUP(Tabla1[[#This Row],[Sede ]],Tabla2[[#All],[Sede]:[Departamento]],2,FALSE),"")</f>
        <v>Bello</v>
      </c>
      <c r="C9" s="8" t="str">
        <f>IFERROR(VLOOKUP(Tabla1[[#This Row],[Sede ]],Tabla2[[#All],[Sede]:[Departamento]],3,FALSE),"")</f>
        <v>Antioquia</v>
      </c>
      <c r="D9" s="8" t="s">
        <v>117</v>
      </c>
      <c r="E9" s="13" t="s">
        <v>82</v>
      </c>
      <c r="F9" s="16">
        <v>45035</v>
      </c>
      <c r="G9" s="8" t="s">
        <v>62</v>
      </c>
      <c r="H9" s="8" t="s">
        <v>73</v>
      </c>
      <c r="I9" s="8" t="s">
        <v>218</v>
      </c>
      <c r="J9" s="9">
        <f ca="1">VLOOKUP(Tabla1[[#This Row],[Nombre Equipo]],INDIRECT(Tabla1[[#This Row],[Proveedor calib.]]),2,FALSE)</f>
        <v>196000</v>
      </c>
      <c r="K9" s="9">
        <f ca="1">Tabla1[[#This Row],[ Valor calibración]]*1.19</f>
        <v>233240</v>
      </c>
      <c r="L9" s="8" t="s">
        <v>65</v>
      </c>
      <c r="M9" s="16">
        <v>45030</v>
      </c>
      <c r="N9" s="8" t="s">
        <v>74</v>
      </c>
      <c r="O9" s="8">
        <v>59793</v>
      </c>
      <c r="P9" s="9">
        <f ca="1">VLOOKUP(Tabla1[[#This Row],[Nombre Equipo]],INDIRECT(Tabla1[[#This Row],[Proveedor prev.]]),2,FALSE)</f>
        <v>45000</v>
      </c>
      <c r="Q9" s="9">
        <f ca="1">Tabla1[[#This Row],[Valor prev.]]*1.19</f>
        <v>53550</v>
      </c>
      <c r="S9" s="22" t="s">
        <v>549</v>
      </c>
      <c r="T9" s="22">
        <f t="array" aca="1" ref="T9" ca="1">SUMPRODUCT((TEXT($F$4:$F$281,"mmmm")=S9)*1,$K$4:$K$281)</f>
        <v>0</v>
      </c>
      <c r="U9" s="22">
        <f t="array" aca="1" ref="U9" ca="1">SUMPRODUCT((TEXT(Tabla1[Fehca
Mant. Preventivo],"mmmm")=S9)*1,Tabla1[Valor Prev + IVA])</f>
        <v>0</v>
      </c>
      <c r="V9" s="22">
        <f ca="1">SUM(Tabla3[[#This Row],[Total Calibración]],Tabla3[[#This Row],[Total Preventivo]])</f>
        <v>0</v>
      </c>
    </row>
    <row r="10" spans="1:22" x14ac:dyDescent="0.3">
      <c r="A10" s="8" t="s">
        <v>30</v>
      </c>
      <c r="B10" s="8" t="str">
        <f>IFERROR(VLOOKUP(Tabla1[[#This Row],[Sede ]],Tabla2[[#All],[Sede]:[Departamento]],2,FALSE),"")</f>
        <v>Medellín</v>
      </c>
      <c r="C10" s="8" t="str">
        <f>IFERROR(VLOOKUP(Tabla1[[#This Row],[Sede ]],Tabla2[[#All],[Sede]:[Departamento]],3,FALSE),"")</f>
        <v>Antioquia</v>
      </c>
      <c r="D10" s="8" t="s">
        <v>119</v>
      </c>
      <c r="E10" s="13" t="s">
        <v>83</v>
      </c>
      <c r="F10" s="16">
        <v>45035</v>
      </c>
      <c r="G10" s="8" t="s">
        <v>62</v>
      </c>
      <c r="H10" s="8" t="s">
        <v>73</v>
      </c>
      <c r="I10" s="8" t="s">
        <v>219</v>
      </c>
      <c r="J10" s="9">
        <f ca="1">VLOOKUP(Tabla1[[#This Row],[Nombre Equipo]],INDIRECT(Tabla1[[#This Row],[Proveedor calib.]]),2,FALSE)</f>
        <v>128128</v>
      </c>
      <c r="K10" s="9">
        <f ca="1">Tabla1[[#This Row],[ Valor calibración]]*1.19</f>
        <v>152472.32000000001</v>
      </c>
      <c r="L10" s="8" t="s">
        <v>65</v>
      </c>
      <c r="M10" s="16" t="s">
        <v>492</v>
      </c>
      <c r="N10" s="8" t="s">
        <v>492</v>
      </c>
      <c r="O10" s="8" t="s">
        <v>492</v>
      </c>
      <c r="P10" s="9">
        <f ca="1">VLOOKUP(Tabla1[[#This Row],[Nombre Equipo]],INDIRECT(Tabla1[[#This Row],[Proveedor prev.]]),2,FALSE)</f>
        <v>0</v>
      </c>
      <c r="Q10" s="9">
        <f ca="1">Tabla1[[#This Row],[Valor prev.]]*1.19</f>
        <v>0</v>
      </c>
      <c r="S10" s="22" t="s">
        <v>550</v>
      </c>
      <c r="T10" s="22">
        <f t="array" aca="1" ref="T10" ca="1">SUMPRODUCT((TEXT($F$4:$F$281,"mmmm")=S10)*1,$K$4:$K$281)</f>
        <v>0</v>
      </c>
      <c r="U10" s="22">
        <f t="array" aca="1" ref="U10" ca="1">SUMPRODUCT((TEXT(Tabla1[Fehca
Mant. Preventivo],"mmmm")=S10)*1,Tabla1[Valor Prev + IVA])</f>
        <v>0</v>
      </c>
      <c r="V10" s="22">
        <f ca="1">SUM(Tabla3[[#This Row],[Total Calibración]],Tabla3[[#This Row],[Total Preventivo]])</f>
        <v>0</v>
      </c>
    </row>
    <row r="11" spans="1:22" x14ac:dyDescent="0.3">
      <c r="A11" s="8" t="s">
        <v>36</v>
      </c>
      <c r="B11" s="8" t="str">
        <f>IFERROR(VLOOKUP(Tabla1[[#This Row],[Sede ]],Tabla2[[#All],[Sede]:[Departamento]],2,FALSE),"")</f>
        <v>Bello</v>
      </c>
      <c r="C11" s="8" t="str">
        <f>IFERROR(VLOOKUP(Tabla1[[#This Row],[Sede ]],Tabla2[[#All],[Sede]:[Departamento]],3,FALSE),"")</f>
        <v>Antioquia</v>
      </c>
      <c r="D11" s="8" t="s">
        <v>119</v>
      </c>
      <c r="E11" s="13" t="s">
        <v>84</v>
      </c>
      <c r="F11" s="16">
        <v>45035</v>
      </c>
      <c r="G11" s="8" t="s">
        <v>62</v>
      </c>
      <c r="H11" s="8" t="s">
        <v>73</v>
      </c>
      <c r="I11" s="8" t="s">
        <v>220</v>
      </c>
      <c r="J11" s="9">
        <f ca="1">VLOOKUP(Tabla1[[#This Row],[Nombre Equipo]],INDIRECT(Tabla1[[#This Row],[Proveedor calib.]]),2,FALSE)</f>
        <v>128128</v>
      </c>
      <c r="K11" s="9">
        <f ca="1">Tabla1[[#This Row],[ Valor calibración]]*1.19</f>
        <v>152472.32000000001</v>
      </c>
      <c r="L11" s="8" t="s">
        <v>65</v>
      </c>
      <c r="M11" s="16">
        <v>45030</v>
      </c>
      <c r="N11" s="8" t="s">
        <v>74</v>
      </c>
      <c r="O11" s="8">
        <v>59815</v>
      </c>
      <c r="P11" s="9">
        <f ca="1">VLOOKUP(Tabla1[[#This Row],[Nombre Equipo]],INDIRECT(Tabla1[[#This Row],[Proveedor prev.]]),2,FALSE)</f>
        <v>45000</v>
      </c>
      <c r="Q11" s="9">
        <f ca="1">Tabla1[[#This Row],[Valor prev.]]*1.19</f>
        <v>53550</v>
      </c>
      <c r="S11" s="22" t="s">
        <v>551</v>
      </c>
      <c r="T11" s="22">
        <f t="array" aca="1" ref="T11" ca="1">SUMPRODUCT((TEXT($F$4:$F$281,"mmmm")=S11)*1,$K$4:$K$281)</f>
        <v>0</v>
      </c>
      <c r="U11" s="22">
        <f t="array" aca="1" ref="U11" ca="1">SUMPRODUCT((TEXT(Tabla1[Fehca
Mant. Preventivo],"mmmm")=S11)*1,Tabla1[Valor Prev + IVA])</f>
        <v>0</v>
      </c>
      <c r="V11" s="22">
        <f ca="1">SUM(Tabla3[[#This Row],[Total Calibración]],Tabla3[[#This Row],[Total Preventivo]])</f>
        <v>0</v>
      </c>
    </row>
    <row r="12" spans="1:22" x14ac:dyDescent="0.3">
      <c r="A12" s="8" t="s">
        <v>30</v>
      </c>
      <c r="B12" s="8" t="str">
        <f>IFERROR(VLOOKUP(Tabla1[[#This Row],[Sede ]],Tabla2[[#All],[Sede]:[Departamento]],2,FALSE),"")</f>
        <v>Medellín</v>
      </c>
      <c r="C12" s="8" t="str">
        <f>IFERROR(VLOOKUP(Tabla1[[#This Row],[Sede ]],Tabla2[[#All],[Sede]:[Departamento]],3,FALSE),"")</f>
        <v>Antioquia</v>
      </c>
      <c r="D12" s="8" t="s">
        <v>127</v>
      </c>
      <c r="E12" s="13" t="s">
        <v>85</v>
      </c>
      <c r="F12" s="16">
        <v>45036</v>
      </c>
      <c r="G12" s="8" t="s">
        <v>62</v>
      </c>
      <c r="H12" s="8" t="s">
        <v>73</v>
      </c>
      <c r="I12" s="8" t="s">
        <v>221</v>
      </c>
      <c r="J12" s="9">
        <f ca="1">VLOOKUP(Tabla1[[#This Row],[Nombre Equipo]],INDIRECT(Tabla1[[#This Row],[Proveedor calib.]]),2,FALSE)</f>
        <v>128128</v>
      </c>
      <c r="K12" s="9">
        <f ca="1">Tabla1[[#This Row],[ Valor calibración]]*1.19</f>
        <v>152472.32000000001</v>
      </c>
      <c r="L12" s="8" t="s">
        <v>65</v>
      </c>
      <c r="M12" s="16">
        <v>44963</v>
      </c>
      <c r="N12" s="8" t="s">
        <v>74</v>
      </c>
      <c r="O12" s="8">
        <v>59317</v>
      </c>
      <c r="P12" s="9">
        <f ca="1">VLOOKUP(Tabla1[[#This Row],[Nombre Equipo]],INDIRECT(Tabla1[[#This Row],[Proveedor prev.]]),2,FALSE)</f>
        <v>45000</v>
      </c>
      <c r="Q12" s="9">
        <f ca="1">Tabla1[[#This Row],[Valor prev.]]*1.19</f>
        <v>53550</v>
      </c>
      <c r="S12" s="22" t="s">
        <v>552</v>
      </c>
      <c r="T12" s="22">
        <f t="array" aca="1" ref="T12" ca="1">SUMPRODUCT((TEXT($F$4:$F$281,"mmmm")=S12)*1,$K$4:$K$281)</f>
        <v>0</v>
      </c>
      <c r="U12" s="22">
        <f t="array" aca="1" ref="U12" ca="1">SUMPRODUCT((TEXT(Tabla1[Fehca
Mant. Preventivo],"mmmm")=S12)*1,Tabla1[Valor Prev + IVA])</f>
        <v>0</v>
      </c>
      <c r="V12" s="22">
        <f ca="1">SUM(Tabla3[[#This Row],[Total Calibración]],Tabla3[[#This Row],[Total Preventivo]])</f>
        <v>0</v>
      </c>
    </row>
    <row r="13" spans="1:22" x14ac:dyDescent="0.3">
      <c r="A13" s="8" t="s">
        <v>30</v>
      </c>
      <c r="B13" s="8" t="str">
        <f>IFERROR(VLOOKUP(Tabla1[[#This Row],[Sede ]],Tabla2[[#All],[Sede]:[Departamento]],2,FALSE),"")</f>
        <v>Medellín</v>
      </c>
      <c r="C13" s="8" t="str">
        <f>IFERROR(VLOOKUP(Tabla1[[#This Row],[Sede ]],Tabla2[[#All],[Sede]:[Departamento]],3,FALSE),"")</f>
        <v>Antioquia</v>
      </c>
      <c r="D13" s="8" t="s">
        <v>115</v>
      </c>
      <c r="E13" s="13" t="s">
        <v>86</v>
      </c>
      <c r="F13" s="16">
        <v>45036</v>
      </c>
      <c r="G13" s="8" t="s">
        <v>62</v>
      </c>
      <c r="H13" s="8" t="s">
        <v>73</v>
      </c>
      <c r="I13" s="8" t="s">
        <v>222</v>
      </c>
      <c r="J13" s="9">
        <f ca="1">VLOOKUP(Tabla1[[#This Row],[Nombre Equipo]],INDIRECT(Tabla1[[#This Row],[Proveedor calib.]]),2,FALSE)</f>
        <v>128128</v>
      </c>
      <c r="K13" s="9">
        <f ca="1">Tabla1[[#This Row],[ Valor calibración]]*1.19</f>
        <v>152472.32000000001</v>
      </c>
      <c r="L13" s="8" t="s">
        <v>65</v>
      </c>
      <c r="M13" s="16" t="s">
        <v>492</v>
      </c>
      <c r="N13" s="8" t="s">
        <v>492</v>
      </c>
      <c r="O13" s="8" t="s">
        <v>492</v>
      </c>
      <c r="P13" s="9">
        <f ca="1">VLOOKUP(Tabla1[[#This Row],[Nombre Equipo]],INDIRECT(Tabla1[[#This Row],[Proveedor prev.]]),2,FALSE)</f>
        <v>0</v>
      </c>
      <c r="Q13" s="9">
        <f ca="1">Tabla1[[#This Row],[Valor prev.]]*1.19</f>
        <v>0</v>
      </c>
      <c r="S13" s="22" t="s">
        <v>553</v>
      </c>
      <c r="T13" s="22">
        <f t="array" aca="1" ref="T13" ca="1">SUMPRODUCT((TEXT($F$4:$F$281,"mmmm")=S13)*1,$K$4:$K$281)</f>
        <v>0</v>
      </c>
      <c r="U13" s="22">
        <f t="array" aca="1" ref="U13" ca="1">SUMPRODUCT((TEXT(Tabla1[Fehca
Mant. Preventivo],"mmmm")=S13)*1,Tabla1[Valor Prev + IVA])</f>
        <v>0</v>
      </c>
      <c r="V13" s="22">
        <f ca="1">SUM(Tabla3[[#This Row],[Total Calibración]],Tabla3[[#This Row],[Total Preventivo]])</f>
        <v>0</v>
      </c>
    </row>
    <row r="14" spans="1:22" x14ac:dyDescent="0.3">
      <c r="A14" s="8" t="s">
        <v>30</v>
      </c>
      <c r="B14" s="8" t="str">
        <f>IFERROR(VLOOKUP(Tabla1[[#This Row],[Sede ]],Tabla2[[#All],[Sede]:[Departamento]],2,FALSE),"")</f>
        <v>Medellín</v>
      </c>
      <c r="C14" s="8" t="str">
        <f>IFERROR(VLOOKUP(Tabla1[[#This Row],[Sede ]],Tabla2[[#All],[Sede]:[Departamento]],3,FALSE),"")</f>
        <v>Antioquia</v>
      </c>
      <c r="D14" s="8" t="s">
        <v>127</v>
      </c>
      <c r="E14" s="13" t="s">
        <v>87</v>
      </c>
      <c r="F14" s="16">
        <v>45036</v>
      </c>
      <c r="G14" s="8" t="s">
        <v>62</v>
      </c>
      <c r="H14" s="8" t="s">
        <v>73</v>
      </c>
      <c r="I14" s="8" t="s">
        <v>223</v>
      </c>
      <c r="J14" s="12">
        <f ca="1">VLOOKUP(Tabla1[[#This Row],[Nombre Equipo]],INDIRECT(Tabla1[[#This Row],[Proveedor calib.]]),2,FALSE)</f>
        <v>128128</v>
      </c>
      <c r="K14" s="12">
        <f ca="1">Tabla1[[#This Row],[ Valor calibración]]*1.19</f>
        <v>152472.32000000001</v>
      </c>
      <c r="L14" s="8" t="s">
        <v>65</v>
      </c>
      <c r="M14" s="16">
        <v>45030</v>
      </c>
      <c r="N14" s="8" t="s">
        <v>74</v>
      </c>
      <c r="O14" s="8">
        <v>59808</v>
      </c>
      <c r="P14" s="12">
        <f ca="1">VLOOKUP(Tabla1[[#This Row],[Nombre Equipo]],INDIRECT(Tabla1[[#This Row],[Proveedor prev.]]),2,FALSE)</f>
        <v>45000</v>
      </c>
      <c r="Q14" s="12">
        <f ca="1">Tabla1[[#This Row],[Valor prev.]]*1.19</f>
        <v>53550</v>
      </c>
      <c r="S14" s="22" t="s">
        <v>554</v>
      </c>
      <c r="T14" s="22">
        <f t="array" aca="1" ref="T14" ca="1">SUMPRODUCT((TEXT($F$4:$F$281,"mmmm")=S14)*1,$K$4:$K$281)</f>
        <v>0</v>
      </c>
      <c r="U14" s="22">
        <f t="array" aca="1" ref="U14" ca="1">SUMPRODUCT((TEXT(Tabla1[Fehca
Mant. Preventivo],"mmmm")=S14)*1,Tabla1[Valor Prev + IVA])</f>
        <v>0</v>
      </c>
      <c r="V14" s="22">
        <f ca="1">SUM(Tabla3[[#This Row],[Total Calibración]],Tabla3[[#This Row],[Total Preventivo]])</f>
        <v>0</v>
      </c>
    </row>
    <row r="15" spans="1:22" ht="14.4" customHeight="1" x14ac:dyDescent="0.3">
      <c r="A15" s="8" t="s">
        <v>30</v>
      </c>
      <c r="B15" s="8" t="str">
        <f>IFERROR(VLOOKUP(Tabla1[[#This Row],[Sede ]],Tabla2[[#All],[Sede]:[Departamento]],2,FALSE),"")</f>
        <v>Medellín</v>
      </c>
      <c r="C15" s="8" t="str">
        <f>IFERROR(VLOOKUP(Tabla1[[#This Row],[Sede ]],Tabla2[[#All],[Sede]:[Departamento]],3,FALSE),"")</f>
        <v>Antioquia</v>
      </c>
      <c r="D15" s="8" t="s">
        <v>118</v>
      </c>
      <c r="E15" s="13" t="s">
        <v>88</v>
      </c>
      <c r="F15" s="16">
        <v>45036</v>
      </c>
      <c r="G15" s="8" t="s">
        <v>62</v>
      </c>
      <c r="H15" s="8" t="s">
        <v>73</v>
      </c>
      <c r="I15" s="8" t="s">
        <v>201</v>
      </c>
      <c r="J15" s="9">
        <f ca="1">VLOOKUP(Tabla1[[#This Row],[Nombre Equipo]],INDIRECT(Tabla1[[#This Row],[Proveedor calib.]]),2,FALSE)</f>
        <v>128128</v>
      </c>
      <c r="K15" s="9">
        <f ca="1">Tabla1[[#This Row],[ Valor calibración]]*1.19</f>
        <v>152472.32000000001</v>
      </c>
      <c r="L15" s="8" t="s">
        <v>65</v>
      </c>
      <c r="M15" s="16">
        <v>45030</v>
      </c>
      <c r="N15" s="8" t="s">
        <v>74</v>
      </c>
      <c r="O15" s="8">
        <v>59803</v>
      </c>
      <c r="P15" s="9">
        <f ca="1">VLOOKUP(Tabla1[[#This Row],[Nombre Equipo]],INDIRECT(Tabla1[[#This Row],[Proveedor prev.]]),2,FALSE)</f>
        <v>45000</v>
      </c>
      <c r="Q15" s="9">
        <f ca="1">Tabla1[[#This Row],[Valor prev.]]*1.19</f>
        <v>53550</v>
      </c>
      <c r="S15" s="24" t="s">
        <v>558</v>
      </c>
      <c r="T15" s="34">
        <f ca="1">SUM(Tabla3[Total Calibración])</f>
        <v>20321130.200000003</v>
      </c>
      <c r="U15" s="34">
        <f ca="1">SUM(Tabla3[Total Preventivo])</f>
        <v>17005100</v>
      </c>
      <c r="V15" s="34">
        <f ca="1">SUM(Tabla3[Total Mes])</f>
        <v>37326230.200000003</v>
      </c>
    </row>
    <row r="16" spans="1:22" x14ac:dyDescent="0.3">
      <c r="A16" s="8" t="s">
        <v>30</v>
      </c>
      <c r="B16" s="8" t="str">
        <f>IFERROR(VLOOKUP(Tabla1[[#This Row],[Sede ]],Tabla2[[#All],[Sede]:[Departamento]],2,FALSE),"")</f>
        <v>Medellín</v>
      </c>
      <c r="C16" s="8" t="str">
        <f>IFERROR(VLOOKUP(Tabla1[[#This Row],[Sede ]],Tabla2[[#All],[Sede]:[Departamento]],3,FALSE),"")</f>
        <v>Antioquia</v>
      </c>
      <c r="D16" s="8" t="s">
        <v>118</v>
      </c>
      <c r="E16" s="13" t="s">
        <v>89</v>
      </c>
      <c r="F16" s="16">
        <v>45036</v>
      </c>
      <c r="G16" s="8" t="s">
        <v>62</v>
      </c>
      <c r="H16" s="8" t="s">
        <v>73</v>
      </c>
      <c r="I16" s="8" t="s">
        <v>202</v>
      </c>
      <c r="J16" s="9">
        <f ca="1">VLOOKUP(Tabla1[[#This Row],[Nombre Equipo]],INDIRECT(Tabla1[[#This Row],[Proveedor calib.]]),2,FALSE)</f>
        <v>128128</v>
      </c>
      <c r="K16" s="9">
        <f ca="1">Tabla1[[#This Row],[ Valor calibración]]*1.19</f>
        <v>152472.32000000001</v>
      </c>
      <c r="L16" s="8" t="s">
        <v>65</v>
      </c>
      <c r="M16" s="16">
        <v>44958</v>
      </c>
      <c r="N16" s="8" t="s">
        <v>74</v>
      </c>
      <c r="O16" s="8" t="s">
        <v>492</v>
      </c>
      <c r="P16" s="9">
        <f ca="1">VLOOKUP(Tabla1[[#This Row],[Nombre Equipo]],INDIRECT(Tabla1[[#This Row],[Proveedor prev.]]),2,FALSE)</f>
        <v>45000</v>
      </c>
      <c r="Q16" s="9">
        <f ca="1">Tabla1[[#This Row],[Valor prev.]]*1.19</f>
        <v>53550</v>
      </c>
    </row>
    <row r="17" spans="1:22" x14ac:dyDescent="0.3">
      <c r="A17" s="8" t="s">
        <v>30</v>
      </c>
      <c r="B17" s="8" t="str">
        <f>IFERROR(VLOOKUP(Tabla1[[#This Row],[Sede ]],Tabla2[[#All],[Sede]:[Departamento]],2,FALSE),"")</f>
        <v>Medellín</v>
      </c>
      <c r="C17" s="8" t="str">
        <f>IFERROR(VLOOKUP(Tabla1[[#This Row],[Sede ]],Tabla2[[#All],[Sede]:[Departamento]],3,FALSE),"")</f>
        <v>Antioquia</v>
      </c>
      <c r="D17" s="8" t="s">
        <v>127</v>
      </c>
      <c r="E17" s="13" t="s">
        <v>90</v>
      </c>
      <c r="F17" s="16">
        <v>45036</v>
      </c>
      <c r="G17" s="8" t="s">
        <v>62</v>
      </c>
      <c r="H17" s="8" t="s">
        <v>73</v>
      </c>
      <c r="I17" s="8" t="s">
        <v>203</v>
      </c>
      <c r="J17" s="9">
        <f ca="1">VLOOKUP(Tabla1[[#This Row],[Nombre Equipo]],INDIRECT(Tabla1[[#This Row],[Proveedor calib.]]),2,FALSE)</f>
        <v>128128</v>
      </c>
      <c r="K17" s="9">
        <f ca="1">Tabla1[[#This Row],[ Valor calibración]]*1.19</f>
        <v>152472.32000000001</v>
      </c>
      <c r="L17" s="8" t="s">
        <v>65</v>
      </c>
      <c r="M17" s="16" t="s">
        <v>492</v>
      </c>
      <c r="N17" s="8" t="s">
        <v>492</v>
      </c>
      <c r="O17" s="8" t="s">
        <v>492</v>
      </c>
      <c r="P17" s="9">
        <f ca="1">VLOOKUP(Tabla1[[#This Row],[Nombre Equipo]],INDIRECT(Tabla1[[#This Row],[Proveedor prev.]]),2,FALSE)</f>
        <v>0</v>
      </c>
      <c r="Q17" s="9">
        <f ca="1">Tabla1[[#This Row],[Valor prev.]]*1.19</f>
        <v>0</v>
      </c>
    </row>
    <row r="18" spans="1:22" x14ac:dyDescent="0.3">
      <c r="A18" s="8" t="s">
        <v>30</v>
      </c>
      <c r="B18" s="8" t="str">
        <f>IFERROR(VLOOKUP(Tabla1[[#This Row],[Sede ]],Tabla2[[#All],[Sede]:[Departamento]],2,FALSE),"")</f>
        <v>Medellín</v>
      </c>
      <c r="C18" s="8" t="str">
        <f>IFERROR(VLOOKUP(Tabla1[[#This Row],[Sede ]],Tabla2[[#All],[Sede]:[Departamento]],3,FALSE),"")</f>
        <v>Antioquia</v>
      </c>
      <c r="D18" s="8" t="s">
        <v>115</v>
      </c>
      <c r="E18" s="13" t="s">
        <v>91</v>
      </c>
      <c r="F18" s="16">
        <v>45036</v>
      </c>
      <c r="G18" s="8" t="s">
        <v>62</v>
      </c>
      <c r="H18" s="8" t="s">
        <v>73</v>
      </c>
      <c r="I18" s="8" t="s">
        <v>204</v>
      </c>
      <c r="J18" s="9">
        <f ca="1">VLOOKUP(Tabla1[[#This Row],[Nombre Equipo]],INDIRECT(Tabla1[[#This Row],[Proveedor calib.]]),2,FALSE)</f>
        <v>128128</v>
      </c>
      <c r="K18" s="9">
        <f ca="1">Tabla1[[#This Row],[ Valor calibración]]*1.19</f>
        <v>152472.32000000001</v>
      </c>
      <c r="L18" s="8" t="s">
        <v>65</v>
      </c>
      <c r="M18" s="16">
        <v>44963</v>
      </c>
      <c r="N18" s="8" t="s">
        <v>74</v>
      </c>
      <c r="O18" s="8">
        <v>59311</v>
      </c>
      <c r="P18" s="9">
        <f ca="1">VLOOKUP(Tabla1[[#This Row],[Nombre Equipo]],INDIRECT(Tabla1[[#This Row],[Proveedor prev.]]),2,FALSE)</f>
        <v>45000</v>
      </c>
      <c r="Q18" s="9">
        <f ca="1">Tabla1[[#This Row],[Valor prev.]]*1.19</f>
        <v>53550</v>
      </c>
      <c r="S18" s="136" t="s">
        <v>575</v>
      </c>
      <c r="T18" s="136"/>
      <c r="U18" s="136"/>
      <c r="V18" s="136"/>
    </row>
    <row r="19" spans="1:22" ht="14.4" thickBot="1" x14ac:dyDescent="0.35">
      <c r="A19" s="8" t="s">
        <v>30</v>
      </c>
      <c r="B19" s="8" t="str">
        <f>IFERROR(VLOOKUP(Tabla1[[#This Row],[Sede ]],Tabla2[[#All],[Sede]:[Departamento]],2,FALSE),"")</f>
        <v>Medellín</v>
      </c>
      <c r="C19" s="8" t="str">
        <f>IFERROR(VLOOKUP(Tabla1[[#This Row],[Sede ]],Tabla2[[#All],[Sede]:[Departamento]],3,FALSE),"")</f>
        <v>Antioquia</v>
      </c>
      <c r="D19" s="8" t="s">
        <v>114</v>
      </c>
      <c r="E19" s="13" t="s">
        <v>92</v>
      </c>
      <c r="F19" s="16">
        <v>45035</v>
      </c>
      <c r="G19" s="8" t="s">
        <v>62</v>
      </c>
      <c r="H19" s="8" t="s">
        <v>73</v>
      </c>
      <c r="I19" s="8" t="s">
        <v>205</v>
      </c>
      <c r="J19" s="9">
        <f ca="1">VLOOKUP(Tabla1[[#This Row],[Nombre Equipo]],INDIRECT(Tabla1[[#This Row],[Proveedor calib.]]),2,FALSE)</f>
        <v>128128</v>
      </c>
      <c r="K19" s="9">
        <f ca="1">Tabla1[[#This Row],[ Valor calibración]]*1.19</f>
        <v>152472.32000000001</v>
      </c>
      <c r="L19" s="8" t="s">
        <v>65</v>
      </c>
      <c r="M19" s="16">
        <v>44963</v>
      </c>
      <c r="N19" s="8" t="s">
        <v>74</v>
      </c>
      <c r="O19" s="8">
        <v>59321</v>
      </c>
      <c r="P19" s="9">
        <f ca="1">VLOOKUP(Tabla1[[#This Row],[Nombre Equipo]],INDIRECT(Tabla1[[#This Row],[Proveedor prev.]]),2,FALSE)</f>
        <v>45000</v>
      </c>
      <c r="Q19" s="9">
        <f ca="1">Tabla1[[#This Row],[Valor prev.]]*1.19</f>
        <v>53550</v>
      </c>
      <c r="S19" s="137"/>
      <c r="T19" s="137"/>
      <c r="U19" s="137"/>
      <c r="V19" s="137"/>
    </row>
    <row r="20" spans="1:22" ht="14.4" thickTop="1" x14ac:dyDescent="0.3">
      <c r="A20" s="8" t="s">
        <v>30</v>
      </c>
      <c r="B20" s="8" t="str">
        <f>IFERROR(VLOOKUP(Tabla1[[#This Row],[Sede ]],Tabla2[[#All],[Sede]:[Departamento]],2,FALSE),"")</f>
        <v>Medellín</v>
      </c>
      <c r="C20" s="8" t="str">
        <f>IFERROR(VLOOKUP(Tabla1[[#This Row],[Sede ]],Tabla2[[#All],[Sede]:[Departamento]],3,FALSE),"")</f>
        <v>Antioquia</v>
      </c>
      <c r="D20" s="8" t="s">
        <v>118</v>
      </c>
      <c r="E20" s="13" t="s">
        <v>93</v>
      </c>
      <c r="F20" s="16">
        <v>45036</v>
      </c>
      <c r="G20" s="8" t="s">
        <v>62</v>
      </c>
      <c r="H20" s="8" t="s">
        <v>73</v>
      </c>
      <c r="I20" s="8" t="s">
        <v>206</v>
      </c>
      <c r="J20" s="9">
        <f ca="1">VLOOKUP(Tabla1[[#This Row],[Nombre Equipo]],INDIRECT(Tabla1[[#This Row],[Proveedor calib.]]),2,FALSE)</f>
        <v>128128</v>
      </c>
      <c r="K20" s="9">
        <f ca="1">Tabla1[[#This Row],[ Valor calibración]]*1.19</f>
        <v>152472.32000000001</v>
      </c>
      <c r="L20" s="8" t="s">
        <v>65</v>
      </c>
      <c r="M20" s="16" t="s">
        <v>492</v>
      </c>
      <c r="N20" s="8" t="s">
        <v>492</v>
      </c>
      <c r="O20" s="8" t="s">
        <v>492</v>
      </c>
      <c r="P20" s="9">
        <f ca="1">VLOOKUP(Tabla1[[#This Row],[Nombre Equipo]],INDIRECT(Tabla1[[#This Row],[Proveedor prev.]]),2,FALSE)</f>
        <v>0</v>
      </c>
      <c r="Q20" s="9">
        <f ca="1">Tabla1[[#This Row],[Valor prev.]]*1.19</f>
        <v>0</v>
      </c>
    </row>
    <row r="21" spans="1:22" x14ac:dyDescent="0.3">
      <c r="A21" s="8" t="s">
        <v>30</v>
      </c>
      <c r="B21" s="8" t="str">
        <f>IFERROR(VLOOKUP(Tabla1[[#This Row],[Sede ]],Tabla2[[#All],[Sede]:[Departamento]],2,FALSE),"")</f>
        <v>Medellín</v>
      </c>
      <c r="C21" s="8" t="str">
        <f>IFERROR(VLOOKUP(Tabla1[[#This Row],[Sede ]],Tabla2[[#All],[Sede]:[Departamento]],3,FALSE),"")</f>
        <v>Antioquia</v>
      </c>
      <c r="D21" s="8" t="s">
        <v>114</v>
      </c>
      <c r="E21" s="13" t="s">
        <v>94</v>
      </c>
      <c r="F21" s="16">
        <v>45035</v>
      </c>
      <c r="G21" s="8" t="s">
        <v>62</v>
      </c>
      <c r="H21" s="8" t="s">
        <v>73</v>
      </c>
      <c r="I21" s="8" t="s">
        <v>207</v>
      </c>
      <c r="J21" s="9">
        <f ca="1">VLOOKUP(Tabla1[[#This Row],[Nombre Equipo]],INDIRECT(Tabla1[[#This Row],[Proveedor calib.]]),2,FALSE)</f>
        <v>128128</v>
      </c>
      <c r="K21" s="9">
        <f ca="1">Tabla1[[#This Row],[ Valor calibración]]*1.19</f>
        <v>152472.32000000001</v>
      </c>
      <c r="L21" s="8" t="s">
        <v>65</v>
      </c>
      <c r="M21" s="16">
        <v>45030</v>
      </c>
      <c r="N21" s="8" t="s">
        <v>74</v>
      </c>
      <c r="O21" s="8">
        <v>59796</v>
      </c>
      <c r="P21" s="9">
        <f ca="1">VLOOKUP(Tabla1[[#This Row],[Nombre Equipo]],INDIRECT(Tabla1[[#This Row],[Proveedor prev.]]),2,FALSE)</f>
        <v>45000</v>
      </c>
      <c r="Q21" s="9">
        <f ca="1">Tabla1[[#This Row],[Valor prev.]]*1.19</f>
        <v>53550</v>
      </c>
      <c r="T21" s="35" t="s">
        <v>111</v>
      </c>
      <c r="U21" s="35" t="s">
        <v>570</v>
      </c>
    </row>
    <row r="22" spans="1:22" x14ac:dyDescent="0.3">
      <c r="A22" s="8" t="s">
        <v>36</v>
      </c>
      <c r="B22" s="8" t="str">
        <f>IFERROR(VLOOKUP(Tabla1[[#This Row],[Sede ]],Tabla2[[#All],[Sede]:[Departamento]],2,FALSE),"")</f>
        <v>Bello</v>
      </c>
      <c r="C22" s="8" t="str">
        <f>IFERROR(VLOOKUP(Tabla1[[#This Row],[Sede ]],Tabla2[[#All],[Sede]:[Departamento]],3,FALSE),"")</f>
        <v>Antioquia</v>
      </c>
      <c r="D22" s="8" t="s">
        <v>127</v>
      </c>
      <c r="E22" s="13" t="s">
        <v>96</v>
      </c>
      <c r="F22" s="16">
        <v>45036</v>
      </c>
      <c r="G22" s="8" t="s">
        <v>62</v>
      </c>
      <c r="H22" s="8" t="s">
        <v>73</v>
      </c>
      <c r="I22" s="8" t="s">
        <v>208</v>
      </c>
      <c r="J22" s="9">
        <f ca="1">VLOOKUP(Tabla1[[#This Row],[Nombre Equipo]],INDIRECT(Tabla1[[#This Row],[Proveedor calib.]]),2,FALSE)</f>
        <v>128128</v>
      </c>
      <c r="K22" s="9">
        <f ca="1">Tabla1[[#This Row],[ Valor calibración]]*1.19</f>
        <v>152472.32000000001</v>
      </c>
      <c r="L22" s="8" t="s">
        <v>65</v>
      </c>
      <c r="M22" s="16" t="s">
        <v>492</v>
      </c>
      <c r="N22" s="8" t="s">
        <v>492</v>
      </c>
      <c r="O22" s="8" t="s">
        <v>492</v>
      </c>
      <c r="P22" s="9">
        <f ca="1">VLOOKUP(Tabla1[[#This Row],[Nombre Equipo]],INDIRECT(Tabla1[[#This Row],[Proveedor prev.]]),2,FALSE)</f>
        <v>0</v>
      </c>
      <c r="Q22" s="9">
        <f ca="1">Tabla1[[#This Row],[Valor prev.]]*1.19</f>
        <v>0</v>
      </c>
      <c r="T22" s="8" t="s">
        <v>123</v>
      </c>
      <c r="U22" s="9">
        <f t="array" aca="1" ref="U22" ca="1">SUMPRODUCT((Tabla1[Nombre Equipo]=T22)*1,$K$4:$K$281)</f>
        <v>422231.03999999998</v>
      </c>
    </row>
    <row r="23" spans="1:22" x14ac:dyDescent="0.3">
      <c r="A23" s="8" t="s">
        <v>30</v>
      </c>
      <c r="B23" s="8" t="str">
        <f>IFERROR(VLOOKUP(Tabla1[[#This Row],[Sede ]],Tabla2[[#All],[Sede]:[Departamento]],2,FALSE),"")</f>
        <v>Medellín</v>
      </c>
      <c r="C23" s="8" t="str">
        <f>IFERROR(VLOOKUP(Tabla1[[#This Row],[Sede ]],Tabla2[[#All],[Sede]:[Departamento]],3,FALSE),"")</f>
        <v>Antioquia</v>
      </c>
      <c r="D23" s="8" t="s">
        <v>75</v>
      </c>
      <c r="E23" s="13" t="s">
        <v>97</v>
      </c>
      <c r="F23" s="16">
        <v>45036</v>
      </c>
      <c r="G23" s="8" t="s">
        <v>62</v>
      </c>
      <c r="H23" s="8" t="s">
        <v>73</v>
      </c>
      <c r="I23" s="8" t="s">
        <v>212</v>
      </c>
      <c r="J23" s="9">
        <f ca="1">VLOOKUP(Tabla1[[#This Row],[Nombre Equipo]],INDIRECT(Tabla1[[#This Row],[Proveedor calib.]]),2,FALSE)</f>
        <v>128128</v>
      </c>
      <c r="K23" s="9">
        <f ca="1">Tabla1[[#This Row],[ Valor calibración]]*1.19</f>
        <v>152472.32000000001</v>
      </c>
      <c r="L23" s="8" t="s">
        <v>492</v>
      </c>
      <c r="M23" s="16" t="s">
        <v>492</v>
      </c>
      <c r="N23" s="8" t="s">
        <v>492</v>
      </c>
      <c r="O23" s="8" t="s">
        <v>492</v>
      </c>
      <c r="P23" s="9">
        <f ca="1">VLOOKUP(Tabla1[[#This Row],[Nombre Equipo]],INDIRECT(Tabla1[[#This Row],[Proveedor prev.]]),2,FALSE)</f>
        <v>0</v>
      </c>
      <c r="Q23" s="9">
        <f ca="1">Tabla1[[#This Row],[Valor prev.]]*1.19</f>
        <v>0</v>
      </c>
      <c r="T23" s="8" t="s">
        <v>165</v>
      </c>
      <c r="U23" s="9">
        <f t="array" aca="1" ref="U23" ca="1">SUMPRODUCT((Tabla1[Nombre Equipo]=T23)*1,$K$4:$K$281)</f>
        <v>118167</v>
      </c>
    </row>
    <row r="24" spans="1:22" x14ac:dyDescent="0.3">
      <c r="A24" s="8" t="s">
        <v>30</v>
      </c>
      <c r="B24" s="8" t="str">
        <f>IFERROR(VLOOKUP(Tabla1[[#This Row],[Sede ]],Tabla2[[#All],[Sede]:[Departamento]],2,FALSE),"")</f>
        <v>Medellín</v>
      </c>
      <c r="C24" s="8" t="str">
        <f>IFERROR(VLOOKUP(Tabla1[[#This Row],[Sede ]],Tabla2[[#All],[Sede]:[Departamento]],3,FALSE),"")</f>
        <v>Antioquia</v>
      </c>
      <c r="D24" s="8" t="s">
        <v>75</v>
      </c>
      <c r="E24" s="13" t="s">
        <v>99</v>
      </c>
      <c r="F24" s="16">
        <v>45036</v>
      </c>
      <c r="G24" s="8" t="s">
        <v>62</v>
      </c>
      <c r="H24" s="8" t="s">
        <v>73</v>
      </c>
      <c r="I24" s="8" t="s">
        <v>211</v>
      </c>
      <c r="J24" s="9">
        <f ca="1">VLOOKUP(Tabla1[[#This Row],[Nombre Equipo]],INDIRECT(Tabla1[[#This Row],[Proveedor calib.]]),2,FALSE)</f>
        <v>128128</v>
      </c>
      <c r="K24" s="9">
        <f ca="1">Tabla1[[#This Row],[ Valor calibración]]*1.19</f>
        <v>152472.32000000001</v>
      </c>
      <c r="L24" s="8" t="s">
        <v>492</v>
      </c>
      <c r="M24" s="16" t="s">
        <v>492</v>
      </c>
      <c r="N24" s="8" t="s">
        <v>492</v>
      </c>
      <c r="O24" s="8" t="s">
        <v>492</v>
      </c>
      <c r="P24" s="9">
        <f ca="1">VLOOKUP(Tabla1[[#This Row],[Nombre Equipo]],INDIRECT(Tabla1[[#This Row],[Proveedor prev.]]),2,FALSE)</f>
        <v>0</v>
      </c>
      <c r="Q24" s="9">
        <f ca="1">Tabla1[[#This Row],[Valor prev.]]*1.19</f>
        <v>0</v>
      </c>
      <c r="T24" s="8" t="s">
        <v>170</v>
      </c>
      <c r="U24" s="9">
        <f t="array" aca="1" ref="U24" ca="1">SUMPRODUCT((Tabla1[Nombre Equipo]=T24)*1,$K$4:$K$281)</f>
        <v>870680.15999999992</v>
      </c>
    </row>
    <row r="25" spans="1:22" x14ac:dyDescent="0.3">
      <c r="A25" s="8" t="s">
        <v>30</v>
      </c>
      <c r="B25" s="8" t="str">
        <f>IFERROR(VLOOKUP(Tabla1[[#This Row],[Sede ]],Tabla2[[#All],[Sede]:[Departamento]],2,FALSE),"")</f>
        <v>Medellín</v>
      </c>
      <c r="C25" s="8" t="str">
        <f>IFERROR(VLOOKUP(Tabla1[[#This Row],[Sede ]],Tabla2[[#All],[Sede]:[Departamento]],3,FALSE),"")</f>
        <v>Antioquia</v>
      </c>
      <c r="D25" s="8" t="s">
        <v>75</v>
      </c>
      <c r="E25" s="13" t="s">
        <v>100</v>
      </c>
      <c r="F25" s="16">
        <v>45036</v>
      </c>
      <c r="G25" s="8" t="s">
        <v>62</v>
      </c>
      <c r="H25" s="8" t="s">
        <v>73</v>
      </c>
      <c r="I25" s="8" t="s">
        <v>210</v>
      </c>
      <c r="J25" s="9">
        <f ca="1">VLOOKUP(Tabla1[[#This Row],[Nombre Equipo]],INDIRECT(Tabla1[[#This Row],[Proveedor calib.]]),2,FALSE)</f>
        <v>128128</v>
      </c>
      <c r="K25" s="9">
        <f ca="1">Tabla1[[#This Row],[ Valor calibración]]*1.19</f>
        <v>152472.32000000001</v>
      </c>
      <c r="L25" s="8" t="s">
        <v>492</v>
      </c>
      <c r="M25" s="16" t="s">
        <v>492</v>
      </c>
      <c r="N25" s="8" t="s">
        <v>492</v>
      </c>
      <c r="O25" s="8" t="s">
        <v>492</v>
      </c>
      <c r="P25" s="9">
        <f ca="1">VLOOKUP(Tabla1[[#This Row],[Nombre Equipo]],INDIRECT(Tabla1[[#This Row],[Proveedor prev.]]),2,FALSE)</f>
        <v>0</v>
      </c>
      <c r="Q25" s="9">
        <f ca="1">Tabla1[[#This Row],[Valor prev.]]*1.19</f>
        <v>0</v>
      </c>
      <c r="T25" s="8" t="s">
        <v>122</v>
      </c>
      <c r="U25" s="9">
        <f t="array" aca="1" ref="U25" ca="1">SUMPRODUCT((Tabla1[Nombre Equipo]=T25)*1,$K$4:$K$281)</f>
        <v>700557.75999999989</v>
      </c>
    </row>
    <row r="26" spans="1:22" x14ac:dyDescent="0.3">
      <c r="A26" s="8" t="s">
        <v>30</v>
      </c>
      <c r="B26" s="8" t="str">
        <f>IFERROR(VLOOKUP(Tabla1[[#This Row],[Sede ]],Tabla2[[#All],[Sede]:[Departamento]],2,FALSE),"")</f>
        <v>Medellín</v>
      </c>
      <c r="C26" s="8" t="str">
        <f>IFERROR(VLOOKUP(Tabla1[[#This Row],[Sede ]],Tabla2[[#All],[Sede]:[Departamento]],3,FALSE),"")</f>
        <v>Antioquia</v>
      </c>
      <c r="D26" s="8" t="s">
        <v>75</v>
      </c>
      <c r="E26" s="13" t="s">
        <v>102</v>
      </c>
      <c r="F26" s="16">
        <v>45036</v>
      </c>
      <c r="G26" s="8" t="s">
        <v>62</v>
      </c>
      <c r="H26" s="8" t="s">
        <v>73</v>
      </c>
      <c r="I26" s="8" t="s">
        <v>200</v>
      </c>
      <c r="J26" s="9">
        <f ca="1">VLOOKUP(Tabla1[[#This Row],[Nombre Equipo]],INDIRECT(Tabla1[[#This Row],[Proveedor calib.]]),2,FALSE)</f>
        <v>128128</v>
      </c>
      <c r="K26" s="9">
        <f ca="1">Tabla1[[#This Row],[ Valor calibración]]*1.19</f>
        <v>152472.32000000001</v>
      </c>
      <c r="L26" s="8" t="s">
        <v>492</v>
      </c>
      <c r="M26" s="16" t="s">
        <v>492</v>
      </c>
      <c r="N26" s="8" t="s">
        <v>492</v>
      </c>
      <c r="O26" s="8" t="s">
        <v>492</v>
      </c>
      <c r="P26" s="9">
        <f ca="1">VLOOKUP(Tabla1[[#This Row],[Nombre Equipo]],INDIRECT(Tabla1[[#This Row],[Proveedor prev.]]),2,FALSE)</f>
        <v>0</v>
      </c>
      <c r="Q26" s="9">
        <f ca="1">Tabla1[[#This Row],[Valor prev.]]*1.19</f>
        <v>0</v>
      </c>
      <c r="T26" s="8" t="s">
        <v>377</v>
      </c>
      <c r="U26" s="9">
        <f t="array" aca="1" ref="U26" ca="1">SUMPRODUCT((Tabla1[Nombre Equipo]=T26)*1,$K$4:$K$281)</f>
        <v>140743.67999999999</v>
      </c>
    </row>
    <row r="27" spans="1:22" x14ac:dyDescent="0.3">
      <c r="A27" s="8" t="s">
        <v>30</v>
      </c>
      <c r="B27" s="8" t="str">
        <f>IFERROR(VLOOKUP(Tabla1[[#This Row],[Sede ]],Tabla2[[#All],[Sede]:[Departamento]],2,FALSE),"")</f>
        <v>Medellín</v>
      </c>
      <c r="C27" s="8" t="str">
        <f>IFERROR(VLOOKUP(Tabla1[[#This Row],[Sede ]],Tabla2[[#All],[Sede]:[Departamento]],3,FALSE),"")</f>
        <v>Antioquia</v>
      </c>
      <c r="D27" s="8" t="s">
        <v>75</v>
      </c>
      <c r="E27" s="13" t="s">
        <v>103</v>
      </c>
      <c r="F27" s="16">
        <v>45036</v>
      </c>
      <c r="G27" s="8" t="s">
        <v>62</v>
      </c>
      <c r="H27" s="8" t="s">
        <v>73</v>
      </c>
      <c r="I27" s="8" t="s">
        <v>199</v>
      </c>
      <c r="J27" s="9">
        <f ca="1">VLOOKUP(Tabla1[[#This Row],[Nombre Equipo]],INDIRECT(Tabla1[[#This Row],[Proveedor calib.]]),2,FALSE)</f>
        <v>128128</v>
      </c>
      <c r="K27" s="9">
        <f ca="1">Tabla1[[#This Row],[ Valor calibración]]*1.19</f>
        <v>152472.32000000001</v>
      </c>
      <c r="L27" s="8" t="s">
        <v>492</v>
      </c>
      <c r="M27" s="16" t="s">
        <v>492</v>
      </c>
      <c r="N27" s="8" t="s">
        <v>492</v>
      </c>
      <c r="O27" s="8" t="s">
        <v>492</v>
      </c>
      <c r="P27" s="9">
        <f ca="1">VLOOKUP(Tabla1[[#This Row],[Nombre Equipo]],INDIRECT(Tabla1[[#This Row],[Proveedor prev.]]),2,FALSE)</f>
        <v>0</v>
      </c>
      <c r="Q27" s="9">
        <f ca="1">Tabla1[[#This Row],[Valor prev.]]*1.19</f>
        <v>0</v>
      </c>
      <c r="T27" s="8" t="s">
        <v>124</v>
      </c>
      <c r="U27" s="9">
        <f t="array" aca="1" ref="U27" ca="1">SUMPRODUCT((Tabla1[Nombre Equipo]=T27)*1,$K$4:$K$281)</f>
        <v>422231.03999999998</v>
      </c>
    </row>
    <row r="28" spans="1:22" x14ac:dyDescent="0.3">
      <c r="A28" s="8" t="s">
        <v>30</v>
      </c>
      <c r="B28" s="8" t="str">
        <f>IFERROR(VLOOKUP(Tabla1[[#This Row],[Sede ]],Tabla2[[#All],[Sede]:[Departamento]],2,FALSE),"")</f>
        <v>Medellín</v>
      </c>
      <c r="C28" s="8" t="str">
        <f>IFERROR(VLOOKUP(Tabla1[[#This Row],[Sede ]],Tabla2[[#All],[Sede]:[Departamento]],3,FALSE),"")</f>
        <v>Antioquia</v>
      </c>
      <c r="D28" s="8" t="s">
        <v>75</v>
      </c>
      <c r="E28" s="13" t="s">
        <v>104</v>
      </c>
      <c r="F28" s="16">
        <v>45036</v>
      </c>
      <c r="G28" s="8" t="s">
        <v>62</v>
      </c>
      <c r="H28" s="8" t="s">
        <v>73</v>
      </c>
      <c r="I28" s="8" t="s">
        <v>198</v>
      </c>
      <c r="J28" s="9">
        <f ca="1">VLOOKUP(Tabla1[[#This Row],[Nombre Equipo]],INDIRECT(Tabla1[[#This Row],[Proveedor calib.]]),2,FALSE)</f>
        <v>128128</v>
      </c>
      <c r="K28" s="9">
        <f ca="1">Tabla1[[#This Row],[ Valor calibración]]*1.19</f>
        <v>152472.32000000001</v>
      </c>
      <c r="L28" s="8" t="s">
        <v>492</v>
      </c>
      <c r="M28" s="16" t="s">
        <v>492</v>
      </c>
      <c r="N28" s="8" t="s">
        <v>492</v>
      </c>
      <c r="O28" s="8" t="s">
        <v>492</v>
      </c>
      <c r="P28" s="9">
        <f ca="1">VLOOKUP(Tabla1[[#This Row],[Nombre Equipo]],INDIRECT(Tabla1[[#This Row],[Proveedor prev.]]),2,FALSE)</f>
        <v>0</v>
      </c>
      <c r="Q28" s="9">
        <f ca="1">Tabla1[[#This Row],[Valor prev.]]*1.19</f>
        <v>0</v>
      </c>
      <c r="T28" s="8" t="s">
        <v>116</v>
      </c>
      <c r="U28" s="9">
        <f t="array" aca="1" ref="U28" ca="1">SUMPRODUCT((Tabla1[Nombre Equipo]=T28)*1,$K$4:$K$281)</f>
        <v>403172</v>
      </c>
    </row>
    <row r="29" spans="1:22" x14ac:dyDescent="0.3">
      <c r="A29" s="8" t="s">
        <v>30</v>
      </c>
      <c r="B29" s="8" t="str">
        <f>IFERROR(VLOOKUP(Tabla1[[#This Row],[Sede ]],Tabla2[[#All],[Sede]:[Departamento]],2,FALSE),"")</f>
        <v>Medellín</v>
      </c>
      <c r="C29" s="8" t="str">
        <f>IFERROR(VLOOKUP(Tabla1[[#This Row],[Sede ]],Tabla2[[#All],[Sede]:[Departamento]],3,FALSE),"")</f>
        <v>Antioquia</v>
      </c>
      <c r="D29" s="8" t="s">
        <v>75</v>
      </c>
      <c r="E29" s="13" t="s">
        <v>98</v>
      </c>
      <c r="F29" s="16">
        <v>45036</v>
      </c>
      <c r="G29" s="8" t="s">
        <v>62</v>
      </c>
      <c r="H29" s="8" t="s">
        <v>73</v>
      </c>
      <c r="I29" s="8" t="s">
        <v>197</v>
      </c>
      <c r="J29" s="9">
        <f ca="1">VLOOKUP(Tabla1[[#This Row],[Nombre Equipo]],INDIRECT(Tabla1[[#This Row],[Proveedor calib.]]),2,FALSE)</f>
        <v>128128</v>
      </c>
      <c r="K29" s="9">
        <f ca="1">Tabla1[[#This Row],[ Valor calibración]]*1.19</f>
        <v>152472.32000000001</v>
      </c>
      <c r="L29" s="8" t="s">
        <v>492</v>
      </c>
      <c r="M29" s="16" t="s">
        <v>492</v>
      </c>
      <c r="N29" s="8" t="s">
        <v>492</v>
      </c>
      <c r="O29" s="8" t="s">
        <v>492</v>
      </c>
      <c r="P29" s="9">
        <f ca="1">VLOOKUP(Tabla1[[#This Row],[Nombre Equipo]],INDIRECT(Tabla1[[#This Row],[Proveedor prev.]]),2,FALSE)</f>
        <v>0</v>
      </c>
      <c r="Q29" s="9">
        <f ca="1">Tabla1[[#This Row],[Valor prev.]]*1.19</f>
        <v>0</v>
      </c>
      <c r="T29" s="8" t="s">
        <v>114</v>
      </c>
      <c r="U29" s="9">
        <f t="array" aca="1" ref="U29" ca="1">SUMPRODUCT((Tabla1[Nombre Equipo]=T29)*1,$K$4:$K$281)</f>
        <v>2072246.96</v>
      </c>
    </row>
    <row r="30" spans="1:22" x14ac:dyDescent="0.3">
      <c r="A30" s="8" t="s">
        <v>30</v>
      </c>
      <c r="B30" s="8" t="str">
        <f>IFERROR(VLOOKUP(Tabla1[[#This Row],[Sede ]],Tabla2[[#All],[Sede]:[Departamento]],2,FALSE),"")</f>
        <v>Medellín</v>
      </c>
      <c r="C30" s="8" t="str">
        <f>IFERROR(VLOOKUP(Tabla1[[#This Row],[Sede ]],Tabla2[[#All],[Sede]:[Departamento]],3,FALSE),"")</f>
        <v>Antioquia</v>
      </c>
      <c r="D30" s="8" t="s">
        <v>75</v>
      </c>
      <c r="E30" s="13" t="s">
        <v>365</v>
      </c>
      <c r="F30" s="16">
        <v>45041</v>
      </c>
      <c r="G30" s="8" t="s">
        <v>62</v>
      </c>
      <c r="H30" s="8" t="s">
        <v>73</v>
      </c>
      <c r="I30" s="8" t="s">
        <v>366</v>
      </c>
      <c r="J30" s="9">
        <f ca="1">VLOOKUP(Tabla1[[#This Row],[Nombre Equipo]],INDIRECT(Tabla1[[#This Row],[Proveedor calib.]]),2,FALSE)</f>
        <v>128128</v>
      </c>
      <c r="K30" s="9">
        <f ca="1">Tabla1[[#This Row],[ Valor calibración]]*1.19</f>
        <v>152472.32000000001</v>
      </c>
      <c r="L30" s="8" t="s">
        <v>492</v>
      </c>
      <c r="M30" s="16" t="s">
        <v>492</v>
      </c>
      <c r="N30" s="8" t="s">
        <v>492</v>
      </c>
      <c r="O30" s="8" t="s">
        <v>492</v>
      </c>
      <c r="P30" s="9">
        <f ca="1">VLOOKUP(Tabla1[[#This Row],[Nombre Equipo]],INDIRECT(Tabla1[[#This Row],[Proveedor prev.]]),2,FALSE)</f>
        <v>0</v>
      </c>
      <c r="Q30" s="9">
        <f ca="1">Tabla1[[#This Row],[Valor prev.]]*1.19</f>
        <v>0</v>
      </c>
      <c r="T30" s="8" t="s">
        <v>127</v>
      </c>
      <c r="U30" s="9">
        <f t="array" aca="1" ref="U30" ca="1">SUMPRODUCT((Tabla1[Nombre Equipo]=T30)*1,$K$4:$K$281)</f>
        <v>771372.28</v>
      </c>
    </row>
    <row r="31" spans="1:22" x14ac:dyDescent="0.3">
      <c r="A31" s="8" t="s">
        <v>30</v>
      </c>
      <c r="B31" s="8" t="str">
        <f>IFERROR(VLOOKUP(Tabla1[[#This Row],[Sede ]],Tabla2[[#All],[Sede]:[Departamento]],2,FALSE),"")</f>
        <v>Medellín</v>
      </c>
      <c r="C31" s="8" t="str">
        <f>IFERROR(VLOOKUP(Tabla1[[#This Row],[Sede ]],Tabla2[[#All],[Sede]:[Departamento]],3,FALSE),"")</f>
        <v>Antioquia</v>
      </c>
      <c r="D31" s="8" t="s">
        <v>75</v>
      </c>
      <c r="E31" s="13" t="s">
        <v>367</v>
      </c>
      <c r="F31" s="16">
        <v>45041</v>
      </c>
      <c r="G31" s="8" t="s">
        <v>62</v>
      </c>
      <c r="H31" s="8" t="s">
        <v>73</v>
      </c>
      <c r="I31" s="8" t="s">
        <v>368</v>
      </c>
      <c r="J31" s="9">
        <f ca="1">VLOOKUP(Tabla1[[#This Row],[Nombre Equipo]],INDIRECT(Tabla1[[#This Row],[Proveedor calib.]]),2,FALSE)</f>
        <v>128128</v>
      </c>
      <c r="K31" s="9">
        <f ca="1">Tabla1[[#This Row],[ Valor calibración]]*1.19</f>
        <v>152472.32000000001</v>
      </c>
      <c r="L31" s="8" t="s">
        <v>492</v>
      </c>
      <c r="M31" s="16" t="s">
        <v>492</v>
      </c>
      <c r="N31" s="8" t="s">
        <v>492</v>
      </c>
      <c r="O31" s="8" t="s">
        <v>492</v>
      </c>
      <c r="P31" s="9">
        <f ca="1">VLOOKUP(Tabla1[[#This Row],[Nombre Equipo]],INDIRECT(Tabla1[[#This Row],[Proveedor prev.]]),2,FALSE)</f>
        <v>0</v>
      </c>
      <c r="Q31" s="9">
        <f ca="1">Tabla1[[#This Row],[Valor prev.]]*1.19</f>
        <v>0</v>
      </c>
      <c r="T31" s="8" t="s">
        <v>421</v>
      </c>
      <c r="U31" s="9">
        <f t="array" aca="1" ref="U31" ca="1">SUMPRODUCT((Tabla1[Nombre Equipo]=T31)*1,$K$4:$K$281)</f>
        <v>313955.32</v>
      </c>
    </row>
    <row r="32" spans="1:22" x14ac:dyDescent="0.3">
      <c r="A32" s="8" t="s">
        <v>30</v>
      </c>
      <c r="B32" s="8" t="str">
        <f>IFERROR(VLOOKUP(Tabla1[[#This Row],[Sede ]],Tabla2[[#All],[Sede]:[Departamento]],2,FALSE),"")</f>
        <v>Medellín</v>
      </c>
      <c r="C32" s="8" t="str">
        <f>IFERROR(VLOOKUP(Tabla1[[#This Row],[Sede ]],Tabla2[[#All],[Sede]:[Departamento]],3,FALSE),"")</f>
        <v>Antioquia</v>
      </c>
      <c r="D32" s="8" t="s">
        <v>75</v>
      </c>
      <c r="E32" s="13" t="s">
        <v>369</v>
      </c>
      <c r="F32" s="16">
        <v>45041</v>
      </c>
      <c r="G32" s="8" t="s">
        <v>62</v>
      </c>
      <c r="H32" s="8" t="s">
        <v>73</v>
      </c>
      <c r="I32" s="8" t="s">
        <v>370</v>
      </c>
      <c r="J32" s="9">
        <f ca="1">VLOOKUP(Tabla1[[#This Row],[Nombre Equipo]],INDIRECT(Tabla1[[#This Row],[Proveedor calib.]]),2,FALSE)</f>
        <v>128128</v>
      </c>
      <c r="K32" s="9">
        <f ca="1">Tabla1[[#This Row],[ Valor calibración]]*1.19</f>
        <v>152472.32000000001</v>
      </c>
      <c r="L32" s="8" t="s">
        <v>492</v>
      </c>
      <c r="M32" s="16" t="s">
        <v>492</v>
      </c>
      <c r="N32" s="8" t="s">
        <v>492</v>
      </c>
      <c r="O32" s="8" t="s">
        <v>492</v>
      </c>
      <c r="P32" s="9">
        <f ca="1">VLOOKUP(Tabla1[[#This Row],[Nombre Equipo]],INDIRECT(Tabla1[[#This Row],[Proveedor prev.]]),2,FALSE)</f>
        <v>0</v>
      </c>
      <c r="Q32" s="9">
        <f ca="1">Tabla1[[#This Row],[Valor prev.]]*1.19</f>
        <v>0</v>
      </c>
      <c r="T32" s="8" t="s">
        <v>117</v>
      </c>
      <c r="U32" s="9">
        <f t="array" aca="1" ref="U32" ca="1">SUMPRODUCT((Tabla1[Nombre Equipo]=T32)*1,$K$4:$K$281)</f>
        <v>879172</v>
      </c>
    </row>
    <row r="33" spans="1:21" x14ac:dyDescent="0.3">
      <c r="A33" s="8" t="s">
        <v>30</v>
      </c>
      <c r="B33" s="8" t="str">
        <f>IFERROR(VLOOKUP(Tabla1[[#This Row],[Sede ]],Tabla2[[#All],[Sede]:[Departamento]],2,FALSE),"")</f>
        <v>Medellín</v>
      </c>
      <c r="C33" s="8" t="str">
        <f>IFERROR(VLOOKUP(Tabla1[[#This Row],[Sede ]],Tabla2[[#All],[Sede]:[Departamento]],3,FALSE),"")</f>
        <v>Antioquia</v>
      </c>
      <c r="D33" s="8" t="s">
        <v>75</v>
      </c>
      <c r="E33" s="13" t="s">
        <v>371</v>
      </c>
      <c r="F33" s="16">
        <v>45041</v>
      </c>
      <c r="G33" s="8" t="s">
        <v>62</v>
      </c>
      <c r="H33" s="8" t="s">
        <v>73</v>
      </c>
      <c r="I33" s="8" t="s">
        <v>372</v>
      </c>
      <c r="J33" s="9">
        <f ca="1">VLOOKUP(Tabla1[[#This Row],[Nombre Equipo]],INDIRECT(Tabla1[[#This Row],[Proveedor calib.]]),2,FALSE)</f>
        <v>128128</v>
      </c>
      <c r="K33" s="9">
        <f ca="1">Tabla1[[#This Row],[ Valor calibración]]*1.19</f>
        <v>152472.32000000001</v>
      </c>
      <c r="L33" s="8" t="s">
        <v>492</v>
      </c>
      <c r="M33" s="16" t="s">
        <v>492</v>
      </c>
      <c r="N33" s="8" t="s">
        <v>492</v>
      </c>
      <c r="O33" s="8" t="s">
        <v>492</v>
      </c>
      <c r="P33" s="9">
        <f ca="1">VLOOKUP(Tabla1[[#This Row],[Nombre Equipo]],INDIRECT(Tabla1[[#This Row],[Proveedor prev.]]),2,FALSE)</f>
        <v>0</v>
      </c>
      <c r="Q33" s="9">
        <f ca="1">Tabla1[[#This Row],[Valor prev.]]*1.19</f>
        <v>0</v>
      </c>
      <c r="T33" s="8" t="s">
        <v>118</v>
      </c>
      <c r="U33" s="9">
        <f t="array" aca="1" ref="U33" ca="1">SUMPRODUCT((Tabla1[Nombre Equipo]=T33)*1,$K$4:$K$281)</f>
        <v>1417304.28</v>
      </c>
    </row>
    <row r="34" spans="1:21" x14ac:dyDescent="0.3">
      <c r="A34" s="8" t="s">
        <v>30</v>
      </c>
      <c r="B34" s="8" t="str">
        <f>IFERROR(VLOOKUP(Tabla1[[#This Row],[Sede ]],Tabla2[[#All],[Sede]:[Departamento]],2,FALSE),"")</f>
        <v>Medellín</v>
      </c>
      <c r="C34" s="8" t="str">
        <f>IFERROR(VLOOKUP(Tabla1[[#This Row],[Sede ]],Tabla2[[#All],[Sede]:[Departamento]],3,FALSE),"")</f>
        <v>Antioquia</v>
      </c>
      <c r="D34" s="8" t="s">
        <v>75</v>
      </c>
      <c r="E34" s="13" t="s">
        <v>105</v>
      </c>
      <c r="F34" s="16">
        <v>45036</v>
      </c>
      <c r="G34" s="8" t="s">
        <v>62</v>
      </c>
      <c r="H34" s="8" t="s">
        <v>73</v>
      </c>
      <c r="I34" s="8" t="s">
        <v>196</v>
      </c>
      <c r="J34" s="9">
        <f ca="1">VLOOKUP(Tabla1[[#This Row],[Nombre Equipo]],INDIRECT(Tabla1[[#This Row],[Proveedor calib.]]),2,FALSE)</f>
        <v>128128</v>
      </c>
      <c r="K34" s="9">
        <f ca="1">Tabla1[[#This Row],[ Valor calibración]]*1.19</f>
        <v>152472.32000000001</v>
      </c>
      <c r="L34" s="8" t="s">
        <v>492</v>
      </c>
      <c r="M34" s="16" t="s">
        <v>492</v>
      </c>
      <c r="N34" s="8" t="s">
        <v>492</v>
      </c>
      <c r="O34" s="8" t="s">
        <v>492</v>
      </c>
      <c r="P34" s="9">
        <f ca="1">VLOOKUP(Tabla1[[#This Row],[Nombre Equipo]],INDIRECT(Tabla1[[#This Row],[Proveedor prev.]]),2,FALSE)</f>
        <v>0</v>
      </c>
      <c r="Q34" s="9">
        <f ca="1">Tabla1[[#This Row],[Valor prev.]]*1.19</f>
        <v>0</v>
      </c>
      <c r="T34" s="8" t="s">
        <v>119</v>
      </c>
      <c r="U34" s="9">
        <f t="array" aca="1" ref="U34" ca="1">SUMPRODUCT((Tabla1[Nombre Equipo]=T34)*1,$K$4:$K$281)</f>
        <v>671702.64</v>
      </c>
    </row>
    <row r="35" spans="1:21" x14ac:dyDescent="0.3">
      <c r="A35" s="8" t="s">
        <v>35</v>
      </c>
      <c r="B35" s="8" t="str">
        <f>IFERROR(VLOOKUP(Tabla1[[#This Row],[Sede ]],Tabla2[[#All],[Sede]:[Departamento]],2,FALSE),"")</f>
        <v>Montería</v>
      </c>
      <c r="C35" s="8" t="str">
        <f>IFERROR(VLOOKUP(Tabla1[[#This Row],[Sede ]],Tabla2[[#All],[Sede]:[Departamento]],3,FALSE),"")</f>
        <v>Córdoba</v>
      </c>
      <c r="D35" s="8" t="s">
        <v>75</v>
      </c>
      <c r="E35" s="13" t="s">
        <v>106</v>
      </c>
      <c r="F35" s="16">
        <v>45036</v>
      </c>
      <c r="G35" s="8" t="s">
        <v>62</v>
      </c>
      <c r="H35" s="8" t="s">
        <v>73</v>
      </c>
      <c r="I35" s="8" t="s">
        <v>195</v>
      </c>
      <c r="J35" s="9">
        <f ca="1">VLOOKUP(Tabla1[[#This Row],[Nombre Equipo]],INDIRECT(Tabla1[[#This Row],[Proveedor calib.]]),2,FALSE)</f>
        <v>128128</v>
      </c>
      <c r="K35" s="9">
        <f ca="1">Tabla1[[#This Row],[ Valor calibración]]*1.19</f>
        <v>152472.32000000001</v>
      </c>
      <c r="L35" s="8" t="s">
        <v>492</v>
      </c>
      <c r="M35" s="16" t="s">
        <v>492</v>
      </c>
      <c r="N35" s="8" t="s">
        <v>492</v>
      </c>
      <c r="O35" s="8" t="s">
        <v>492</v>
      </c>
      <c r="P35" s="9">
        <f ca="1">VLOOKUP(Tabla1[[#This Row],[Nombre Equipo]],INDIRECT(Tabla1[[#This Row],[Proveedor prev.]]),2,FALSE)</f>
        <v>0</v>
      </c>
      <c r="Q35" s="9">
        <f ca="1">Tabla1[[#This Row],[Valor prev.]]*1.19</f>
        <v>0</v>
      </c>
      <c r="T35" s="8" t="s">
        <v>428</v>
      </c>
      <c r="U35" s="9">
        <f t="array" aca="1" ref="U35" ca="1">SUMPRODUCT((Tabla1[Nombre Equipo]=T35)*1,$K$4:$K$281)</f>
        <v>322966</v>
      </c>
    </row>
    <row r="36" spans="1:21" x14ac:dyDescent="0.3">
      <c r="A36" s="8" t="s">
        <v>43</v>
      </c>
      <c r="B36" s="8" t="str">
        <f>IFERROR(VLOOKUP(Tabla1[[#This Row],[Sede ]],Tabla2[[#All],[Sede]:[Departamento]],2,FALSE),"")</f>
        <v>Caldas</v>
      </c>
      <c r="C36" s="8" t="str">
        <f>IFERROR(VLOOKUP(Tabla1[[#This Row],[Sede ]],Tabla2[[#All],[Sede]:[Departamento]],3,FALSE),"")</f>
        <v>Antioquia</v>
      </c>
      <c r="D36" s="8" t="s">
        <v>75</v>
      </c>
      <c r="E36" s="13" t="s">
        <v>107</v>
      </c>
      <c r="F36" s="16">
        <v>45036</v>
      </c>
      <c r="G36" s="8" t="s">
        <v>62</v>
      </c>
      <c r="H36" s="8" t="s">
        <v>73</v>
      </c>
      <c r="I36" s="8" t="s">
        <v>194</v>
      </c>
      <c r="J36" s="9">
        <f ca="1">VLOOKUP(Tabla1[[#This Row],[Nombre Equipo]],INDIRECT(Tabla1[[#This Row],[Proveedor calib.]]),2,FALSE)</f>
        <v>128128</v>
      </c>
      <c r="K36" s="9">
        <f ca="1">Tabla1[[#This Row],[ Valor calibración]]*1.19</f>
        <v>152472.32000000001</v>
      </c>
      <c r="L36" s="8" t="s">
        <v>492</v>
      </c>
      <c r="M36" s="16" t="s">
        <v>492</v>
      </c>
      <c r="N36" s="8" t="s">
        <v>492</v>
      </c>
      <c r="O36" s="8" t="s">
        <v>492</v>
      </c>
      <c r="P36" s="9">
        <f ca="1">VLOOKUP(Tabla1[[#This Row],[Nombre Equipo]],INDIRECT(Tabla1[[#This Row],[Proveedor prev.]]),2,FALSE)</f>
        <v>0</v>
      </c>
      <c r="Q36" s="9">
        <f ca="1">Tabla1[[#This Row],[Valor prev.]]*1.19</f>
        <v>0</v>
      </c>
      <c r="T36" s="8" t="s">
        <v>155</v>
      </c>
      <c r="U36" s="9">
        <f t="array" aca="1" ref="U36" ca="1">SUMPRODUCT((Tabla1[Nombre Equipo]=T36)*1,$K$4:$K$281)</f>
        <v>322966</v>
      </c>
    </row>
    <row r="37" spans="1:21" x14ac:dyDescent="0.3">
      <c r="A37" s="8" t="s">
        <v>56</v>
      </c>
      <c r="B37" s="8" t="str">
        <f>IFERROR(VLOOKUP(Tabla1[[#This Row],[Sede ]],Tabla2[[#All],[Sede]:[Departamento]],2,FALSE),"")</f>
        <v>Bello</v>
      </c>
      <c r="C37" s="8" t="str">
        <f>IFERROR(VLOOKUP(Tabla1[[#This Row],[Sede ]],Tabla2[[#All],[Sede]:[Departamento]],3,FALSE),"")</f>
        <v>Antioquia</v>
      </c>
      <c r="D37" s="8" t="s">
        <v>75</v>
      </c>
      <c r="E37" s="13" t="s">
        <v>108</v>
      </c>
      <c r="F37" s="16">
        <v>45036</v>
      </c>
      <c r="G37" s="8" t="s">
        <v>62</v>
      </c>
      <c r="H37" s="8" t="s">
        <v>73</v>
      </c>
      <c r="I37" s="8" t="s">
        <v>193</v>
      </c>
      <c r="J37" s="9">
        <f ca="1">VLOOKUP(Tabla1[[#This Row],[Nombre Equipo]],INDIRECT(Tabla1[[#This Row],[Proveedor calib.]]),2,FALSE)</f>
        <v>128128</v>
      </c>
      <c r="K37" s="9">
        <f ca="1">Tabla1[[#This Row],[ Valor calibración]]*1.19</f>
        <v>152472.32000000001</v>
      </c>
      <c r="L37" s="8" t="s">
        <v>492</v>
      </c>
      <c r="M37" s="16" t="s">
        <v>492</v>
      </c>
      <c r="N37" s="8" t="s">
        <v>492</v>
      </c>
      <c r="O37" s="8" t="s">
        <v>492</v>
      </c>
      <c r="P37" s="9">
        <f ca="1">VLOOKUP(Tabla1[[#This Row],[Nombre Equipo]],INDIRECT(Tabla1[[#This Row],[Proveedor prev.]]),2,FALSE)</f>
        <v>0</v>
      </c>
      <c r="Q37" s="9">
        <f ca="1">Tabla1[[#This Row],[Valor prev.]]*1.19</f>
        <v>0</v>
      </c>
      <c r="T37" s="8" t="s">
        <v>411</v>
      </c>
      <c r="U37" s="9">
        <f t="array" aca="1" ref="U37" ca="1">SUMPRODUCT((Tabla1[Nombre Equipo]=T37)*1,$K$4:$K$281)</f>
        <v>0</v>
      </c>
    </row>
    <row r="38" spans="1:21" x14ac:dyDescent="0.3">
      <c r="A38" s="8" t="s">
        <v>43</v>
      </c>
      <c r="B38" s="8" t="str">
        <f>IFERROR(VLOOKUP(Tabla1[[#This Row],[Sede ]],Tabla2[[#All],[Sede]:[Departamento]],2,FALSE),"")</f>
        <v>Caldas</v>
      </c>
      <c r="C38" s="8" t="str">
        <f>IFERROR(VLOOKUP(Tabla1[[#This Row],[Sede ]],Tabla2[[#All],[Sede]:[Departamento]],3,FALSE),"")</f>
        <v>Antioquia</v>
      </c>
      <c r="D38" s="8" t="s">
        <v>75</v>
      </c>
      <c r="E38" s="13" t="s">
        <v>109</v>
      </c>
      <c r="F38" s="16">
        <v>45036</v>
      </c>
      <c r="G38" s="8" t="s">
        <v>62</v>
      </c>
      <c r="H38" s="8" t="s">
        <v>73</v>
      </c>
      <c r="I38" s="8" t="s">
        <v>192</v>
      </c>
      <c r="J38" s="9">
        <f ca="1">VLOOKUP(Tabla1[[#This Row],[Nombre Equipo]],INDIRECT(Tabla1[[#This Row],[Proveedor calib.]]),2,FALSE)</f>
        <v>128128</v>
      </c>
      <c r="K38" s="9">
        <f ca="1">Tabla1[[#This Row],[ Valor calibración]]*1.19</f>
        <v>152472.32000000001</v>
      </c>
      <c r="L38" s="8" t="s">
        <v>492</v>
      </c>
      <c r="M38" s="16" t="s">
        <v>492</v>
      </c>
      <c r="N38" s="8" t="s">
        <v>492</v>
      </c>
      <c r="O38" s="8" t="s">
        <v>492</v>
      </c>
      <c r="P38" s="9">
        <f ca="1">VLOOKUP(Tabla1[[#This Row],[Nombre Equipo]],INDIRECT(Tabla1[[#This Row],[Proveedor prev.]]),2,FALSE)</f>
        <v>0</v>
      </c>
      <c r="Q38" s="9">
        <f ca="1">Tabla1[[#This Row],[Valor prev.]]*1.19</f>
        <v>0</v>
      </c>
      <c r="T38" s="8" t="s">
        <v>156</v>
      </c>
      <c r="U38" s="9">
        <f t="array" aca="1" ref="U38" ca="1">SUMPRODUCT((Tabla1[Nombre Equipo]=T38)*1,$K$4:$K$281)</f>
        <v>183379</v>
      </c>
    </row>
    <row r="39" spans="1:21" x14ac:dyDescent="0.3">
      <c r="A39" s="8" t="s">
        <v>30</v>
      </c>
      <c r="B39" s="8" t="str">
        <f>IFERROR(VLOOKUP(Tabla1[[#This Row],[Sede ]],Tabla2[[#All],[Sede]:[Departamento]],2,FALSE),"")</f>
        <v>Medellín</v>
      </c>
      <c r="C39" s="8" t="str">
        <f>IFERROR(VLOOKUP(Tabla1[[#This Row],[Sede ]],Tabla2[[#All],[Sede]:[Departamento]],3,FALSE),"")</f>
        <v>Antioquia</v>
      </c>
      <c r="D39" s="8" t="s">
        <v>75</v>
      </c>
      <c r="E39" s="13" t="s">
        <v>110</v>
      </c>
      <c r="F39" s="16">
        <v>45036</v>
      </c>
      <c r="G39" s="8" t="s">
        <v>62</v>
      </c>
      <c r="H39" s="8" t="s">
        <v>73</v>
      </c>
      <c r="I39" s="8" t="s">
        <v>191</v>
      </c>
      <c r="J39" s="9">
        <f ca="1">VLOOKUP(Tabla1[[#This Row],[Nombre Equipo]],INDIRECT(Tabla1[[#This Row],[Proveedor calib.]]),2,FALSE)</f>
        <v>128128</v>
      </c>
      <c r="K39" s="9">
        <f ca="1">Tabla1[[#This Row],[ Valor calibración]]*1.19</f>
        <v>152472.32000000001</v>
      </c>
      <c r="L39" s="8" t="s">
        <v>492</v>
      </c>
      <c r="M39" s="16" t="s">
        <v>492</v>
      </c>
      <c r="N39" s="8" t="s">
        <v>492</v>
      </c>
      <c r="O39" s="8" t="s">
        <v>492</v>
      </c>
      <c r="P39" s="9">
        <f ca="1">VLOOKUP(Tabla1[[#This Row],[Nombre Equipo]],INDIRECT(Tabla1[[#This Row],[Proveedor prev.]]),2,FALSE)</f>
        <v>0</v>
      </c>
      <c r="Q39" s="9">
        <f ca="1">Tabla1[[#This Row],[Valor prev.]]*1.19</f>
        <v>0</v>
      </c>
      <c r="T39" s="8" t="s">
        <v>115</v>
      </c>
      <c r="U39" s="9">
        <f t="array" aca="1" ref="U39" ca="1">SUMPRODUCT((Tabla1[Nombre Equipo]=T39)*1,$K$4:$K$281)</f>
        <v>2076921.28</v>
      </c>
    </row>
    <row r="40" spans="1:21" x14ac:dyDescent="0.3">
      <c r="A40" s="8" t="s">
        <v>21</v>
      </c>
      <c r="B40" s="8" t="str">
        <f>IFERROR(VLOOKUP(Tabla1[[#This Row],[Sede ]],Tabla2[[#All],[Sede]:[Departamento]],2,FALSE),"")</f>
        <v>Medellín</v>
      </c>
      <c r="C40" s="8" t="str">
        <f>IFERROR(VLOOKUP(Tabla1[[#This Row],[Sede ]],Tabla2[[#All],[Sede]:[Departamento]],3,FALSE),"")</f>
        <v>Antioquia</v>
      </c>
      <c r="D40" s="8" t="s">
        <v>77</v>
      </c>
      <c r="E40" s="13" t="s">
        <v>374</v>
      </c>
      <c r="F40" s="16">
        <v>45035</v>
      </c>
      <c r="G40" s="8" t="s">
        <v>62</v>
      </c>
      <c r="H40" s="8" t="s">
        <v>73</v>
      </c>
      <c r="I40" s="8" t="s">
        <v>373</v>
      </c>
      <c r="J40" s="9">
        <f ca="1">VLOOKUP(Tabla1[[#This Row],[Nombre Equipo]],INDIRECT(Tabla1[[#This Row],[Proveedor calib.]]),2,FALSE)</f>
        <v>128128</v>
      </c>
      <c r="K40" s="9">
        <f ca="1">Tabla1[[#This Row],[ Valor calibración]]*1.19</f>
        <v>152472.32000000001</v>
      </c>
      <c r="L40" s="8" t="s">
        <v>492</v>
      </c>
      <c r="M40" s="16" t="s">
        <v>492</v>
      </c>
      <c r="N40" s="8" t="s">
        <v>492</v>
      </c>
      <c r="O40" s="8" t="s">
        <v>492</v>
      </c>
      <c r="P40" s="9">
        <f ca="1">VLOOKUP(Tabla1[[#This Row],[Nombre Equipo]],INDIRECT(Tabla1[[#This Row],[Proveedor prev.]]),2,FALSE)</f>
        <v>0</v>
      </c>
      <c r="Q40" s="9">
        <f ca="1">Tabla1[[#This Row],[Valor prev.]]*1.19</f>
        <v>0</v>
      </c>
      <c r="T40" s="8" t="s">
        <v>125</v>
      </c>
      <c r="U40" s="9">
        <f t="array" aca="1" ref="U40" ca="1">SUMPRODUCT((Tabla1[Nombre Equipo]=T40)*1,$K$4:$K$281)</f>
        <v>140743.67999999999</v>
      </c>
    </row>
    <row r="41" spans="1:21" x14ac:dyDescent="0.3">
      <c r="A41" s="8" t="s">
        <v>21</v>
      </c>
      <c r="B41" s="8" t="str">
        <f>IFERROR(VLOOKUP(Tabla1[[#This Row],[Sede ]],Tabla2[[#All],[Sede]:[Departamento]],2,FALSE),"")</f>
        <v>Medellín</v>
      </c>
      <c r="C41" s="8" t="str">
        <f>IFERROR(VLOOKUP(Tabla1[[#This Row],[Sede ]],Tabla2[[#All],[Sede]:[Departamento]],3,FALSE),"")</f>
        <v>Antioquia</v>
      </c>
      <c r="D41" s="8" t="s">
        <v>77</v>
      </c>
      <c r="E41" s="13" t="s">
        <v>101</v>
      </c>
      <c r="F41" s="16">
        <v>45035</v>
      </c>
      <c r="G41" s="8" t="s">
        <v>62</v>
      </c>
      <c r="H41" s="8" t="s">
        <v>73</v>
      </c>
      <c r="I41" s="8" t="s">
        <v>209</v>
      </c>
      <c r="J41" s="9">
        <f ca="1">VLOOKUP(Tabla1[[#This Row],[Nombre Equipo]],INDIRECT(Tabla1[[#This Row],[Proveedor calib.]]),2,FALSE)</f>
        <v>128128</v>
      </c>
      <c r="K41" s="9">
        <f ca="1">Tabla1[[#This Row],[ Valor calibración]]*1.19</f>
        <v>152472.32000000001</v>
      </c>
      <c r="L41" s="8" t="s">
        <v>492</v>
      </c>
      <c r="M41" s="16" t="s">
        <v>492</v>
      </c>
      <c r="N41" s="8" t="s">
        <v>492</v>
      </c>
      <c r="O41" s="8" t="s">
        <v>492</v>
      </c>
      <c r="P41" s="9">
        <f ca="1">VLOOKUP(Tabla1[[#This Row],[Nombre Equipo]],INDIRECT(Tabla1[[#This Row],[Proveedor prev.]]),2,FALSE)</f>
        <v>0</v>
      </c>
      <c r="Q41" s="9">
        <f ca="1">Tabla1[[#This Row],[Valor prev.]]*1.19</f>
        <v>0</v>
      </c>
      <c r="T41" s="8" t="s">
        <v>149</v>
      </c>
      <c r="U41" s="9">
        <f t="array" aca="1" ref="U41" ca="1">SUMPRODUCT((Tabla1[Nombre Equipo]=T41)*1,$K$4:$K$281)</f>
        <v>248829</v>
      </c>
    </row>
    <row r="42" spans="1:21" x14ac:dyDescent="0.3">
      <c r="A42" s="8" t="s">
        <v>18</v>
      </c>
      <c r="B42" s="8" t="str">
        <f>IFERROR(VLOOKUP(Tabla1[[#This Row],[Sede ]],Tabla2[[#All],[Sede]:[Departamento]],2,FALSE),"")</f>
        <v>Bogotá</v>
      </c>
      <c r="C42" s="8" t="str">
        <f>IFERROR(VLOOKUP(Tabla1[[#This Row],[Sede ]],Tabla2[[#All],[Sede]:[Departamento]],3,FALSE),"")</f>
        <v>Bogotá D.C</v>
      </c>
      <c r="D42" s="8" t="s">
        <v>121</v>
      </c>
      <c r="E42" s="13" t="s">
        <v>129</v>
      </c>
      <c r="F42" s="16">
        <v>44959</v>
      </c>
      <c r="G42" s="8" t="s">
        <v>62</v>
      </c>
      <c r="H42" s="8" t="s">
        <v>113</v>
      </c>
      <c r="I42" s="8" t="s">
        <v>131</v>
      </c>
      <c r="J42" s="9">
        <f ca="1">VLOOKUP(Tabla1[[#This Row],[Nombre Equipo]],INDIRECT(Tabla1[[#This Row],[Proveedor calib.]]),2,FALSE)</f>
        <v>107900</v>
      </c>
      <c r="K42" s="9">
        <f ca="1">Tabla1[[#This Row],[ Valor calibración]]*1.19</f>
        <v>128401</v>
      </c>
      <c r="L42" s="8" t="s">
        <v>492</v>
      </c>
      <c r="M42" s="16" t="s">
        <v>492</v>
      </c>
      <c r="N42" s="8" t="s">
        <v>492</v>
      </c>
      <c r="O42" s="8" t="s">
        <v>492</v>
      </c>
      <c r="P42" s="9">
        <f ca="1">VLOOKUP(Tabla1[[#This Row],[Nombre Equipo]],INDIRECT(Tabla1[[#This Row],[Proveedor prev.]]),2,FALSE)</f>
        <v>0</v>
      </c>
      <c r="Q42" s="9">
        <f ca="1">Tabla1[[#This Row],[Valor prev.]]*1.19</f>
        <v>0</v>
      </c>
      <c r="T42" s="8" t="s">
        <v>75</v>
      </c>
      <c r="U42" s="9">
        <f t="array" aca="1" ref="U42" ca="1">SUMPRODUCT((Tabla1[Nombre Equipo]=T42)*1,$K$4:$K$281)</f>
        <v>4760923.4399999995</v>
      </c>
    </row>
    <row r="43" spans="1:21" x14ac:dyDescent="0.3">
      <c r="A43" s="8" t="s">
        <v>35</v>
      </c>
      <c r="B43" s="8" t="str">
        <f>IFERROR(VLOOKUP(Tabla1[[#This Row],[Sede ]],Tabla2[[#All],[Sede]:[Departamento]],2,FALSE),"")</f>
        <v>Montería</v>
      </c>
      <c r="C43" s="8" t="str">
        <f>IFERROR(VLOOKUP(Tabla1[[#This Row],[Sede ]],Tabla2[[#All],[Sede]:[Departamento]],3,FALSE),"")</f>
        <v>Córdoba</v>
      </c>
      <c r="D43" s="8" t="s">
        <v>117</v>
      </c>
      <c r="E43" s="13" t="s">
        <v>134</v>
      </c>
      <c r="F43" s="16">
        <v>44959</v>
      </c>
      <c r="G43" s="8" t="s">
        <v>62</v>
      </c>
      <c r="H43" s="8" t="s">
        <v>113</v>
      </c>
      <c r="I43" s="8" t="s">
        <v>135</v>
      </c>
      <c r="J43" s="9">
        <f ca="1">VLOOKUP(Tabla1[[#This Row],[Nombre Equipo]],INDIRECT(Tabla1[[#This Row],[Proveedor calib.]]),2,FALSE)</f>
        <v>135700</v>
      </c>
      <c r="K43" s="9">
        <f ca="1">Tabla1[[#This Row],[ Valor calibración]]*1.19</f>
        <v>161483</v>
      </c>
      <c r="L43" s="8" t="s">
        <v>65</v>
      </c>
      <c r="M43" s="16">
        <v>45030</v>
      </c>
      <c r="N43" s="8" t="s">
        <v>74</v>
      </c>
      <c r="O43" s="8">
        <v>59792</v>
      </c>
      <c r="P43" s="9">
        <f ca="1">VLOOKUP(Tabla1[[#This Row],[Nombre Equipo]],INDIRECT(Tabla1[[#This Row],[Proveedor prev.]]),2,FALSE)</f>
        <v>45000</v>
      </c>
      <c r="Q43" s="9">
        <f ca="1">Tabla1[[#This Row],[Valor prev.]]*1.19</f>
        <v>53550</v>
      </c>
      <c r="T43" s="8" t="s">
        <v>77</v>
      </c>
      <c r="U43" s="9">
        <f t="array" aca="1" ref="U43" ca="1">SUMPRODUCT((Tabla1[Nombre Equipo]=T43)*1,$K$4:$K$281)</f>
        <v>1974157.6400000001</v>
      </c>
    </row>
    <row r="44" spans="1:21" x14ac:dyDescent="0.3">
      <c r="A44" s="8" t="s">
        <v>37</v>
      </c>
      <c r="B44" s="8" t="str">
        <f>IFERROR(VLOOKUP(Tabla1[[#This Row],[Sede ]],Tabla2[[#All],[Sede]:[Departamento]],2,FALSE),"")</f>
        <v>Montería</v>
      </c>
      <c r="C44" s="8" t="str">
        <f>IFERROR(VLOOKUP(Tabla1[[#This Row],[Sede ]],Tabla2[[#All],[Sede]:[Departamento]],3,FALSE),"")</f>
        <v>Córdoba</v>
      </c>
      <c r="D44" s="8" t="s">
        <v>114</v>
      </c>
      <c r="E44" s="13" t="s">
        <v>159</v>
      </c>
      <c r="F44" s="16">
        <v>44964</v>
      </c>
      <c r="G44" s="8" t="s">
        <v>62</v>
      </c>
      <c r="H44" s="8" t="s">
        <v>113</v>
      </c>
      <c r="I44" s="8" t="s">
        <v>307</v>
      </c>
      <c r="J44" s="9">
        <f ca="1">VLOOKUP(Tabla1[[#This Row],[Nombre Equipo]],INDIRECT(Tabla1[[#This Row],[Proveedor calib.]]),2,FALSE)</f>
        <v>135700</v>
      </c>
      <c r="K44" s="9">
        <f ca="1">Tabla1[[#This Row],[ Valor calibración]]*1.19</f>
        <v>161483</v>
      </c>
      <c r="L44" s="8" t="s">
        <v>492</v>
      </c>
      <c r="M44" s="16" t="s">
        <v>492</v>
      </c>
      <c r="N44" s="8" t="s">
        <v>492</v>
      </c>
      <c r="O44" s="8" t="s">
        <v>492</v>
      </c>
      <c r="P44" s="9">
        <f ca="1">VLOOKUP(Tabla1[[#This Row],[Nombre Equipo]],INDIRECT(Tabla1[[#This Row],[Proveedor prev.]]),2,FALSE)</f>
        <v>0</v>
      </c>
      <c r="Q44" s="9">
        <f ca="1">Tabla1[[#This Row],[Valor prev.]]*1.19</f>
        <v>0</v>
      </c>
      <c r="T44" s="8" t="s">
        <v>121</v>
      </c>
      <c r="U44" s="9">
        <f t="array" aca="1" ref="U44" ca="1">SUMPRODUCT((Tabla1[Nombre Equipo]=T44)*1,$K$4:$K$281)</f>
        <v>316302</v>
      </c>
    </row>
    <row r="45" spans="1:21" x14ac:dyDescent="0.3">
      <c r="A45" s="8" t="s">
        <v>35</v>
      </c>
      <c r="B45" s="8" t="str">
        <f>IFERROR(VLOOKUP(Tabla1[[#This Row],[Sede ]],Tabla2[[#All],[Sede]:[Departamento]],2,FALSE),"")</f>
        <v>Montería</v>
      </c>
      <c r="C45" s="8" t="str">
        <f>IFERROR(VLOOKUP(Tabla1[[#This Row],[Sede ]],Tabla2[[#All],[Sede]:[Departamento]],3,FALSE),"")</f>
        <v>Córdoba</v>
      </c>
      <c r="D45" s="8" t="s">
        <v>118</v>
      </c>
      <c r="E45" s="13" t="s">
        <v>157</v>
      </c>
      <c r="F45" s="16">
        <v>44964</v>
      </c>
      <c r="G45" s="8" t="s">
        <v>62</v>
      </c>
      <c r="H45" s="8" t="s">
        <v>113</v>
      </c>
      <c r="I45" s="8" t="s">
        <v>158</v>
      </c>
      <c r="J45" s="9">
        <f ca="1">VLOOKUP(Tabla1[[#This Row],[Nombre Equipo]],INDIRECT(Tabla1[[#This Row],[Proveedor calib.]]),2,FALSE)</f>
        <v>135700</v>
      </c>
      <c r="K45" s="9">
        <f ca="1">Tabla1[[#This Row],[ Valor calibración]]*1.19</f>
        <v>161483</v>
      </c>
      <c r="L45" s="8" t="s">
        <v>65</v>
      </c>
      <c r="M45" s="16">
        <v>45030</v>
      </c>
      <c r="N45" s="8" t="s">
        <v>74</v>
      </c>
      <c r="O45" s="8">
        <v>59807</v>
      </c>
      <c r="P45" s="9">
        <f ca="1">VLOOKUP(Tabla1[[#This Row],[Nombre Equipo]],INDIRECT(Tabla1[[#This Row],[Proveedor prev.]]),2,FALSE)</f>
        <v>45000</v>
      </c>
      <c r="Q45" s="9">
        <f ca="1">Tabla1[[#This Row],[Valor prev.]]*1.19</f>
        <v>53550</v>
      </c>
      <c r="T45" s="8" t="s">
        <v>120</v>
      </c>
      <c r="U45" s="9">
        <f t="array" aca="1" ref="U45" ca="1">SUMPRODUCT((Tabla1[Nombre Equipo]=T45)*1,$K$4:$K$281)</f>
        <v>770406</v>
      </c>
    </row>
    <row r="46" spans="1:21" x14ac:dyDescent="0.3">
      <c r="A46" s="8" t="s">
        <v>37</v>
      </c>
      <c r="B46" s="8" t="str">
        <f>IFERROR(VLOOKUP(Tabla1[[#This Row],[Sede ]],Tabla2[[#All],[Sede]:[Departamento]],2,FALSE),"")</f>
        <v>Montería</v>
      </c>
      <c r="C46" s="8" t="str">
        <f>IFERROR(VLOOKUP(Tabla1[[#This Row],[Sede ]],Tabla2[[#All],[Sede]:[Departamento]],3,FALSE),"")</f>
        <v>Córdoba</v>
      </c>
      <c r="D46" s="8" t="s">
        <v>156</v>
      </c>
      <c r="E46" s="13" t="s">
        <v>153</v>
      </c>
      <c r="F46" s="16">
        <v>44965</v>
      </c>
      <c r="G46" s="8" t="s">
        <v>62</v>
      </c>
      <c r="H46" s="8" t="s">
        <v>113</v>
      </c>
      <c r="I46" s="8" t="s">
        <v>154</v>
      </c>
      <c r="J46" s="9">
        <f ca="1">VLOOKUP(Tabla1[[#This Row],[Nombre Equipo]],INDIRECT(Tabla1[[#This Row],[Proveedor calib.]]),2,FALSE)</f>
        <v>154100</v>
      </c>
      <c r="K46" s="9">
        <f ca="1">Tabla1[[#This Row],[ Valor calibración]]*1.19</f>
        <v>183379</v>
      </c>
      <c r="L46" s="8" t="s">
        <v>65</v>
      </c>
      <c r="M46" s="16">
        <v>45045</v>
      </c>
      <c r="N46" s="8" t="s">
        <v>74</v>
      </c>
      <c r="O46" s="8">
        <v>59898</v>
      </c>
      <c r="P46" s="9">
        <f ca="1">VLOOKUP(Tabla1[[#This Row],[Nombre Equipo]],INDIRECT(Tabla1[[#This Row],[Proveedor prev.]]),2,FALSE)</f>
        <v>45000</v>
      </c>
      <c r="Q46" s="9">
        <f ca="1">Tabla1[[#This Row],[Valor prev.]]*1.19</f>
        <v>53550</v>
      </c>
      <c r="T46" s="40" t="s">
        <v>573</v>
      </c>
      <c r="U46" s="41">
        <f ca="1" xml:space="preserve"> SUM(U22:U45)</f>
        <v>20321130.200000003</v>
      </c>
    </row>
    <row r="47" spans="1:21" x14ac:dyDescent="0.3">
      <c r="A47" s="8" t="s">
        <v>35</v>
      </c>
      <c r="B47" s="8" t="str">
        <f>IFERROR(VLOOKUP(Tabla1[[#This Row],[Sede ]],Tabla2[[#All],[Sede]:[Departamento]],2,FALSE),"")</f>
        <v>Montería</v>
      </c>
      <c r="C47" s="8" t="str">
        <f>IFERROR(VLOOKUP(Tabla1[[#This Row],[Sede ]],Tabla2[[#All],[Sede]:[Departamento]],3,FALSE),"")</f>
        <v>Córdoba</v>
      </c>
      <c r="D47" s="8" t="s">
        <v>118</v>
      </c>
      <c r="E47" s="13" t="s">
        <v>151</v>
      </c>
      <c r="F47" s="16">
        <v>44964</v>
      </c>
      <c r="G47" s="8" t="s">
        <v>62</v>
      </c>
      <c r="H47" s="8" t="s">
        <v>113</v>
      </c>
      <c r="I47" s="8" t="s">
        <v>152</v>
      </c>
      <c r="J47" s="9">
        <f ca="1">VLOOKUP(Tabla1[[#This Row],[Nombre Equipo]],INDIRECT(Tabla1[[#This Row],[Proveedor calib.]]),2,FALSE)</f>
        <v>135700</v>
      </c>
      <c r="K47" s="9">
        <f ca="1">Tabla1[[#This Row],[ Valor calibración]]*1.19</f>
        <v>161483</v>
      </c>
      <c r="L47" s="8" t="s">
        <v>492</v>
      </c>
      <c r="M47" s="16" t="s">
        <v>492</v>
      </c>
      <c r="N47" s="8" t="s">
        <v>492</v>
      </c>
      <c r="O47" s="8" t="s">
        <v>492</v>
      </c>
      <c r="P47" s="9">
        <f ca="1">VLOOKUP(Tabla1[[#This Row],[Nombre Equipo]],INDIRECT(Tabla1[[#This Row],[Proveedor prev.]]),2,FALSE)</f>
        <v>0</v>
      </c>
      <c r="Q47" s="9">
        <f ca="1">Tabla1[[#This Row],[Valor prev.]]*1.19</f>
        <v>0</v>
      </c>
      <c r="U47" s="32"/>
    </row>
    <row r="48" spans="1:21" x14ac:dyDescent="0.3">
      <c r="A48" s="8" t="s">
        <v>30</v>
      </c>
      <c r="B48" s="8" t="str">
        <f>IFERROR(VLOOKUP(Tabla1[[#This Row],[Sede ]],Tabla2[[#All],[Sede]:[Departamento]],2,FALSE),"")</f>
        <v>Medellín</v>
      </c>
      <c r="C48" s="8" t="str">
        <f>IFERROR(VLOOKUP(Tabla1[[#This Row],[Sede ]],Tabla2[[#All],[Sede]:[Departamento]],3,FALSE),"")</f>
        <v>Antioquia</v>
      </c>
      <c r="D48" s="8" t="s">
        <v>155</v>
      </c>
      <c r="E48" s="13" t="s">
        <v>148</v>
      </c>
      <c r="F48" s="16">
        <v>44964</v>
      </c>
      <c r="G48" s="8" t="s">
        <v>62</v>
      </c>
      <c r="H48" s="8" t="s">
        <v>113</v>
      </c>
      <c r="I48" s="8" t="s">
        <v>150</v>
      </c>
      <c r="J48" s="9">
        <f ca="1">VLOOKUP(Tabla1[[#This Row],[Nombre Equipo]],INDIRECT(Tabla1[[#This Row],[Proveedor calib.]]),2,FALSE)</f>
        <v>135700</v>
      </c>
      <c r="K48" s="9">
        <f ca="1">Tabla1[[#This Row],[ Valor calibración]]*1.19</f>
        <v>161483</v>
      </c>
      <c r="L48" s="8" t="s">
        <v>492</v>
      </c>
      <c r="M48" s="16" t="s">
        <v>492</v>
      </c>
      <c r="N48" s="8" t="s">
        <v>492</v>
      </c>
      <c r="O48" s="8" t="s">
        <v>492</v>
      </c>
      <c r="P48" s="9">
        <f ca="1">VLOOKUP(Tabla1[[#This Row],[Nombre Equipo]],INDIRECT(Tabla1[[#This Row],[Proveedor prev.]]),2,FALSE)</f>
        <v>0</v>
      </c>
      <c r="Q48" s="9">
        <f ca="1">Tabla1[[#This Row],[Valor prev.]]*1.19</f>
        <v>0</v>
      </c>
    </row>
    <row r="49" spans="1:22" x14ac:dyDescent="0.3">
      <c r="A49" s="8" t="s">
        <v>37</v>
      </c>
      <c r="B49" s="8" t="str">
        <f>IFERROR(VLOOKUP(Tabla1[[#This Row],[Sede ]],Tabla2[[#All],[Sede]:[Departamento]],2,FALSE),"")</f>
        <v>Montería</v>
      </c>
      <c r="C49" s="8" t="str">
        <f>IFERROR(VLOOKUP(Tabla1[[#This Row],[Sede ]],Tabla2[[#All],[Sede]:[Departamento]],3,FALSE),"")</f>
        <v>Córdoba</v>
      </c>
      <c r="D49" s="8" t="s">
        <v>115</v>
      </c>
      <c r="E49" s="13" t="s">
        <v>146</v>
      </c>
      <c r="F49" s="16">
        <v>44964</v>
      </c>
      <c r="G49" s="8" t="s">
        <v>62</v>
      </c>
      <c r="H49" s="8" t="s">
        <v>113</v>
      </c>
      <c r="I49" s="8" t="s">
        <v>147</v>
      </c>
      <c r="J49" s="9">
        <f ca="1">VLOOKUP(Tabla1[[#This Row],[Nombre Equipo]],INDIRECT(Tabla1[[#This Row],[Proveedor calib.]]),2,FALSE)</f>
        <v>154100</v>
      </c>
      <c r="K49" s="9">
        <f ca="1">Tabla1[[#This Row],[ Valor calibración]]*1.19</f>
        <v>183379</v>
      </c>
      <c r="L49" s="8" t="s">
        <v>65</v>
      </c>
      <c r="M49" s="16">
        <v>45030</v>
      </c>
      <c r="N49" s="8" t="s">
        <v>74</v>
      </c>
      <c r="O49" s="8">
        <v>59812</v>
      </c>
      <c r="P49" s="9">
        <f ca="1">VLOOKUP(Tabla1[[#This Row],[Nombre Equipo]],INDIRECT(Tabla1[[#This Row],[Proveedor prev.]]),2,FALSE)</f>
        <v>45000</v>
      </c>
      <c r="Q49" s="9">
        <f ca="1">Tabla1[[#This Row],[Valor prev.]]*1.19</f>
        <v>53550</v>
      </c>
      <c r="S49" s="138" t="s">
        <v>576</v>
      </c>
      <c r="T49" s="138"/>
      <c r="U49" s="138"/>
      <c r="V49" s="138"/>
    </row>
    <row r="50" spans="1:22" ht="14.4" thickBot="1" x14ac:dyDescent="0.35">
      <c r="A50" s="8" t="s">
        <v>37</v>
      </c>
      <c r="B50" s="8" t="str">
        <f>IFERROR(VLOOKUP(Tabla1[[#This Row],[Sede ]],Tabla2[[#All],[Sede]:[Departamento]],2,FALSE),"")</f>
        <v>Montería</v>
      </c>
      <c r="C50" s="8" t="str">
        <f>IFERROR(VLOOKUP(Tabla1[[#This Row],[Sede ]],Tabla2[[#All],[Sede]:[Departamento]],3,FALSE),"")</f>
        <v>Córdoba</v>
      </c>
      <c r="D50" s="8" t="s">
        <v>149</v>
      </c>
      <c r="E50" s="13" t="s">
        <v>144</v>
      </c>
      <c r="F50" s="16">
        <v>44960</v>
      </c>
      <c r="G50" s="8" t="s">
        <v>62</v>
      </c>
      <c r="H50" s="8" t="s">
        <v>113</v>
      </c>
      <c r="I50" s="8" t="s">
        <v>145</v>
      </c>
      <c r="J50" s="9">
        <f ca="1">VLOOKUP(Tabla1[[#This Row],[Nombre Equipo]],INDIRECT(Tabla1[[#This Row],[Proveedor calib.]]),2,FALSE)</f>
        <v>69700</v>
      </c>
      <c r="K50" s="9">
        <f ca="1">Tabla1[[#This Row],[ Valor calibración]]*1.19</f>
        <v>82943</v>
      </c>
      <c r="L50" s="8" t="s">
        <v>65</v>
      </c>
      <c r="M50" s="16">
        <v>45045</v>
      </c>
      <c r="N50" s="8" t="s">
        <v>74</v>
      </c>
      <c r="O50" s="8">
        <v>59902</v>
      </c>
      <c r="P50" s="9">
        <f ca="1">VLOOKUP(Tabla1[[#This Row],[Nombre Equipo]],INDIRECT(Tabla1[[#This Row],[Proveedor prev.]]),2,FALSE)</f>
        <v>45000</v>
      </c>
      <c r="Q50" s="9">
        <f ca="1">Tabla1[[#This Row],[Valor prev.]]*1.19</f>
        <v>53550</v>
      </c>
      <c r="S50" s="139"/>
      <c r="T50" s="139"/>
      <c r="U50" s="139"/>
      <c r="V50" s="139"/>
    </row>
    <row r="51" spans="1:22" ht="14.4" thickTop="1" x14ac:dyDescent="0.3">
      <c r="A51" s="8" t="s">
        <v>35</v>
      </c>
      <c r="B51" s="8" t="str">
        <f>IFERROR(VLOOKUP(Tabla1[[#This Row],[Sede ]],Tabla2[[#All],[Sede]:[Departamento]],2,FALSE),"")</f>
        <v>Montería</v>
      </c>
      <c r="C51" s="8" t="str">
        <f>IFERROR(VLOOKUP(Tabla1[[#This Row],[Sede ]],Tabla2[[#All],[Sede]:[Departamento]],3,FALSE),"")</f>
        <v>Córdoba</v>
      </c>
      <c r="D51" s="8" t="s">
        <v>118</v>
      </c>
      <c r="E51" s="13" t="s">
        <v>142</v>
      </c>
      <c r="F51" s="16">
        <v>44960</v>
      </c>
      <c r="G51" s="8" t="s">
        <v>62</v>
      </c>
      <c r="H51" s="8" t="s">
        <v>113</v>
      </c>
      <c r="I51" s="8" t="s">
        <v>143</v>
      </c>
      <c r="J51" s="9">
        <f ca="1">VLOOKUP(Tabla1[[#This Row],[Nombre Equipo]],INDIRECT(Tabla1[[#This Row],[Proveedor calib.]]),2,FALSE)</f>
        <v>135700</v>
      </c>
      <c r="K51" s="9">
        <f ca="1">Tabla1[[#This Row],[ Valor calibración]]*1.19</f>
        <v>161483</v>
      </c>
      <c r="L51" s="8" t="s">
        <v>492</v>
      </c>
      <c r="M51" s="16" t="s">
        <v>492</v>
      </c>
      <c r="N51" s="8" t="s">
        <v>492</v>
      </c>
      <c r="O51" s="8" t="s">
        <v>492</v>
      </c>
      <c r="P51" s="9">
        <f ca="1">VLOOKUP(Tabla1[[#This Row],[Nombre Equipo]],INDIRECT(Tabla1[[#This Row],[Proveedor prev.]]),2,FALSE)</f>
        <v>0</v>
      </c>
      <c r="Q51" s="9">
        <f ca="1">Tabla1[[#This Row],[Valor prev.]]*1.19</f>
        <v>0</v>
      </c>
      <c r="U51" s="32"/>
    </row>
    <row r="52" spans="1:22" x14ac:dyDescent="0.3">
      <c r="A52" s="8" t="s">
        <v>35</v>
      </c>
      <c r="B52" s="8" t="str">
        <f>IFERROR(VLOOKUP(Tabla1[[#This Row],[Sede ]],Tabla2[[#All],[Sede]:[Departamento]],2,FALSE),"")</f>
        <v>Montería</v>
      </c>
      <c r="C52" s="8" t="str">
        <f>IFERROR(VLOOKUP(Tabla1[[#This Row],[Sede ]],Tabla2[[#All],[Sede]:[Departamento]],3,FALSE),"")</f>
        <v>Córdoba</v>
      </c>
      <c r="D52" s="8" t="s">
        <v>114</v>
      </c>
      <c r="E52" s="13" t="s">
        <v>140</v>
      </c>
      <c r="F52" s="16">
        <v>44960</v>
      </c>
      <c r="G52" s="8" t="s">
        <v>62</v>
      </c>
      <c r="H52" s="8" t="s">
        <v>113</v>
      </c>
      <c r="I52" s="8" t="s">
        <v>141</v>
      </c>
      <c r="J52" s="9">
        <f ca="1">VLOOKUP(Tabla1[[#This Row],[Nombre Equipo]],INDIRECT(Tabla1[[#This Row],[Proveedor calib.]]),2,FALSE)</f>
        <v>135700</v>
      </c>
      <c r="K52" s="9">
        <f ca="1">Tabla1[[#This Row],[ Valor calibración]]*1.19</f>
        <v>161483</v>
      </c>
      <c r="L52" s="8" t="s">
        <v>65</v>
      </c>
      <c r="M52" s="16">
        <v>45030</v>
      </c>
      <c r="N52" s="8" t="s">
        <v>74</v>
      </c>
      <c r="O52" s="8">
        <v>59797</v>
      </c>
      <c r="P52" s="9">
        <f ca="1">VLOOKUP(Tabla1[[#This Row],[Nombre Equipo]],INDIRECT(Tabla1[[#This Row],[Proveedor prev.]]),2,FALSE)</f>
        <v>45000</v>
      </c>
      <c r="Q52" s="9">
        <f ca="1">Tabla1[[#This Row],[Valor prev.]]*1.19</f>
        <v>53550</v>
      </c>
      <c r="T52" s="35" t="s">
        <v>111</v>
      </c>
      <c r="U52" s="35" t="s">
        <v>571</v>
      </c>
    </row>
    <row r="53" spans="1:22" x14ac:dyDescent="0.3">
      <c r="A53" s="8" t="s">
        <v>35</v>
      </c>
      <c r="B53" s="8" t="str">
        <f>IFERROR(VLOOKUP(Tabla1[[#This Row],[Sede ]],Tabla2[[#All],[Sede]:[Departamento]],2,FALSE),"")</f>
        <v>Montería</v>
      </c>
      <c r="C53" s="8" t="str">
        <f>IFERROR(VLOOKUP(Tabla1[[#This Row],[Sede ]],Tabla2[[#All],[Sede]:[Departamento]],3,FALSE),"")</f>
        <v>Córdoba</v>
      </c>
      <c r="D53" s="8" t="s">
        <v>114</v>
      </c>
      <c r="E53" s="13" t="s">
        <v>138</v>
      </c>
      <c r="F53" s="16">
        <v>44959</v>
      </c>
      <c r="G53" s="8" t="s">
        <v>62</v>
      </c>
      <c r="H53" s="8" t="s">
        <v>113</v>
      </c>
      <c r="I53" s="8" t="s">
        <v>139</v>
      </c>
      <c r="J53" s="9">
        <f ca="1">VLOOKUP(Tabla1[[#This Row],[Nombre Equipo]],INDIRECT(Tabla1[[#This Row],[Proveedor calib.]]),2,FALSE)</f>
        <v>135700</v>
      </c>
      <c r="K53" s="9">
        <f ca="1">Tabla1[[#This Row],[ Valor calibración]]*1.19</f>
        <v>161483</v>
      </c>
      <c r="L53" s="8" t="s">
        <v>492</v>
      </c>
      <c r="M53" s="16" t="s">
        <v>492</v>
      </c>
      <c r="N53" s="8" t="s">
        <v>492</v>
      </c>
      <c r="O53" s="8" t="s">
        <v>492</v>
      </c>
      <c r="P53" s="9">
        <f ca="1">VLOOKUP(Tabla1[[#This Row],[Nombre Equipo]],INDIRECT(Tabla1[[#This Row],[Proveedor prev.]]),2,FALSE)</f>
        <v>0</v>
      </c>
      <c r="Q53" s="9">
        <f ca="1">Tabla1[[#This Row],[Valor prev.]]*1.19</f>
        <v>0</v>
      </c>
      <c r="T53" s="8" t="s">
        <v>294</v>
      </c>
      <c r="U53" s="9">
        <f t="array" aca="1" ref="U53" ca="1">SUMPRODUCT((Tabla1[Nombre Equipo]=T53)*1,Tabla1[Valor Prev + IVA])</f>
        <v>154700</v>
      </c>
    </row>
    <row r="54" spans="1:22" x14ac:dyDescent="0.3">
      <c r="A54" s="8" t="s">
        <v>35</v>
      </c>
      <c r="B54" s="8" t="str">
        <f>IFERROR(VLOOKUP(Tabla1[[#This Row],[Sede ]],Tabla2[[#All],[Sede]:[Departamento]],2,FALSE),"")</f>
        <v>Montería</v>
      </c>
      <c r="C54" s="8" t="str">
        <f>IFERROR(VLOOKUP(Tabla1[[#This Row],[Sede ]],Tabla2[[#All],[Sede]:[Departamento]],3,FALSE),"")</f>
        <v>Córdoba</v>
      </c>
      <c r="D54" s="8" t="s">
        <v>117</v>
      </c>
      <c r="E54" s="13" t="s">
        <v>136</v>
      </c>
      <c r="F54" s="16">
        <v>44959</v>
      </c>
      <c r="G54" s="8" t="s">
        <v>62</v>
      </c>
      <c r="H54" s="8" t="s">
        <v>113</v>
      </c>
      <c r="I54" s="8" t="s">
        <v>137</v>
      </c>
      <c r="J54" s="9">
        <f ca="1">VLOOKUP(Tabla1[[#This Row],[Nombre Equipo]],INDIRECT(Tabla1[[#This Row],[Proveedor calib.]]),2,FALSE)</f>
        <v>135700</v>
      </c>
      <c r="K54" s="9">
        <f ca="1">Tabla1[[#This Row],[ Valor calibración]]*1.19</f>
        <v>161483</v>
      </c>
      <c r="L54" s="8" t="s">
        <v>65</v>
      </c>
      <c r="M54" s="16">
        <v>45030</v>
      </c>
      <c r="N54" s="8" t="s">
        <v>74</v>
      </c>
      <c r="O54" s="8">
        <v>59794</v>
      </c>
      <c r="P54" s="9">
        <f ca="1">VLOOKUP(Tabla1[[#This Row],[Nombre Equipo]],INDIRECT(Tabla1[[#This Row],[Proveedor prev.]]),2,FALSE)</f>
        <v>45000</v>
      </c>
      <c r="Q54" s="9">
        <f ca="1">Tabla1[[#This Row],[Valor prev.]]*1.19</f>
        <v>53550</v>
      </c>
      <c r="T54" s="8" t="s">
        <v>388</v>
      </c>
      <c r="U54" s="9">
        <f t="array" aca="1" ref="U54" ca="1">SUMPRODUCT((Tabla1[Nombre Equipo]=T54)*1,Tabla1[Valor Prev + IVA])</f>
        <v>89250</v>
      </c>
    </row>
    <row r="55" spans="1:22" x14ac:dyDescent="0.3">
      <c r="A55" s="8" t="s">
        <v>35</v>
      </c>
      <c r="B55" s="8" t="str">
        <f>IFERROR(VLOOKUP(Tabla1[[#This Row],[Sede ]],Tabla2[[#All],[Sede]:[Departamento]],2,FALSE),"")</f>
        <v>Montería</v>
      </c>
      <c r="C55" s="8" t="str">
        <f>IFERROR(VLOOKUP(Tabla1[[#This Row],[Sede ]],Tabla2[[#All],[Sede]:[Departamento]],3,FALSE),"")</f>
        <v>Córdoba</v>
      </c>
      <c r="D55" s="8" t="s">
        <v>115</v>
      </c>
      <c r="E55" s="13" t="s">
        <v>132</v>
      </c>
      <c r="F55" s="16">
        <v>44959</v>
      </c>
      <c r="G55" s="8" t="s">
        <v>62</v>
      </c>
      <c r="H55" s="8" t="s">
        <v>113</v>
      </c>
      <c r="I55" s="8" t="s">
        <v>133</v>
      </c>
      <c r="J55" s="9">
        <f ca="1">VLOOKUP(Tabla1[[#This Row],[Nombre Equipo]],INDIRECT(Tabla1[[#This Row],[Proveedor calib.]]),2,FALSE)</f>
        <v>154100</v>
      </c>
      <c r="K55" s="9">
        <f ca="1">Tabla1[[#This Row],[ Valor calibración]]*1.19</f>
        <v>183379</v>
      </c>
      <c r="L55" s="8" t="s">
        <v>492</v>
      </c>
      <c r="M55" s="16" t="s">
        <v>492</v>
      </c>
      <c r="N55" s="8" t="s">
        <v>492</v>
      </c>
      <c r="O55" s="8" t="s">
        <v>492</v>
      </c>
      <c r="P55" s="9">
        <f ca="1">VLOOKUP(Tabla1[[#This Row],[Nombre Equipo]],INDIRECT(Tabla1[[#This Row],[Proveedor prev.]]),2,FALSE)</f>
        <v>0</v>
      </c>
      <c r="Q55" s="9">
        <f ca="1">Tabla1[[#This Row],[Valor prev.]]*1.19</f>
        <v>0</v>
      </c>
      <c r="T55" s="8" t="s">
        <v>123</v>
      </c>
      <c r="U55" s="9">
        <f t="array" aca="1" ref="U55" ca="1">SUMPRODUCT((Tabla1[Nombre Equipo]=T55)*1,Tabla1[Valor Prev + IVA])</f>
        <v>267750</v>
      </c>
    </row>
    <row r="56" spans="1:22" x14ac:dyDescent="0.3">
      <c r="A56" s="8" t="s">
        <v>30</v>
      </c>
      <c r="B56" s="8" t="str">
        <f>IFERROR(VLOOKUP(Tabla1[[#This Row],[Sede ]],Tabla2[[#All],[Sede]:[Departamento]],2,FALSE),"")</f>
        <v>Medellín</v>
      </c>
      <c r="C56" s="8" t="str">
        <f>IFERROR(VLOOKUP(Tabla1[[#This Row],[Sede ]],Tabla2[[#All],[Sede]:[Departamento]],3,FALSE),"")</f>
        <v>Antioquia</v>
      </c>
      <c r="D56" s="8" t="s">
        <v>118</v>
      </c>
      <c r="E56" s="13" t="s">
        <v>392</v>
      </c>
      <c r="F56" s="16" t="s">
        <v>492</v>
      </c>
      <c r="G56" s="8" t="s">
        <v>492</v>
      </c>
      <c r="H56" s="8" t="s">
        <v>492</v>
      </c>
      <c r="I56" s="8" t="s">
        <v>492</v>
      </c>
      <c r="J56" s="9">
        <f ca="1">VLOOKUP(Tabla1[[#This Row],[Nombre Equipo]],INDIRECT(Tabla1[[#This Row],[Proveedor calib.]]),2,FALSE)</f>
        <v>0</v>
      </c>
      <c r="K56" s="9">
        <f ca="1">Tabla1[[#This Row],[ Valor calibración]]*1.19</f>
        <v>0</v>
      </c>
      <c r="L56" s="8" t="s">
        <v>65</v>
      </c>
      <c r="M56" s="16">
        <v>44963</v>
      </c>
      <c r="N56" s="8" t="s">
        <v>74</v>
      </c>
      <c r="O56" s="17">
        <v>59302</v>
      </c>
      <c r="P56" s="9">
        <f ca="1">VLOOKUP(Tabla1[[#This Row],[Nombre Equipo]],INDIRECT(Tabla1[[#This Row],[Proveedor prev.]]),2,FALSE)</f>
        <v>45000</v>
      </c>
      <c r="Q56" s="9">
        <f ca="1">Tabla1[[#This Row],[Valor prev.]]*1.19</f>
        <v>53550</v>
      </c>
      <c r="T56" s="8" t="s">
        <v>526</v>
      </c>
      <c r="U56" s="9">
        <f t="array" aca="1" ref="U56" ca="1">SUMPRODUCT((Tabla1[Nombre Equipo]=T56)*1,Tabla1[Valor Prev + IVA])</f>
        <v>0</v>
      </c>
    </row>
    <row r="57" spans="1:22" x14ac:dyDescent="0.3">
      <c r="A57" s="8" t="s">
        <v>38</v>
      </c>
      <c r="B57" s="8" t="str">
        <f>IFERROR(VLOOKUP(Tabla1[[#This Row],[Sede ]],Tabla2[[#All],[Sede]:[Departamento]],2,FALSE),"")</f>
        <v>Villavicencio</v>
      </c>
      <c r="C57" s="8" t="str">
        <f>IFERROR(VLOOKUP(Tabla1[[#This Row],[Sede ]],Tabla2[[#All],[Sede]:[Departamento]],3,FALSE),"")</f>
        <v>Meta</v>
      </c>
      <c r="D57" s="8" t="s">
        <v>116</v>
      </c>
      <c r="E57" s="13" t="s">
        <v>394</v>
      </c>
      <c r="F57" s="16" t="s">
        <v>492</v>
      </c>
      <c r="G57" s="8" t="s">
        <v>492</v>
      </c>
      <c r="H57" s="8" t="s">
        <v>492</v>
      </c>
      <c r="I57" s="8" t="s">
        <v>492</v>
      </c>
      <c r="J57" s="9">
        <f ca="1">VLOOKUP(Tabla1[[#This Row],[Nombre Equipo]],INDIRECT(Tabla1[[#This Row],[Proveedor calib.]]),2,FALSE)</f>
        <v>0</v>
      </c>
      <c r="K57" s="9">
        <f ca="1">Tabla1[[#This Row],[ Valor calibración]]*1.19</f>
        <v>0</v>
      </c>
      <c r="L57" s="8" t="s">
        <v>65</v>
      </c>
      <c r="M57" s="16">
        <v>44963</v>
      </c>
      <c r="N57" s="8" t="s">
        <v>74</v>
      </c>
      <c r="O57" s="17">
        <v>59303</v>
      </c>
      <c r="P57" s="9">
        <f ca="1">VLOOKUP(Tabla1[[#This Row],[Nombre Equipo]],INDIRECT(Tabla1[[#This Row],[Proveedor prev.]]),2,FALSE)</f>
        <v>45000</v>
      </c>
      <c r="Q57" s="9">
        <f ca="1">Tabla1[[#This Row],[Valor prev.]]*1.19</f>
        <v>53550</v>
      </c>
      <c r="T57" s="8" t="s">
        <v>528</v>
      </c>
      <c r="U57" s="9">
        <f t="array" aca="1" ref="U57" ca="1">SUMPRODUCT((Tabla1[Nombre Equipo]=T57)*1,Tabla1[Valor Prev + IVA])</f>
        <v>0</v>
      </c>
    </row>
    <row r="58" spans="1:22" x14ac:dyDescent="0.3">
      <c r="A58" s="8" t="s">
        <v>30</v>
      </c>
      <c r="B58" s="8" t="str">
        <f>IFERROR(VLOOKUP(Tabla1[[#This Row],[Sede ]],Tabla2[[#All],[Sede]:[Departamento]],2,FALSE),"")</f>
        <v>Medellín</v>
      </c>
      <c r="C58" s="8" t="str">
        <f>IFERROR(VLOOKUP(Tabla1[[#This Row],[Sede ]],Tabla2[[#All],[Sede]:[Departamento]],3,FALSE),"")</f>
        <v>Antioquia</v>
      </c>
      <c r="D58" s="8" t="s">
        <v>119</v>
      </c>
      <c r="E58" s="13" t="s">
        <v>395</v>
      </c>
      <c r="F58" s="16" t="s">
        <v>492</v>
      </c>
      <c r="G58" s="8" t="s">
        <v>492</v>
      </c>
      <c r="H58" s="8" t="s">
        <v>492</v>
      </c>
      <c r="I58" s="8" t="s">
        <v>492</v>
      </c>
      <c r="J58" s="9">
        <f ca="1">VLOOKUP(Tabla1[[#This Row],[Nombre Equipo]],INDIRECT(Tabla1[[#This Row],[Proveedor calib.]]),2,FALSE)</f>
        <v>0</v>
      </c>
      <c r="K58" s="9">
        <f ca="1">Tabla1[[#This Row],[ Valor calibración]]*1.19</f>
        <v>0</v>
      </c>
      <c r="L58" s="8" t="s">
        <v>65</v>
      </c>
      <c r="M58" s="16">
        <v>44963</v>
      </c>
      <c r="N58" s="8" t="s">
        <v>74</v>
      </c>
      <c r="O58" s="17">
        <v>59304</v>
      </c>
      <c r="P58" s="9">
        <f ca="1">VLOOKUP(Tabla1[[#This Row],[Nombre Equipo]],INDIRECT(Tabla1[[#This Row],[Proveedor prev.]]),2,FALSE)</f>
        <v>45000</v>
      </c>
      <c r="Q58" s="9">
        <f ca="1">Tabla1[[#This Row],[Valor prev.]]*1.19</f>
        <v>53550</v>
      </c>
      <c r="T58" s="36" t="s">
        <v>527</v>
      </c>
      <c r="U58" s="9">
        <f t="array" aca="1" ref="U58" ca="1">SUMPRODUCT((Tabla1[Nombre Equipo]=T58)*1,Tabla1[Valor Prev + IVA])</f>
        <v>666400</v>
      </c>
    </row>
    <row r="59" spans="1:22" x14ac:dyDescent="0.3">
      <c r="A59" s="8" t="s">
        <v>30</v>
      </c>
      <c r="B59" s="8" t="str">
        <f>IFERROR(VLOOKUP(Tabla1[[#This Row],[Sede ]],Tabla2[[#All],[Sede]:[Departamento]],2,FALSE),"")</f>
        <v>Medellín</v>
      </c>
      <c r="C59" s="8" t="str">
        <f>IFERROR(VLOOKUP(Tabla1[[#This Row],[Sede ]],Tabla2[[#All],[Sede]:[Departamento]],3,FALSE),"")</f>
        <v>Antioquia</v>
      </c>
      <c r="D59" s="8" t="s">
        <v>127</v>
      </c>
      <c r="E59" s="13" t="s">
        <v>396</v>
      </c>
      <c r="F59" s="16" t="s">
        <v>492</v>
      </c>
      <c r="G59" s="8" t="s">
        <v>492</v>
      </c>
      <c r="H59" s="8" t="s">
        <v>492</v>
      </c>
      <c r="I59" s="8" t="s">
        <v>492</v>
      </c>
      <c r="J59" s="9">
        <f ca="1">VLOOKUP(Tabla1[[#This Row],[Nombre Equipo]],INDIRECT(Tabla1[[#This Row],[Proveedor calib.]]),2,FALSE)</f>
        <v>0</v>
      </c>
      <c r="K59" s="9">
        <f ca="1">Tabla1[[#This Row],[ Valor calibración]]*1.19</f>
        <v>0</v>
      </c>
      <c r="L59" s="8" t="s">
        <v>65</v>
      </c>
      <c r="M59" s="16">
        <v>44963</v>
      </c>
      <c r="N59" s="8" t="s">
        <v>74</v>
      </c>
      <c r="O59" s="17">
        <v>59305</v>
      </c>
      <c r="P59" s="9">
        <f ca="1">VLOOKUP(Tabla1[[#This Row],[Nombre Equipo]],INDIRECT(Tabla1[[#This Row],[Proveedor prev.]]),2,FALSE)</f>
        <v>45000</v>
      </c>
      <c r="Q59" s="9">
        <f ca="1">Tabla1[[#This Row],[Valor prev.]]*1.19</f>
        <v>53550</v>
      </c>
      <c r="T59" s="37" t="s">
        <v>529</v>
      </c>
      <c r="U59" s="9">
        <f t="array" aca="1" ref="U59" ca="1">SUMPRODUCT((Tabla1[Nombre Equipo]=T59)*1,Tabla1[Valor Prev + IVA])</f>
        <v>999600</v>
      </c>
    </row>
    <row r="60" spans="1:22" x14ac:dyDescent="0.3">
      <c r="A60" s="8" t="s">
        <v>30</v>
      </c>
      <c r="B60" s="8" t="str">
        <f>IFERROR(VLOOKUP(Tabla1[[#This Row],[Sede ]],Tabla2[[#All],[Sede]:[Departamento]],2,FALSE),"")</f>
        <v>Medellín</v>
      </c>
      <c r="C60" s="8" t="str">
        <f>IFERROR(VLOOKUP(Tabla1[[#This Row],[Sede ]],Tabla2[[#All],[Sede]:[Departamento]],3,FALSE),"")</f>
        <v>Antioquia</v>
      </c>
      <c r="D60" s="8" t="s">
        <v>115</v>
      </c>
      <c r="E60" s="13" t="s">
        <v>397</v>
      </c>
      <c r="F60" s="16" t="s">
        <v>492</v>
      </c>
      <c r="G60" s="8" t="s">
        <v>492</v>
      </c>
      <c r="H60" s="8" t="s">
        <v>492</v>
      </c>
      <c r="I60" s="8" t="s">
        <v>492</v>
      </c>
      <c r="J60" s="9">
        <f ca="1">VLOOKUP(Tabla1[[#This Row],[Nombre Equipo]],INDIRECT(Tabla1[[#This Row],[Proveedor calib.]]),2,FALSE)</f>
        <v>0</v>
      </c>
      <c r="K60" s="9">
        <f ca="1">Tabla1[[#This Row],[ Valor calibración]]*1.19</f>
        <v>0</v>
      </c>
      <c r="L60" s="8" t="s">
        <v>65</v>
      </c>
      <c r="M60" s="16">
        <v>44963</v>
      </c>
      <c r="N60" s="8" t="s">
        <v>74</v>
      </c>
      <c r="O60" s="17">
        <v>59306</v>
      </c>
      <c r="P60" s="9">
        <f ca="1">VLOOKUP(Tabla1[[#This Row],[Nombre Equipo]],INDIRECT(Tabla1[[#This Row],[Proveedor prev.]]),2,FALSE)</f>
        <v>45000</v>
      </c>
      <c r="Q60" s="9">
        <f ca="1">Tabla1[[#This Row],[Valor prev.]]*1.19</f>
        <v>53550</v>
      </c>
      <c r="T60" s="8" t="s">
        <v>122</v>
      </c>
      <c r="U60" s="9">
        <f t="array" aca="1" ref="U60" ca="1">SUMPRODUCT((Tabla1[Nombre Equipo]=T60)*1,Tabla1[Valor Prev + IVA])</f>
        <v>4223310</v>
      </c>
    </row>
    <row r="61" spans="1:22" x14ac:dyDescent="0.3">
      <c r="A61" s="8" t="s">
        <v>30</v>
      </c>
      <c r="B61" s="8" t="str">
        <f>IFERROR(VLOOKUP(Tabla1[[#This Row],[Sede ]],Tabla2[[#All],[Sede]:[Departamento]],2,FALSE),"")</f>
        <v>Medellín</v>
      </c>
      <c r="C61" s="8" t="str">
        <f>IFERROR(VLOOKUP(Tabla1[[#This Row],[Sede ]],Tabla2[[#All],[Sede]:[Departamento]],3,FALSE),"")</f>
        <v>Antioquia</v>
      </c>
      <c r="D61" s="8" t="s">
        <v>115</v>
      </c>
      <c r="E61" s="13" t="s">
        <v>398</v>
      </c>
      <c r="F61" s="16" t="s">
        <v>492</v>
      </c>
      <c r="G61" s="8" t="s">
        <v>492</v>
      </c>
      <c r="H61" s="8" t="s">
        <v>492</v>
      </c>
      <c r="I61" s="8" t="s">
        <v>492</v>
      </c>
      <c r="J61" s="9">
        <f ca="1">VLOOKUP(Tabla1[[#This Row],[Nombre Equipo]],INDIRECT(Tabla1[[#This Row],[Proveedor calib.]]),2,FALSE)</f>
        <v>0</v>
      </c>
      <c r="K61" s="9">
        <f ca="1">Tabla1[[#This Row],[ Valor calibración]]*1.19</f>
        <v>0</v>
      </c>
      <c r="L61" s="8" t="s">
        <v>65</v>
      </c>
      <c r="M61" s="16">
        <v>44963</v>
      </c>
      <c r="N61" s="8" t="s">
        <v>74</v>
      </c>
      <c r="O61" s="17">
        <v>59307</v>
      </c>
      <c r="P61" s="9">
        <f ca="1">VLOOKUP(Tabla1[[#This Row],[Nombre Equipo]],INDIRECT(Tabla1[[#This Row],[Proveedor prev.]]),2,FALSE)</f>
        <v>45000</v>
      </c>
      <c r="Q61" s="9">
        <f ca="1">Tabla1[[#This Row],[Valor prev.]]*1.19</f>
        <v>53550</v>
      </c>
      <c r="T61" s="8" t="s">
        <v>377</v>
      </c>
      <c r="U61" s="9">
        <f t="array" aca="1" ref="U61" ca="1">SUMPRODUCT((Tabla1[Nombre Equipo]=T61)*1,Tabla1[Valor Prev + IVA])</f>
        <v>952000</v>
      </c>
    </row>
    <row r="62" spans="1:22" x14ac:dyDescent="0.3">
      <c r="A62" s="8" t="s">
        <v>38</v>
      </c>
      <c r="B62" s="8" t="str">
        <f>IFERROR(VLOOKUP(Tabla1[[#This Row],[Sede ]],Tabla2[[#All],[Sede]:[Departamento]],2,FALSE),"")</f>
        <v>Villavicencio</v>
      </c>
      <c r="C62" s="8" t="str">
        <f>IFERROR(VLOOKUP(Tabla1[[#This Row],[Sede ]],Tabla2[[#All],[Sede]:[Departamento]],3,FALSE),"")</f>
        <v>Meta</v>
      </c>
      <c r="D62" s="8" t="s">
        <v>127</v>
      </c>
      <c r="E62" s="13" t="s">
        <v>399</v>
      </c>
      <c r="F62" s="16" t="s">
        <v>492</v>
      </c>
      <c r="G62" s="8" t="s">
        <v>492</v>
      </c>
      <c r="H62" s="8" t="s">
        <v>492</v>
      </c>
      <c r="I62" s="8" t="s">
        <v>492</v>
      </c>
      <c r="J62" s="9">
        <f ca="1">VLOOKUP(Tabla1[[#This Row],[Nombre Equipo]],INDIRECT(Tabla1[[#This Row],[Proveedor calib.]]),2,FALSE)</f>
        <v>0</v>
      </c>
      <c r="K62" s="9">
        <f ca="1">Tabla1[[#This Row],[ Valor calibración]]*1.19</f>
        <v>0</v>
      </c>
      <c r="L62" s="8" t="s">
        <v>65</v>
      </c>
      <c r="M62" s="16">
        <v>44963</v>
      </c>
      <c r="N62" s="8" t="s">
        <v>74</v>
      </c>
      <c r="O62" s="17">
        <v>59308</v>
      </c>
      <c r="P62" s="9">
        <f ca="1">VLOOKUP(Tabla1[[#This Row],[Nombre Equipo]],INDIRECT(Tabla1[[#This Row],[Proveedor prev.]]),2,FALSE)</f>
        <v>45000</v>
      </c>
      <c r="Q62" s="9">
        <f ca="1">Tabla1[[#This Row],[Valor prev.]]*1.19</f>
        <v>53550</v>
      </c>
      <c r="T62" s="8" t="s">
        <v>390</v>
      </c>
      <c r="U62" s="9">
        <f t="array" aca="1" ref="U62" ca="1">SUMPRODUCT((Tabla1[Nombre Equipo]=T62)*1,Tabla1[Valor Prev + IVA])</f>
        <v>238000</v>
      </c>
    </row>
    <row r="63" spans="1:22" x14ac:dyDescent="0.3">
      <c r="A63" s="8" t="s">
        <v>38</v>
      </c>
      <c r="B63" s="8" t="str">
        <f>IFERROR(VLOOKUP(Tabla1[[#This Row],[Sede ]],Tabla2[[#All],[Sede]:[Departamento]],2,FALSE),"")</f>
        <v>Villavicencio</v>
      </c>
      <c r="C63" s="8" t="str">
        <f>IFERROR(VLOOKUP(Tabla1[[#This Row],[Sede ]],Tabla2[[#All],[Sede]:[Departamento]],3,FALSE),"")</f>
        <v>Meta</v>
      </c>
      <c r="D63" s="8" t="s">
        <v>115</v>
      </c>
      <c r="E63" s="13" t="s">
        <v>400</v>
      </c>
      <c r="F63" s="16" t="s">
        <v>492</v>
      </c>
      <c r="G63" s="8" t="s">
        <v>492</v>
      </c>
      <c r="H63" s="8" t="s">
        <v>492</v>
      </c>
      <c r="I63" s="8" t="s">
        <v>492</v>
      </c>
      <c r="J63" s="9">
        <f ca="1">VLOOKUP(Tabla1[[#This Row],[Nombre Equipo]],INDIRECT(Tabla1[[#This Row],[Proveedor calib.]]),2,FALSE)</f>
        <v>0</v>
      </c>
      <c r="K63" s="9">
        <f ca="1">Tabla1[[#This Row],[ Valor calibración]]*1.19</f>
        <v>0</v>
      </c>
      <c r="L63" s="8" t="s">
        <v>65</v>
      </c>
      <c r="M63" s="16">
        <v>44963</v>
      </c>
      <c r="N63" s="8" t="s">
        <v>74</v>
      </c>
      <c r="O63" s="17">
        <v>59309</v>
      </c>
      <c r="P63" s="9">
        <f ca="1">VLOOKUP(Tabla1[[#This Row],[Nombre Equipo]],INDIRECT(Tabla1[[#This Row],[Proveedor prev.]]),2,FALSE)</f>
        <v>45000</v>
      </c>
      <c r="Q63" s="9">
        <f ca="1">Tabla1[[#This Row],[Valor prev.]]*1.19</f>
        <v>53550</v>
      </c>
      <c r="T63" s="8" t="s">
        <v>124</v>
      </c>
      <c r="U63" s="9">
        <f t="array" aca="1" ref="U63" ca="1">SUMPRODUCT((Tabla1[Nombre Equipo]=T63)*1,Tabla1[Valor Prev + IVA])</f>
        <v>380800</v>
      </c>
    </row>
    <row r="64" spans="1:22" x14ac:dyDescent="0.3">
      <c r="A64" s="8" t="s">
        <v>30</v>
      </c>
      <c r="B64" s="8" t="str">
        <f>IFERROR(VLOOKUP(Tabla1[[#This Row],[Sede ]],Tabla2[[#All],[Sede]:[Departamento]],2,FALSE),"")</f>
        <v>Medellín</v>
      </c>
      <c r="C64" s="8" t="str">
        <f>IFERROR(VLOOKUP(Tabla1[[#This Row],[Sede ]],Tabla2[[#All],[Sede]:[Departamento]],3,FALSE),"")</f>
        <v>Antioquia</v>
      </c>
      <c r="D64" s="8" t="s">
        <v>115</v>
      </c>
      <c r="E64" s="13" t="s">
        <v>401</v>
      </c>
      <c r="F64" s="16" t="s">
        <v>492</v>
      </c>
      <c r="G64" s="8" t="s">
        <v>492</v>
      </c>
      <c r="H64" s="8" t="s">
        <v>492</v>
      </c>
      <c r="I64" s="8" t="s">
        <v>492</v>
      </c>
      <c r="J64" s="9">
        <f ca="1">VLOOKUP(Tabla1[[#This Row],[Nombre Equipo]],INDIRECT(Tabla1[[#This Row],[Proveedor calib.]]),2,FALSE)</f>
        <v>0</v>
      </c>
      <c r="K64" s="9">
        <f ca="1">Tabla1[[#This Row],[ Valor calibración]]*1.19</f>
        <v>0</v>
      </c>
      <c r="L64" s="8" t="s">
        <v>65</v>
      </c>
      <c r="M64" s="16">
        <v>44963</v>
      </c>
      <c r="N64" s="8" t="s">
        <v>74</v>
      </c>
      <c r="O64" s="8">
        <v>59310</v>
      </c>
      <c r="P64" s="9">
        <f ca="1">VLOOKUP(Tabla1[[#This Row],[Nombre Equipo]],INDIRECT(Tabla1[[#This Row],[Proveedor prev.]]),2,FALSE)</f>
        <v>45000</v>
      </c>
      <c r="Q64" s="9">
        <f ca="1">Tabla1[[#This Row],[Valor prev.]]*1.19</f>
        <v>53550</v>
      </c>
      <c r="T64" s="8" t="s">
        <v>302</v>
      </c>
      <c r="U64" s="9">
        <f t="array" aca="1" ref="U64" ca="1">SUMPRODUCT((Tabla1[Nombre Equipo]=T64)*1,Tabla1[Valor Prev + IVA])</f>
        <v>0</v>
      </c>
    </row>
    <row r="65" spans="1:21" x14ac:dyDescent="0.3">
      <c r="A65" s="8" t="s">
        <v>30</v>
      </c>
      <c r="B65" s="8" t="str">
        <f>IFERROR(VLOOKUP(Tabla1[[#This Row],[Sede ]],Tabla2[[#All],[Sede]:[Departamento]],2,FALSE),"")</f>
        <v>Medellín</v>
      </c>
      <c r="C65" s="8" t="str">
        <f>IFERROR(VLOOKUP(Tabla1[[#This Row],[Sede ]],Tabla2[[#All],[Sede]:[Departamento]],3,FALSE),"")</f>
        <v>Antioquia</v>
      </c>
      <c r="D65" s="8" t="s">
        <v>115</v>
      </c>
      <c r="E65" s="13" t="s">
        <v>402</v>
      </c>
      <c r="F65" s="16" t="s">
        <v>492</v>
      </c>
      <c r="G65" s="8" t="s">
        <v>492</v>
      </c>
      <c r="H65" s="8" t="s">
        <v>492</v>
      </c>
      <c r="I65" s="8" t="s">
        <v>492</v>
      </c>
      <c r="J65" s="9">
        <f ca="1">VLOOKUP(Tabla1[[#This Row],[Nombre Equipo]],INDIRECT(Tabla1[[#This Row],[Proveedor calib.]]),2,FALSE)</f>
        <v>0</v>
      </c>
      <c r="K65" s="9">
        <f ca="1">Tabla1[[#This Row],[ Valor calibración]]*1.19</f>
        <v>0</v>
      </c>
      <c r="L65" s="8" t="s">
        <v>65</v>
      </c>
      <c r="M65" s="16">
        <v>44963</v>
      </c>
      <c r="N65" s="8" t="s">
        <v>74</v>
      </c>
      <c r="O65" s="8">
        <v>59312</v>
      </c>
      <c r="P65" s="9">
        <f ca="1">VLOOKUP(Tabla1[[#This Row],[Nombre Equipo]],INDIRECT(Tabla1[[#This Row],[Proveedor prev.]]),2,FALSE)</f>
        <v>45000</v>
      </c>
      <c r="Q65" s="9">
        <f ca="1">Tabla1[[#This Row],[Valor prev.]]*1.19</f>
        <v>53550</v>
      </c>
      <c r="T65" s="8" t="s">
        <v>116</v>
      </c>
      <c r="U65" s="9">
        <f t="array" aca="1" ref="U65" ca="1">SUMPRODUCT((Tabla1[Nombre Equipo]=T65)*1,Tabla1[Valor Prev + IVA])</f>
        <v>160650</v>
      </c>
    </row>
    <row r="66" spans="1:21" x14ac:dyDescent="0.3">
      <c r="A66" s="8" t="s">
        <v>30</v>
      </c>
      <c r="B66" s="8" t="str">
        <f>IFERROR(VLOOKUP(Tabla1[[#This Row],[Sede ]],Tabla2[[#All],[Sede]:[Departamento]],2,FALSE),"")</f>
        <v>Medellín</v>
      </c>
      <c r="C66" s="8" t="str">
        <f>IFERROR(VLOOKUP(Tabla1[[#This Row],[Sede ]],Tabla2[[#All],[Sede]:[Departamento]],3,FALSE),"")</f>
        <v>Antioquia</v>
      </c>
      <c r="D66" s="8" t="s">
        <v>115</v>
      </c>
      <c r="E66" s="13" t="s">
        <v>403</v>
      </c>
      <c r="F66" s="16" t="s">
        <v>492</v>
      </c>
      <c r="G66" s="8" t="s">
        <v>492</v>
      </c>
      <c r="H66" s="8" t="s">
        <v>492</v>
      </c>
      <c r="I66" s="8" t="s">
        <v>492</v>
      </c>
      <c r="J66" s="9">
        <f ca="1">VLOOKUP(Tabla1[[#This Row],[Nombre Equipo]],INDIRECT(Tabla1[[#This Row],[Proveedor calib.]]),2,FALSE)</f>
        <v>0</v>
      </c>
      <c r="K66" s="9">
        <f ca="1">Tabla1[[#This Row],[ Valor calibración]]*1.19</f>
        <v>0</v>
      </c>
      <c r="L66" s="8" t="s">
        <v>65</v>
      </c>
      <c r="M66" s="16">
        <v>44963</v>
      </c>
      <c r="N66" s="8" t="s">
        <v>74</v>
      </c>
      <c r="O66" s="8">
        <v>59313</v>
      </c>
      <c r="P66" s="9">
        <f ca="1">VLOOKUP(Tabla1[[#This Row],[Nombre Equipo]],INDIRECT(Tabla1[[#This Row],[Proveedor prev.]]),2,FALSE)</f>
        <v>45000</v>
      </c>
      <c r="Q66" s="9">
        <f ca="1">Tabla1[[#This Row],[Valor prev.]]*1.19</f>
        <v>53550</v>
      </c>
      <c r="T66" s="8" t="s">
        <v>114</v>
      </c>
      <c r="U66" s="9">
        <f t="array" aca="1" ref="U66" ca="1">SUMPRODUCT((Tabla1[Nombre Equipo]=T66)*1,Tabla1[Valor Prev + IVA])</f>
        <v>1394680</v>
      </c>
    </row>
    <row r="67" spans="1:21" x14ac:dyDescent="0.3">
      <c r="A67" s="8" t="s">
        <v>30</v>
      </c>
      <c r="B67" s="8" t="str">
        <f>IFERROR(VLOOKUP(Tabla1[[#This Row],[Sede ]],Tabla2[[#All],[Sede]:[Departamento]],2,FALSE),"")</f>
        <v>Medellín</v>
      </c>
      <c r="C67" s="8" t="str">
        <f>IFERROR(VLOOKUP(Tabla1[[#This Row],[Sede ]],Tabla2[[#All],[Sede]:[Departamento]],3,FALSE),"")</f>
        <v>Antioquia</v>
      </c>
      <c r="D67" s="8" t="s">
        <v>155</v>
      </c>
      <c r="E67" s="13" t="s">
        <v>404</v>
      </c>
      <c r="F67" s="16" t="s">
        <v>492</v>
      </c>
      <c r="G67" s="8" t="s">
        <v>492</v>
      </c>
      <c r="H67" s="8" t="s">
        <v>492</v>
      </c>
      <c r="I67" s="8" t="s">
        <v>492</v>
      </c>
      <c r="J67" s="9">
        <f ca="1">VLOOKUP(Tabla1[[#This Row],[Nombre Equipo]],INDIRECT(Tabla1[[#This Row],[Proveedor calib.]]),2,FALSE)</f>
        <v>0</v>
      </c>
      <c r="K67" s="9">
        <f ca="1">Tabla1[[#This Row],[ Valor calibración]]*1.19</f>
        <v>0</v>
      </c>
      <c r="L67" s="8" t="s">
        <v>65</v>
      </c>
      <c r="M67" s="16">
        <v>44963</v>
      </c>
      <c r="N67" s="8" t="s">
        <v>74</v>
      </c>
      <c r="O67" s="8">
        <v>59314</v>
      </c>
      <c r="P67" s="9">
        <f ca="1">VLOOKUP(Tabla1[[#This Row],[Nombre Equipo]],INDIRECT(Tabla1[[#This Row],[Proveedor prev.]]),2,FALSE)</f>
        <v>45000</v>
      </c>
      <c r="Q67" s="9">
        <f ca="1">Tabla1[[#This Row],[Valor prev.]]*1.19</f>
        <v>53550</v>
      </c>
      <c r="T67" s="8" t="s">
        <v>127</v>
      </c>
      <c r="U67" s="9">
        <f t="array" aca="1" ref="U67" ca="1">SUMPRODUCT((Tabla1[Nombre Equipo]=T67)*1,Tabla1[Valor Prev + IVA])</f>
        <v>481950</v>
      </c>
    </row>
    <row r="68" spans="1:21" x14ac:dyDescent="0.3">
      <c r="A68" s="8" t="s">
        <v>30</v>
      </c>
      <c r="B68" s="8" t="str">
        <f>IFERROR(VLOOKUP(Tabla1[[#This Row],[Sede ]],Tabla2[[#All],[Sede]:[Departamento]],2,FALSE),"")</f>
        <v>Medellín</v>
      </c>
      <c r="C68" s="8" t="str">
        <f>IFERROR(VLOOKUP(Tabla1[[#This Row],[Sede ]],Tabla2[[#All],[Sede]:[Departamento]],3,FALSE),"")</f>
        <v>Antioquia</v>
      </c>
      <c r="D68" s="8" t="s">
        <v>127</v>
      </c>
      <c r="E68" s="13" t="s">
        <v>405</v>
      </c>
      <c r="F68" s="16" t="s">
        <v>492</v>
      </c>
      <c r="G68" s="8" t="s">
        <v>492</v>
      </c>
      <c r="H68" s="8" t="s">
        <v>492</v>
      </c>
      <c r="I68" s="8" t="s">
        <v>492</v>
      </c>
      <c r="J68" s="9">
        <f ca="1">VLOOKUP(Tabla1[[#This Row],[Nombre Equipo]],INDIRECT(Tabla1[[#This Row],[Proveedor calib.]]),2,FALSE)</f>
        <v>0</v>
      </c>
      <c r="K68" s="9">
        <f ca="1">Tabla1[[#This Row],[ Valor calibración]]*1.19</f>
        <v>0</v>
      </c>
      <c r="L68" s="8" t="s">
        <v>65</v>
      </c>
      <c r="M68" s="16">
        <v>44963</v>
      </c>
      <c r="N68" s="8" t="s">
        <v>74</v>
      </c>
      <c r="O68" s="8">
        <v>59315</v>
      </c>
      <c r="P68" s="9">
        <f ca="1">VLOOKUP(Tabla1[[#This Row],[Nombre Equipo]],INDIRECT(Tabla1[[#This Row],[Proveedor prev.]]),2,FALSE)</f>
        <v>45000</v>
      </c>
      <c r="Q68" s="9">
        <f ca="1">Tabla1[[#This Row],[Valor prev.]]*1.19</f>
        <v>53550</v>
      </c>
      <c r="T68" s="8" t="s">
        <v>421</v>
      </c>
      <c r="U68" s="9">
        <f t="array" aca="1" ref="U68" ca="1">SUMPRODUCT((Tabla1[Nombre Equipo]=T68)*1,Tabla1[Valor Prev + IVA])</f>
        <v>107100</v>
      </c>
    </row>
    <row r="69" spans="1:21" x14ac:dyDescent="0.3">
      <c r="A69" s="8" t="s">
        <v>38</v>
      </c>
      <c r="B69" s="8" t="str">
        <f>IFERROR(VLOOKUP(Tabla1[[#This Row],[Sede ]],Tabla2[[#All],[Sede]:[Departamento]],2,FALSE),"")</f>
        <v>Villavicencio</v>
      </c>
      <c r="C69" s="8" t="str">
        <f>IFERROR(VLOOKUP(Tabla1[[#This Row],[Sede ]],Tabla2[[#All],[Sede]:[Departamento]],3,FALSE),"")</f>
        <v>Meta</v>
      </c>
      <c r="D69" s="8" t="s">
        <v>127</v>
      </c>
      <c r="E69" s="13" t="s">
        <v>406</v>
      </c>
      <c r="F69" s="16" t="s">
        <v>492</v>
      </c>
      <c r="G69" s="8" t="s">
        <v>492</v>
      </c>
      <c r="H69" s="8" t="s">
        <v>492</v>
      </c>
      <c r="I69" s="8" t="s">
        <v>492</v>
      </c>
      <c r="J69" s="9">
        <f ca="1">VLOOKUP(Tabla1[[#This Row],[Nombre Equipo]],INDIRECT(Tabla1[[#This Row],[Proveedor calib.]]),2,FALSE)</f>
        <v>0</v>
      </c>
      <c r="K69" s="9">
        <f ca="1">Tabla1[[#This Row],[ Valor calibración]]*1.19</f>
        <v>0</v>
      </c>
      <c r="L69" s="8" t="s">
        <v>65</v>
      </c>
      <c r="M69" s="16">
        <v>44963</v>
      </c>
      <c r="N69" s="8" t="s">
        <v>74</v>
      </c>
      <c r="O69" s="8">
        <v>59316</v>
      </c>
      <c r="P69" s="9">
        <f ca="1">VLOOKUP(Tabla1[[#This Row],[Nombre Equipo]],INDIRECT(Tabla1[[#This Row],[Proveedor prev.]]),2,FALSE)</f>
        <v>45000</v>
      </c>
      <c r="Q69" s="9">
        <f ca="1">Tabla1[[#This Row],[Valor prev.]]*1.19</f>
        <v>53550</v>
      </c>
      <c r="T69" s="8" t="s">
        <v>117</v>
      </c>
      <c r="U69" s="9">
        <f t="array" aca="1" ref="U69" ca="1">SUMPRODUCT((Tabla1[Nombre Equipo]=T69)*1,Tabla1[Valor Prev + IVA])</f>
        <v>428400</v>
      </c>
    </row>
    <row r="70" spans="1:21" x14ac:dyDescent="0.3">
      <c r="A70" s="8" t="s">
        <v>38</v>
      </c>
      <c r="B70" s="8" t="str">
        <f>IFERROR(VLOOKUP(Tabla1[[#This Row],[Sede ]],Tabla2[[#All],[Sede]:[Departamento]],2,FALSE),"")</f>
        <v>Villavicencio</v>
      </c>
      <c r="C70" s="8" t="str">
        <f>IFERROR(VLOOKUP(Tabla1[[#This Row],[Sede ]],Tabla2[[#All],[Sede]:[Departamento]],3,FALSE),"")</f>
        <v>Meta</v>
      </c>
      <c r="D70" s="8" t="s">
        <v>114</v>
      </c>
      <c r="E70" s="13" t="s">
        <v>407</v>
      </c>
      <c r="F70" s="16" t="s">
        <v>492</v>
      </c>
      <c r="G70" s="8" t="s">
        <v>492</v>
      </c>
      <c r="H70" s="8" t="s">
        <v>492</v>
      </c>
      <c r="I70" s="8" t="s">
        <v>492</v>
      </c>
      <c r="J70" s="9">
        <f ca="1">VLOOKUP(Tabla1[[#This Row],[Nombre Equipo]],INDIRECT(Tabla1[[#This Row],[Proveedor calib.]]),2,FALSE)</f>
        <v>0</v>
      </c>
      <c r="K70" s="9">
        <f ca="1">Tabla1[[#This Row],[ Valor calibración]]*1.19</f>
        <v>0</v>
      </c>
      <c r="L70" s="8" t="s">
        <v>65</v>
      </c>
      <c r="M70" s="16">
        <v>44963</v>
      </c>
      <c r="N70" s="8" t="s">
        <v>74</v>
      </c>
      <c r="O70" s="8">
        <v>59318</v>
      </c>
      <c r="P70" s="9">
        <f ca="1">VLOOKUP(Tabla1[[#This Row],[Nombre Equipo]],INDIRECT(Tabla1[[#This Row],[Proveedor prev.]]),2,FALSE)</f>
        <v>45000</v>
      </c>
      <c r="Q70" s="9">
        <f ca="1">Tabla1[[#This Row],[Valor prev.]]*1.19</f>
        <v>53550</v>
      </c>
      <c r="T70" s="8" t="s">
        <v>118</v>
      </c>
      <c r="U70" s="9">
        <f t="array" aca="1" ref="U70" ca="1">SUMPRODUCT((Tabla1[Nombre Equipo]=T70)*1,Tabla1[Valor Prev + IVA])</f>
        <v>696150</v>
      </c>
    </row>
    <row r="71" spans="1:21" x14ac:dyDescent="0.3">
      <c r="A71" s="8" t="s">
        <v>30</v>
      </c>
      <c r="B71" s="8" t="str">
        <f>IFERROR(VLOOKUP(Tabla1[[#This Row],[Sede ]],Tabla2[[#All],[Sede]:[Departamento]],2,FALSE),"")</f>
        <v>Medellín</v>
      </c>
      <c r="C71" s="8" t="str">
        <f>IFERROR(VLOOKUP(Tabla1[[#This Row],[Sede ]],Tabla2[[#All],[Sede]:[Departamento]],3,FALSE),"")</f>
        <v>Antioquia</v>
      </c>
      <c r="D71" s="8" t="s">
        <v>114</v>
      </c>
      <c r="E71" s="13" t="s">
        <v>408</v>
      </c>
      <c r="F71" s="16" t="s">
        <v>492</v>
      </c>
      <c r="G71" s="8" t="s">
        <v>492</v>
      </c>
      <c r="H71" s="8" t="s">
        <v>492</v>
      </c>
      <c r="I71" s="8" t="s">
        <v>492</v>
      </c>
      <c r="J71" s="9">
        <f ca="1">VLOOKUP(Tabla1[[#This Row],[Nombre Equipo]],INDIRECT(Tabla1[[#This Row],[Proveedor calib.]]),2,FALSE)</f>
        <v>0</v>
      </c>
      <c r="K71" s="9">
        <f ca="1">Tabla1[[#This Row],[ Valor calibración]]*1.19</f>
        <v>0</v>
      </c>
      <c r="L71" s="8" t="s">
        <v>65</v>
      </c>
      <c r="M71" s="16">
        <v>44963</v>
      </c>
      <c r="N71" s="8" t="s">
        <v>74</v>
      </c>
      <c r="O71" s="8">
        <v>59319</v>
      </c>
      <c r="P71" s="9">
        <f ca="1">VLOOKUP(Tabla1[[#This Row],[Nombre Equipo]],INDIRECT(Tabla1[[#This Row],[Proveedor prev.]]),2,FALSE)</f>
        <v>45000</v>
      </c>
      <c r="Q71" s="9">
        <f ca="1">Tabla1[[#This Row],[Valor prev.]]*1.19</f>
        <v>53550</v>
      </c>
      <c r="T71" s="8" t="s">
        <v>119</v>
      </c>
      <c r="U71" s="9">
        <f t="array" aca="1" ref="U71" ca="1">SUMPRODUCT((Tabla1[Nombre Equipo]=T71)*1,Tabla1[Valor Prev + IVA])</f>
        <v>214200</v>
      </c>
    </row>
    <row r="72" spans="1:21" x14ac:dyDescent="0.3">
      <c r="A72" s="8" t="s">
        <v>30</v>
      </c>
      <c r="B72" s="8" t="str">
        <f>IFERROR(VLOOKUP(Tabla1[[#This Row],[Sede ]],Tabla2[[#All],[Sede]:[Departamento]],2,FALSE),"")</f>
        <v>Medellín</v>
      </c>
      <c r="C72" s="8" t="str">
        <f>IFERROR(VLOOKUP(Tabla1[[#This Row],[Sede ]],Tabla2[[#All],[Sede]:[Departamento]],3,FALSE),"")</f>
        <v>Antioquia</v>
      </c>
      <c r="D72" s="8" t="s">
        <v>411</v>
      </c>
      <c r="E72" s="13" t="s">
        <v>410</v>
      </c>
      <c r="F72" s="16" t="s">
        <v>492</v>
      </c>
      <c r="G72" s="8" t="s">
        <v>492</v>
      </c>
      <c r="H72" s="8" t="s">
        <v>492</v>
      </c>
      <c r="I72" s="8" t="s">
        <v>492</v>
      </c>
      <c r="J72" s="9">
        <f ca="1">VLOOKUP(Tabla1[[#This Row],[Nombre Equipo]],INDIRECT(Tabla1[[#This Row],[Proveedor calib.]]),2,FALSE)</f>
        <v>0</v>
      </c>
      <c r="K72" s="9">
        <f ca="1">Tabla1[[#This Row],[ Valor calibración]]*1.19</f>
        <v>0</v>
      </c>
      <c r="L72" s="8" t="s">
        <v>65</v>
      </c>
      <c r="M72" s="16">
        <v>44963</v>
      </c>
      <c r="N72" s="8" t="s">
        <v>74</v>
      </c>
      <c r="O72" s="8">
        <v>59322</v>
      </c>
      <c r="P72" s="9">
        <f ca="1">VLOOKUP(Tabla1[[#This Row],[Nombre Equipo]],INDIRECT(Tabla1[[#This Row],[Proveedor prev.]]),2,FALSE)</f>
        <v>45000</v>
      </c>
      <c r="Q72" s="9">
        <f ca="1">Tabla1[[#This Row],[Valor prev.]]*1.19</f>
        <v>53550</v>
      </c>
      <c r="T72" s="8" t="s">
        <v>428</v>
      </c>
      <c r="U72" s="9">
        <f t="array" aca="1" ref="U72" ca="1">SUMPRODUCT((Tabla1[Nombre Equipo]=T72)*1,Tabla1[Valor Prev + IVA])</f>
        <v>107100</v>
      </c>
    </row>
    <row r="73" spans="1:21" x14ac:dyDescent="0.3">
      <c r="A73" s="8" t="s">
        <v>30</v>
      </c>
      <c r="B73" s="8" t="str">
        <f>IFERROR(VLOOKUP(Tabla1[[#This Row],[Sede ]],Tabla2[[#All],[Sede]:[Departamento]],2,FALSE),"")</f>
        <v>Medellín</v>
      </c>
      <c r="C73" s="8" t="str">
        <f>IFERROR(VLOOKUP(Tabla1[[#This Row],[Sede ]],Tabla2[[#All],[Sede]:[Departamento]],3,FALSE),"")</f>
        <v>Antioquia</v>
      </c>
      <c r="D73" s="8" t="s">
        <v>114</v>
      </c>
      <c r="E73" s="13" t="s">
        <v>412</v>
      </c>
      <c r="F73" s="16" t="s">
        <v>492</v>
      </c>
      <c r="G73" s="8" t="s">
        <v>492</v>
      </c>
      <c r="H73" s="8" t="s">
        <v>492</v>
      </c>
      <c r="I73" s="8" t="s">
        <v>492</v>
      </c>
      <c r="J73" s="9">
        <f ca="1">VLOOKUP(Tabla1[[#This Row],[Nombre Equipo]],INDIRECT(Tabla1[[#This Row],[Proveedor calib.]]),2,FALSE)</f>
        <v>0</v>
      </c>
      <c r="K73" s="9">
        <f ca="1">Tabla1[[#This Row],[ Valor calibración]]*1.19</f>
        <v>0</v>
      </c>
      <c r="L73" s="8" t="s">
        <v>65</v>
      </c>
      <c r="M73" s="16">
        <v>44963</v>
      </c>
      <c r="N73" s="8" t="s">
        <v>74</v>
      </c>
      <c r="O73" s="8">
        <v>59323</v>
      </c>
      <c r="P73" s="9">
        <f ca="1">VLOOKUP(Tabla1[[#This Row],[Nombre Equipo]],INDIRECT(Tabla1[[#This Row],[Proveedor prev.]]),2,FALSE)</f>
        <v>45000</v>
      </c>
      <c r="Q73" s="9">
        <f ca="1">Tabla1[[#This Row],[Valor prev.]]*1.19</f>
        <v>53550</v>
      </c>
      <c r="T73" s="8" t="s">
        <v>155</v>
      </c>
      <c r="U73" s="9">
        <f t="array" aca="1" ref="U73" ca="1">SUMPRODUCT((Tabla1[Nombre Equipo]=T73)*1,Tabla1[Valor Prev + IVA])</f>
        <v>267750</v>
      </c>
    </row>
    <row r="74" spans="1:21" x14ac:dyDescent="0.3">
      <c r="A74" s="8" t="s">
        <v>30</v>
      </c>
      <c r="B74" s="8" t="str">
        <f>IFERROR(VLOOKUP(Tabla1[[#This Row],[Sede ]],Tabla2[[#All],[Sede]:[Departamento]],2,FALSE),"")</f>
        <v>Medellín</v>
      </c>
      <c r="C74" s="8" t="str">
        <f>IFERROR(VLOOKUP(Tabla1[[#This Row],[Sede ]],Tabla2[[#All],[Sede]:[Departamento]],3,FALSE),"")</f>
        <v>Antioquia</v>
      </c>
      <c r="D74" s="8" t="s">
        <v>117</v>
      </c>
      <c r="E74" s="13" t="s">
        <v>413</v>
      </c>
      <c r="F74" s="16" t="s">
        <v>492</v>
      </c>
      <c r="G74" s="8" t="s">
        <v>492</v>
      </c>
      <c r="H74" s="8" t="s">
        <v>492</v>
      </c>
      <c r="I74" s="8" t="s">
        <v>492</v>
      </c>
      <c r="J74" s="9">
        <f ca="1">VLOOKUP(Tabla1[[#This Row],[Nombre Equipo]],INDIRECT(Tabla1[[#This Row],[Proveedor calib.]]),2,FALSE)</f>
        <v>0</v>
      </c>
      <c r="K74" s="9">
        <f ca="1">Tabla1[[#This Row],[ Valor calibración]]*1.19</f>
        <v>0</v>
      </c>
      <c r="L74" s="8" t="s">
        <v>65</v>
      </c>
      <c r="M74" s="16">
        <v>44963</v>
      </c>
      <c r="N74" s="8" t="s">
        <v>74</v>
      </c>
      <c r="O74" s="8">
        <v>59324</v>
      </c>
      <c r="P74" s="9">
        <f ca="1">VLOOKUP(Tabla1[[#This Row],[Nombre Equipo]],INDIRECT(Tabla1[[#This Row],[Proveedor prev.]]),2,FALSE)</f>
        <v>45000</v>
      </c>
      <c r="Q74" s="9">
        <f ca="1">Tabla1[[#This Row],[Valor prev.]]*1.19</f>
        <v>53550</v>
      </c>
      <c r="T74" s="8" t="s">
        <v>411</v>
      </c>
      <c r="U74" s="9">
        <f t="array" aca="1" ref="U74" ca="1">SUMPRODUCT((Tabla1[Nombre Equipo]=T74)*1,Tabla1[Valor Prev + IVA])</f>
        <v>53550</v>
      </c>
    </row>
    <row r="75" spans="1:21" x14ac:dyDescent="0.3">
      <c r="A75" s="8" t="s">
        <v>30</v>
      </c>
      <c r="B75" s="8" t="str">
        <f>IFERROR(VLOOKUP(Tabla1[[#This Row],[Sede ]],Tabla2[[#All],[Sede]:[Departamento]],2,FALSE),"")</f>
        <v>Medellín</v>
      </c>
      <c r="C75" s="8" t="str">
        <f>IFERROR(VLOOKUP(Tabla1[[#This Row],[Sede ]],Tabla2[[#All],[Sede]:[Departamento]],3,FALSE),"")</f>
        <v>Antioquia</v>
      </c>
      <c r="D75" s="8" t="s">
        <v>115</v>
      </c>
      <c r="E75" s="13" t="s">
        <v>414</v>
      </c>
      <c r="F75" s="16" t="s">
        <v>492</v>
      </c>
      <c r="G75" s="8" t="s">
        <v>492</v>
      </c>
      <c r="H75" s="8" t="s">
        <v>492</v>
      </c>
      <c r="I75" s="8" t="s">
        <v>492</v>
      </c>
      <c r="J75" s="9">
        <f ca="1">VLOOKUP(Tabla1[[#This Row],[Nombre Equipo]],INDIRECT(Tabla1[[#This Row],[Proveedor calib.]]),2,FALSE)</f>
        <v>0</v>
      </c>
      <c r="K75" s="9">
        <f ca="1">Tabla1[[#This Row],[ Valor calibración]]*1.19</f>
        <v>0</v>
      </c>
      <c r="L75" s="8" t="s">
        <v>65</v>
      </c>
      <c r="M75" s="16">
        <v>44963</v>
      </c>
      <c r="N75" s="8" t="s">
        <v>74</v>
      </c>
      <c r="O75" s="8">
        <v>59325</v>
      </c>
      <c r="P75" s="9">
        <f ca="1">VLOOKUP(Tabla1[[#This Row],[Nombre Equipo]],INDIRECT(Tabla1[[#This Row],[Proveedor prev.]]),2,FALSE)</f>
        <v>45000</v>
      </c>
      <c r="Q75" s="9">
        <f ca="1">Tabla1[[#This Row],[Valor prev.]]*1.19</f>
        <v>53550</v>
      </c>
      <c r="T75" s="8" t="s">
        <v>156</v>
      </c>
      <c r="U75" s="9">
        <f t="array" aca="1" ref="U75" ca="1">SUMPRODUCT((Tabla1[Nombre Equipo]=T75)*1,Tabla1[Valor Prev + IVA])</f>
        <v>107100</v>
      </c>
    </row>
    <row r="76" spans="1:21" x14ac:dyDescent="0.3">
      <c r="A76" s="8" t="s">
        <v>30</v>
      </c>
      <c r="B76" s="8" t="str">
        <f>IFERROR(VLOOKUP(Tabla1[[#This Row],[Sede ]],Tabla2[[#All],[Sede]:[Departamento]],2,FALSE),"")</f>
        <v>Medellín</v>
      </c>
      <c r="C76" s="8" t="str">
        <f>IFERROR(VLOOKUP(Tabla1[[#This Row],[Sede ]],Tabla2[[#All],[Sede]:[Departamento]],3,FALSE),"")</f>
        <v>Antioquia</v>
      </c>
      <c r="D76" s="8" t="s">
        <v>119</v>
      </c>
      <c r="E76" s="13" t="s">
        <v>415</v>
      </c>
      <c r="F76" s="16" t="s">
        <v>492</v>
      </c>
      <c r="G76" s="8" t="s">
        <v>492</v>
      </c>
      <c r="H76" s="8" t="s">
        <v>492</v>
      </c>
      <c r="I76" s="8" t="s">
        <v>492</v>
      </c>
      <c r="J76" s="9">
        <f ca="1">VLOOKUP(Tabla1[[#This Row],[Nombre Equipo]],INDIRECT(Tabla1[[#This Row],[Proveedor calib.]]),2,FALSE)</f>
        <v>0</v>
      </c>
      <c r="K76" s="9">
        <f ca="1">Tabla1[[#This Row],[ Valor calibración]]*1.19</f>
        <v>0</v>
      </c>
      <c r="L76" s="8" t="s">
        <v>65</v>
      </c>
      <c r="M76" s="16">
        <v>44963</v>
      </c>
      <c r="N76" s="8" t="s">
        <v>74</v>
      </c>
      <c r="O76" s="8">
        <v>59362</v>
      </c>
      <c r="P76" s="9">
        <f ca="1">VLOOKUP(Tabla1[[#This Row],[Nombre Equipo]],INDIRECT(Tabla1[[#This Row],[Proveedor prev.]]),2,FALSE)</f>
        <v>45000</v>
      </c>
      <c r="Q76" s="9">
        <f ca="1">Tabla1[[#This Row],[Valor prev.]]*1.19</f>
        <v>53550</v>
      </c>
      <c r="T76" s="8" t="s">
        <v>115</v>
      </c>
      <c r="U76" s="9">
        <f t="array" aca="1" ref="U76" ca="1">SUMPRODUCT((Tabla1[Nombre Equipo]=T76)*1,Tabla1[Valor Prev + IVA])</f>
        <v>1178100</v>
      </c>
    </row>
    <row r="77" spans="1:21" x14ac:dyDescent="0.3">
      <c r="A77" s="8" t="s">
        <v>30</v>
      </c>
      <c r="B77" s="8" t="str">
        <f>IFERROR(VLOOKUP(Tabla1[[#This Row],[Sede ]],Tabla2[[#All],[Sede]:[Departamento]],2,FALSE),"")</f>
        <v>Medellín</v>
      </c>
      <c r="C77" s="8" t="str">
        <f>IFERROR(VLOOKUP(Tabla1[[#This Row],[Sede ]],Tabla2[[#All],[Sede]:[Departamento]],3,FALSE),"")</f>
        <v>Antioquia</v>
      </c>
      <c r="D77" s="8" t="s">
        <v>115</v>
      </c>
      <c r="E77" s="13" t="s">
        <v>416</v>
      </c>
      <c r="F77" s="16" t="s">
        <v>492</v>
      </c>
      <c r="G77" s="8" t="s">
        <v>492</v>
      </c>
      <c r="H77" s="8" t="s">
        <v>492</v>
      </c>
      <c r="I77" s="8" t="s">
        <v>492</v>
      </c>
      <c r="J77" s="9">
        <f ca="1">VLOOKUP(Tabla1[[#This Row],[Nombre Equipo]],INDIRECT(Tabla1[[#This Row],[Proveedor calib.]]),2,FALSE)</f>
        <v>0</v>
      </c>
      <c r="K77" s="9">
        <f ca="1">Tabla1[[#This Row],[ Valor calibración]]*1.19</f>
        <v>0</v>
      </c>
      <c r="L77" s="8" t="s">
        <v>65</v>
      </c>
      <c r="M77" s="16">
        <v>44963</v>
      </c>
      <c r="N77" s="8" t="s">
        <v>74</v>
      </c>
      <c r="O77" s="8">
        <v>59363</v>
      </c>
      <c r="P77" s="9">
        <f ca="1">VLOOKUP(Tabla1[[#This Row],[Nombre Equipo]],INDIRECT(Tabla1[[#This Row],[Proveedor prev.]]),2,FALSE)</f>
        <v>45000</v>
      </c>
      <c r="Q77" s="9">
        <f ca="1">Tabla1[[#This Row],[Valor prev.]]*1.19</f>
        <v>53550</v>
      </c>
      <c r="T77" s="8" t="s">
        <v>300</v>
      </c>
      <c r="U77" s="9">
        <f t="array" aca="1" ref="U77" ca="1">SUMPRODUCT((Tabla1[Nombre Equipo]=T77)*1,Tabla1[Valor Prev + IVA])</f>
        <v>1950410</v>
      </c>
    </row>
    <row r="78" spans="1:21" x14ac:dyDescent="0.3">
      <c r="A78" s="8" t="s">
        <v>30</v>
      </c>
      <c r="B78" s="8" t="str">
        <f>IFERROR(VLOOKUP(Tabla1[[#This Row],[Sede ]],Tabla2[[#All],[Sede]:[Departamento]],2,FALSE),"")</f>
        <v>Medellín</v>
      </c>
      <c r="C78" s="8" t="str">
        <f>IFERROR(VLOOKUP(Tabla1[[#This Row],[Sede ]],Tabla2[[#All],[Sede]:[Departamento]],3,FALSE),"")</f>
        <v>Antioquia</v>
      </c>
      <c r="D78" s="8" t="s">
        <v>127</v>
      </c>
      <c r="E78" s="13" t="s">
        <v>417</v>
      </c>
      <c r="F78" s="16" t="s">
        <v>492</v>
      </c>
      <c r="G78" s="8" t="s">
        <v>492</v>
      </c>
      <c r="H78" s="8" t="s">
        <v>492</v>
      </c>
      <c r="I78" s="8" t="s">
        <v>492</v>
      </c>
      <c r="J78" s="9">
        <f ca="1">VLOOKUP(Tabla1[[#This Row],[Nombre Equipo]],INDIRECT(Tabla1[[#This Row],[Proveedor calib.]]),2,FALSE)</f>
        <v>0</v>
      </c>
      <c r="K78" s="9">
        <f ca="1">Tabla1[[#This Row],[ Valor calibración]]*1.19</f>
        <v>0</v>
      </c>
      <c r="L78" s="8" t="s">
        <v>65</v>
      </c>
      <c r="M78" s="16">
        <v>44964</v>
      </c>
      <c r="N78" s="8" t="s">
        <v>74</v>
      </c>
      <c r="O78" s="8">
        <v>59366</v>
      </c>
      <c r="P78" s="9">
        <f ca="1">VLOOKUP(Tabla1[[#This Row],[Nombre Equipo]],INDIRECT(Tabla1[[#This Row],[Proveedor prev.]]),2,FALSE)</f>
        <v>45000</v>
      </c>
      <c r="Q78" s="9">
        <f ca="1">Tabla1[[#This Row],[Valor prev.]]*1.19</f>
        <v>53550</v>
      </c>
      <c r="T78" s="8" t="s">
        <v>125</v>
      </c>
      <c r="U78" s="9">
        <f t="array" aca="1" ref="U78" ca="1">SUMPRODUCT((Tabla1[Nombre Equipo]=T78)*1,Tabla1[Valor Prev + IVA])</f>
        <v>476000</v>
      </c>
    </row>
    <row r="79" spans="1:21" x14ac:dyDescent="0.3">
      <c r="A79" s="8" t="s">
        <v>30</v>
      </c>
      <c r="B79" s="8" t="str">
        <f>IFERROR(VLOOKUP(Tabla1[[#This Row],[Sede ]],Tabla2[[#All],[Sede]:[Departamento]],2,FALSE),"")</f>
        <v>Medellín</v>
      </c>
      <c r="C79" s="8" t="str">
        <f>IFERROR(VLOOKUP(Tabla1[[#This Row],[Sede ]],Tabla2[[#All],[Sede]:[Departamento]],3,FALSE),"")</f>
        <v>Antioquia</v>
      </c>
      <c r="D79" s="8" t="s">
        <v>127</v>
      </c>
      <c r="E79" s="13" t="s">
        <v>418</v>
      </c>
      <c r="F79" s="16" t="s">
        <v>492</v>
      </c>
      <c r="G79" s="8" t="s">
        <v>492</v>
      </c>
      <c r="H79" s="8" t="s">
        <v>492</v>
      </c>
      <c r="I79" s="8" t="s">
        <v>492</v>
      </c>
      <c r="J79" s="9">
        <f ca="1">VLOOKUP(Tabla1[[#This Row],[Nombre Equipo]],INDIRECT(Tabla1[[#This Row],[Proveedor calib.]]),2,FALSE)</f>
        <v>0</v>
      </c>
      <c r="K79" s="9">
        <f ca="1">Tabla1[[#This Row],[ Valor calibración]]*1.19</f>
        <v>0</v>
      </c>
      <c r="L79" s="8" t="s">
        <v>65</v>
      </c>
      <c r="M79" s="16">
        <v>44964</v>
      </c>
      <c r="N79" s="8" t="s">
        <v>74</v>
      </c>
      <c r="O79" s="8">
        <v>59367</v>
      </c>
      <c r="P79" s="9">
        <f ca="1">VLOOKUP(Tabla1[[#This Row],[Nombre Equipo]],INDIRECT(Tabla1[[#This Row],[Proveedor prev.]]),2,FALSE)</f>
        <v>45000</v>
      </c>
      <c r="Q79" s="9">
        <f ca="1">Tabla1[[#This Row],[Valor prev.]]*1.19</f>
        <v>53550</v>
      </c>
      <c r="T79" s="8" t="s">
        <v>149</v>
      </c>
      <c r="U79" s="9">
        <f t="array" aca="1" ref="U79" ca="1">SUMPRODUCT((Tabla1[Nombre Equipo]=T79)*1,Tabla1[Valor Prev + IVA])</f>
        <v>267750</v>
      </c>
    </row>
    <row r="80" spans="1:21" x14ac:dyDescent="0.3">
      <c r="A80" s="8" t="s">
        <v>30</v>
      </c>
      <c r="B80" s="8" t="str">
        <f>IFERROR(VLOOKUP(Tabla1[[#This Row],[Sede ]],Tabla2[[#All],[Sede]:[Departamento]],2,FALSE),"")</f>
        <v>Medellín</v>
      </c>
      <c r="C80" s="8" t="str">
        <f>IFERROR(VLOOKUP(Tabla1[[#This Row],[Sede ]],Tabla2[[#All],[Sede]:[Departamento]],3,FALSE),"")</f>
        <v>Antioquia</v>
      </c>
      <c r="D80" s="8" t="s">
        <v>118</v>
      </c>
      <c r="E80" s="13" t="s">
        <v>419</v>
      </c>
      <c r="F80" s="16" t="s">
        <v>492</v>
      </c>
      <c r="G80" s="8" t="s">
        <v>492</v>
      </c>
      <c r="H80" s="8" t="s">
        <v>492</v>
      </c>
      <c r="I80" s="8" t="s">
        <v>492</v>
      </c>
      <c r="J80" s="9">
        <f ca="1">VLOOKUP(Tabla1[[#This Row],[Nombre Equipo]],INDIRECT(Tabla1[[#This Row],[Proveedor calib.]]),2,FALSE)</f>
        <v>0</v>
      </c>
      <c r="K80" s="9">
        <f ca="1">Tabla1[[#This Row],[ Valor calibración]]*1.19</f>
        <v>0</v>
      </c>
      <c r="L80" s="8" t="s">
        <v>65</v>
      </c>
      <c r="M80" s="16">
        <v>44964</v>
      </c>
      <c r="N80" s="8" t="s">
        <v>74</v>
      </c>
      <c r="O80" s="8">
        <v>59368</v>
      </c>
      <c r="P80" s="9">
        <f ca="1">VLOOKUP(Tabla1[[#This Row],[Nombre Equipo]],INDIRECT(Tabla1[[#This Row],[Proveedor prev.]]),2,FALSE)</f>
        <v>45000</v>
      </c>
      <c r="Q80" s="9">
        <f ca="1">Tabla1[[#This Row],[Valor prev.]]*1.19</f>
        <v>53550</v>
      </c>
      <c r="T80" s="8" t="s">
        <v>431</v>
      </c>
      <c r="U80" s="9">
        <f t="array" aca="1" ref="U80" ca="1">SUMPRODUCT((Tabla1[Nombre Equipo]=T80)*1,Tabla1[Valor Prev + IVA])</f>
        <v>952000</v>
      </c>
    </row>
    <row r="81" spans="1:22" x14ac:dyDescent="0.3">
      <c r="A81" s="8" t="s">
        <v>30</v>
      </c>
      <c r="B81" s="8" t="str">
        <f>IFERROR(VLOOKUP(Tabla1[[#This Row],[Sede ]],Tabla2[[#All],[Sede]:[Departamento]],2,FALSE),"")</f>
        <v>Medellín</v>
      </c>
      <c r="C81" s="8" t="str">
        <f>IFERROR(VLOOKUP(Tabla1[[#This Row],[Sede ]],Tabla2[[#All],[Sede]:[Departamento]],3,FALSE),"")</f>
        <v>Antioquia</v>
      </c>
      <c r="D81" s="8" t="s">
        <v>118</v>
      </c>
      <c r="E81" s="13" t="s">
        <v>420</v>
      </c>
      <c r="F81" s="16" t="s">
        <v>492</v>
      </c>
      <c r="G81" s="8" t="s">
        <v>492</v>
      </c>
      <c r="H81" s="8" t="s">
        <v>492</v>
      </c>
      <c r="I81" s="8" t="s">
        <v>492</v>
      </c>
      <c r="J81" s="9">
        <f ca="1">VLOOKUP(Tabla1[[#This Row],[Nombre Equipo]],INDIRECT(Tabla1[[#This Row],[Proveedor calib.]]),2,FALSE)</f>
        <v>0</v>
      </c>
      <c r="K81" s="9">
        <f ca="1">Tabla1[[#This Row],[ Valor calibración]]*1.19</f>
        <v>0</v>
      </c>
      <c r="L81" s="8" t="s">
        <v>65</v>
      </c>
      <c r="M81" s="16">
        <v>44964</v>
      </c>
      <c r="N81" s="8" t="s">
        <v>74</v>
      </c>
      <c r="O81" s="8">
        <v>59370</v>
      </c>
      <c r="P81" s="9">
        <f ca="1">VLOOKUP(Tabla1[[#This Row],[Nombre Equipo]],INDIRECT(Tabla1[[#This Row],[Proveedor prev.]]),2,FALSE)</f>
        <v>45000</v>
      </c>
      <c r="Q81" s="9">
        <f ca="1">Tabla1[[#This Row],[Valor prev.]]*1.19</f>
        <v>53550</v>
      </c>
      <c r="T81" s="8" t="s">
        <v>389</v>
      </c>
      <c r="U81" s="9">
        <f t="array" aca="1" ref="U81" ca="1">SUMPRODUCT((Tabla1[Nombre Equipo]=T81)*1,Tabla1[Valor Prev + IVA])</f>
        <v>190400</v>
      </c>
    </row>
    <row r="82" spans="1:22" x14ac:dyDescent="0.3">
      <c r="A82" s="8" t="s">
        <v>43</v>
      </c>
      <c r="B82" s="8" t="str">
        <f>IFERROR(VLOOKUP(Tabla1[[#This Row],[Sede ]],Tabla2[[#All],[Sede]:[Departamento]],2,FALSE),"")</f>
        <v>Caldas</v>
      </c>
      <c r="C82" s="8" t="str">
        <f>IFERROR(VLOOKUP(Tabla1[[#This Row],[Sede ]],Tabla2[[#All],[Sede]:[Departamento]],3,FALSE),"")</f>
        <v>Antioquia</v>
      </c>
      <c r="D82" s="8" t="s">
        <v>114</v>
      </c>
      <c r="E82" s="13" t="s">
        <v>422</v>
      </c>
      <c r="F82" s="16" t="s">
        <v>492</v>
      </c>
      <c r="G82" s="8" t="s">
        <v>492</v>
      </c>
      <c r="H82" s="8" t="s">
        <v>492</v>
      </c>
      <c r="I82" s="8" t="s">
        <v>492</v>
      </c>
      <c r="J82" s="9">
        <f ca="1">VLOOKUP(Tabla1[[#This Row],[Nombre Equipo]],INDIRECT(Tabla1[[#This Row],[Proveedor calib.]]),2,FALSE)</f>
        <v>0</v>
      </c>
      <c r="K82" s="9">
        <f ca="1">Tabla1[[#This Row],[ Valor calibración]]*1.19</f>
        <v>0</v>
      </c>
      <c r="L82" s="8" t="s">
        <v>65</v>
      </c>
      <c r="M82" s="16">
        <v>44965</v>
      </c>
      <c r="N82" s="8" t="s">
        <v>74</v>
      </c>
      <c r="O82" s="8">
        <v>59380</v>
      </c>
      <c r="P82" s="9">
        <f ca="1">VLOOKUP(Tabla1[[#This Row],[Nombre Equipo]],INDIRECT(Tabla1[[#This Row],[Proveedor prev.]]),2,FALSE)</f>
        <v>45000</v>
      </c>
      <c r="Q82" s="9">
        <f ca="1">Tabla1[[#This Row],[Valor prev.]]*1.19</f>
        <v>53550</v>
      </c>
      <c r="T82" s="42" t="s">
        <v>573</v>
      </c>
      <c r="U82" s="43">
        <f ca="1">SUM(U53:U81)</f>
        <v>17005100</v>
      </c>
    </row>
    <row r="83" spans="1:22" x14ac:dyDescent="0.3">
      <c r="A83" s="8" t="s">
        <v>43</v>
      </c>
      <c r="B83" s="8" t="str">
        <f>IFERROR(VLOOKUP(Tabla1[[#This Row],[Sede ]],Tabla2[[#All],[Sede]:[Departamento]],2,FALSE),"")</f>
        <v>Caldas</v>
      </c>
      <c r="C83" s="8" t="str">
        <f>IFERROR(VLOOKUP(Tabla1[[#This Row],[Sede ]],Tabla2[[#All],[Sede]:[Departamento]],3,FALSE),"")</f>
        <v>Antioquia</v>
      </c>
      <c r="D83" s="8" t="s">
        <v>114</v>
      </c>
      <c r="E83" s="13" t="s">
        <v>423</v>
      </c>
      <c r="F83" s="16" t="s">
        <v>492</v>
      </c>
      <c r="G83" s="8" t="s">
        <v>492</v>
      </c>
      <c r="H83" s="8" t="s">
        <v>492</v>
      </c>
      <c r="I83" s="8" t="s">
        <v>492</v>
      </c>
      <c r="J83" s="9">
        <f ca="1">VLOOKUP(Tabla1[[#This Row],[Nombre Equipo]],INDIRECT(Tabla1[[#This Row],[Proveedor calib.]]),2,FALSE)</f>
        <v>0</v>
      </c>
      <c r="K83" s="9">
        <f ca="1">Tabla1[[#This Row],[ Valor calibración]]*1.19</f>
        <v>0</v>
      </c>
      <c r="L83" s="8" t="s">
        <v>65</v>
      </c>
      <c r="M83" s="16">
        <v>44965</v>
      </c>
      <c r="N83" s="8" t="s">
        <v>74</v>
      </c>
      <c r="O83" s="8">
        <v>59381</v>
      </c>
      <c r="P83" s="9">
        <f ca="1">VLOOKUP(Tabla1[[#This Row],[Nombre Equipo]],INDIRECT(Tabla1[[#This Row],[Proveedor prev.]]),2,FALSE)</f>
        <v>45000</v>
      </c>
      <c r="Q83" s="9">
        <f ca="1">Tabla1[[#This Row],[Valor prev.]]*1.19</f>
        <v>53550</v>
      </c>
    </row>
    <row r="84" spans="1:22" x14ac:dyDescent="0.3">
      <c r="A84" s="8" t="s">
        <v>30</v>
      </c>
      <c r="B84" s="8" t="str">
        <f>IFERROR(VLOOKUP(Tabla1[[#This Row],[Sede ]],Tabla2[[#All],[Sede]:[Departamento]],2,FALSE),"")</f>
        <v>Medellín</v>
      </c>
      <c r="C84" s="8" t="str">
        <f>IFERROR(VLOOKUP(Tabla1[[#This Row],[Sede ]],Tabla2[[#All],[Sede]:[Departamento]],3,FALSE),"")</f>
        <v>Antioquia</v>
      </c>
      <c r="D84" s="8" t="s">
        <v>294</v>
      </c>
      <c r="E84" s="13" t="s">
        <v>424</v>
      </c>
      <c r="F84" s="16" t="s">
        <v>492</v>
      </c>
      <c r="G84" s="8" t="s">
        <v>492</v>
      </c>
      <c r="H84" s="8" t="s">
        <v>492</v>
      </c>
      <c r="I84" s="8" t="s">
        <v>492</v>
      </c>
      <c r="J84" s="9">
        <f ca="1">VLOOKUP(Tabla1[[#This Row],[Nombre Equipo]],INDIRECT(Tabla1[[#This Row],[Proveedor calib.]]),2,FALSE)</f>
        <v>0</v>
      </c>
      <c r="K84" s="9">
        <f ca="1">Tabla1[[#This Row],[ Valor calibración]]*1.19</f>
        <v>0</v>
      </c>
      <c r="L84" s="8" t="s">
        <v>65</v>
      </c>
      <c r="M84" s="16">
        <v>44965</v>
      </c>
      <c r="N84" s="8" t="s">
        <v>74</v>
      </c>
      <c r="O84" s="8">
        <v>59390</v>
      </c>
      <c r="P84" s="9">
        <f ca="1">VLOOKUP(Tabla1[[#This Row],[Nombre Equipo]],INDIRECT(Tabla1[[#This Row],[Proveedor prev.]]),2,FALSE)</f>
        <v>65000</v>
      </c>
      <c r="Q84" s="9">
        <f ca="1">Tabla1[[#This Row],[Valor prev.]]*1.19</f>
        <v>77350</v>
      </c>
      <c r="U84" s="33"/>
      <c r="V84" s="33"/>
    </row>
    <row r="85" spans="1:22" ht="13.95" customHeight="1" x14ac:dyDescent="0.3">
      <c r="A85" s="8" t="s">
        <v>30</v>
      </c>
      <c r="B85" s="8" t="str">
        <f>IFERROR(VLOOKUP(Tabla1[[#This Row],[Sede ]],Tabla2[[#All],[Sede]:[Departamento]],2,FALSE),"")</f>
        <v>Medellín</v>
      </c>
      <c r="C85" s="8" t="str">
        <f>IFERROR(VLOOKUP(Tabla1[[#This Row],[Sede ]],Tabla2[[#All],[Sede]:[Departamento]],3,FALSE),"")</f>
        <v>Antioquia</v>
      </c>
      <c r="D85" s="8" t="s">
        <v>390</v>
      </c>
      <c r="E85" s="13" t="s">
        <v>425</v>
      </c>
      <c r="F85" s="16" t="s">
        <v>492</v>
      </c>
      <c r="G85" s="8" t="s">
        <v>492</v>
      </c>
      <c r="H85" s="8" t="s">
        <v>492</v>
      </c>
      <c r="I85" s="8" t="s">
        <v>492</v>
      </c>
      <c r="J85" s="9">
        <f ca="1">VLOOKUP(Tabla1[[#This Row],[Nombre Equipo]],INDIRECT(Tabla1[[#This Row],[Proveedor calib.]]),2,FALSE)</f>
        <v>0</v>
      </c>
      <c r="K85" s="9">
        <f ca="1">Tabla1[[#This Row],[ Valor calibración]]*1.19</f>
        <v>0</v>
      </c>
      <c r="L85" s="8" t="s">
        <v>65</v>
      </c>
      <c r="M85" s="16">
        <v>44965</v>
      </c>
      <c r="N85" s="8" t="s">
        <v>74</v>
      </c>
      <c r="O85" s="8">
        <v>59391</v>
      </c>
      <c r="P85" s="9">
        <f ca="1">VLOOKUP(Tabla1[[#This Row],[Nombre Equipo]],INDIRECT(Tabla1[[#This Row],[Proveedor prev.]]),2,FALSE)</f>
        <v>40000</v>
      </c>
      <c r="Q85" s="9">
        <f ca="1">Tabla1[[#This Row],[Valor prev.]]*1.19</f>
        <v>47600</v>
      </c>
      <c r="S85" s="140" t="s">
        <v>655</v>
      </c>
      <c r="T85" s="140"/>
      <c r="U85" s="140"/>
      <c r="V85" s="140"/>
    </row>
    <row r="86" spans="1:22" ht="13.95" customHeight="1" thickBot="1" x14ac:dyDescent="0.35">
      <c r="A86" s="8" t="s">
        <v>30</v>
      </c>
      <c r="B86" s="8" t="str">
        <f>IFERROR(VLOOKUP(Tabla1[[#This Row],[Sede ]],Tabla2[[#All],[Sede]:[Departamento]],2,FALSE),"")</f>
        <v>Medellín</v>
      </c>
      <c r="C86" s="8" t="str">
        <f>IFERROR(VLOOKUP(Tabla1[[#This Row],[Sede ]],Tabla2[[#All],[Sede]:[Departamento]],3,FALSE),"")</f>
        <v>Antioquia</v>
      </c>
      <c r="D86" s="8" t="s">
        <v>300</v>
      </c>
      <c r="E86" s="13" t="s">
        <v>426</v>
      </c>
      <c r="F86" s="16" t="s">
        <v>492</v>
      </c>
      <c r="G86" s="8" t="s">
        <v>492</v>
      </c>
      <c r="H86" s="8" t="s">
        <v>492</v>
      </c>
      <c r="I86" s="8" t="s">
        <v>492</v>
      </c>
      <c r="J86" s="9">
        <f ca="1">VLOOKUP(Tabla1[[#This Row],[Nombre Equipo]],INDIRECT(Tabla1[[#This Row],[Proveedor calib.]]),2,FALSE)</f>
        <v>0</v>
      </c>
      <c r="K86" s="9">
        <f ca="1">Tabla1[[#This Row],[ Valor calibración]]*1.19</f>
        <v>0</v>
      </c>
      <c r="L86" s="8" t="s">
        <v>65</v>
      </c>
      <c r="M86" s="16">
        <v>44965</v>
      </c>
      <c r="N86" s="8" t="s">
        <v>74</v>
      </c>
      <c r="O86" s="8">
        <v>59392</v>
      </c>
      <c r="P86" s="9">
        <f ca="1">VLOOKUP(Tabla1[[#This Row],[Nombre Equipo]],INDIRECT(Tabla1[[#This Row],[Proveedor prev.]]),2,FALSE)</f>
        <v>100000</v>
      </c>
      <c r="Q86" s="9">
        <f ca="1">Tabla1[[#This Row],[Valor prev.]]*1.19</f>
        <v>119000</v>
      </c>
      <c r="S86" s="141"/>
      <c r="T86" s="141"/>
      <c r="U86" s="141"/>
      <c r="V86" s="141"/>
    </row>
    <row r="87" spans="1:22" ht="14.4" thickTop="1" x14ac:dyDescent="0.3">
      <c r="A87" s="8" t="s">
        <v>30</v>
      </c>
      <c r="B87" s="8" t="str">
        <f>IFERROR(VLOOKUP(Tabla1[[#This Row],[Sede ]],Tabla2[[#All],[Sede]:[Departamento]],2,FALSE),"")</f>
        <v>Medellín</v>
      </c>
      <c r="C87" s="8" t="str">
        <f>IFERROR(VLOOKUP(Tabla1[[#This Row],[Sede ]],Tabla2[[#All],[Sede]:[Departamento]],3,FALSE),"")</f>
        <v>Antioquia</v>
      </c>
      <c r="D87" s="8" t="s">
        <v>116</v>
      </c>
      <c r="E87" s="13" t="s">
        <v>427</v>
      </c>
      <c r="F87" s="16" t="s">
        <v>492</v>
      </c>
      <c r="G87" s="8" t="s">
        <v>492</v>
      </c>
      <c r="H87" s="8" t="s">
        <v>492</v>
      </c>
      <c r="I87" s="8" t="s">
        <v>492</v>
      </c>
      <c r="J87" s="9">
        <f ca="1">VLOOKUP(Tabla1[[#This Row],[Nombre Equipo]],INDIRECT(Tabla1[[#This Row],[Proveedor calib.]]),2,FALSE)</f>
        <v>0</v>
      </c>
      <c r="K87" s="9">
        <f ca="1">Tabla1[[#This Row],[ Valor calibración]]*1.19</f>
        <v>0</v>
      </c>
      <c r="L87" s="8" t="s">
        <v>65</v>
      </c>
      <c r="M87" s="16">
        <v>44966</v>
      </c>
      <c r="N87" s="8" t="s">
        <v>74</v>
      </c>
      <c r="O87" s="8">
        <v>59395</v>
      </c>
      <c r="P87" s="9">
        <f ca="1">VLOOKUP(Tabla1[[#This Row],[Nombre Equipo]],INDIRECT(Tabla1[[#This Row],[Proveedor prev.]]),2,FALSE)</f>
        <v>45000</v>
      </c>
      <c r="Q87" s="9">
        <f ca="1">Tabla1[[#This Row],[Valor prev.]]*1.19</f>
        <v>53550</v>
      </c>
    </row>
    <row r="88" spans="1:22" x14ac:dyDescent="0.3">
      <c r="A88" s="8" t="s">
        <v>30</v>
      </c>
      <c r="B88" s="8" t="str">
        <f>IFERROR(VLOOKUP(Tabla1[[#This Row],[Sede ]],Tabla2[[#All],[Sede]:[Departamento]],2,FALSE),"")</f>
        <v>Medellín</v>
      </c>
      <c r="C88" s="8" t="str">
        <f>IFERROR(VLOOKUP(Tabla1[[#This Row],[Sede ]],Tabla2[[#All],[Sede]:[Departamento]],3,FALSE),"")</f>
        <v>Antioquia</v>
      </c>
      <c r="D88" s="8" t="s">
        <v>114</v>
      </c>
      <c r="E88" s="13" t="s">
        <v>429</v>
      </c>
      <c r="F88" s="16" t="s">
        <v>492</v>
      </c>
      <c r="G88" s="8" t="s">
        <v>492</v>
      </c>
      <c r="H88" s="8" t="s">
        <v>492</v>
      </c>
      <c r="I88" s="8" t="s">
        <v>492</v>
      </c>
      <c r="J88" s="9">
        <f ca="1">VLOOKUP(Tabla1[[#This Row],[Nombre Equipo]],INDIRECT(Tabla1[[#This Row],[Proveedor calib.]]),2,FALSE)</f>
        <v>0</v>
      </c>
      <c r="K88" s="9">
        <f ca="1">Tabla1[[#This Row],[ Valor calibración]]*1.19</f>
        <v>0</v>
      </c>
      <c r="L88" s="8" t="s">
        <v>65</v>
      </c>
      <c r="M88" s="16">
        <v>44966</v>
      </c>
      <c r="N88" s="8" t="s">
        <v>74</v>
      </c>
      <c r="O88" s="8">
        <v>59398</v>
      </c>
      <c r="P88" s="9">
        <f ca="1">VLOOKUP(Tabla1[[#This Row],[Nombre Equipo]],INDIRECT(Tabla1[[#This Row],[Proveedor prev.]]),2,FALSE)</f>
        <v>45000</v>
      </c>
      <c r="Q88" s="9">
        <f ca="1">Tabla1[[#This Row],[Valor prev.]]*1.19</f>
        <v>53550</v>
      </c>
      <c r="S88" s="35" t="s">
        <v>8</v>
      </c>
      <c r="T88" s="35" t="s">
        <v>653</v>
      </c>
      <c r="U88" s="35" t="s">
        <v>654</v>
      </c>
      <c r="V88" s="35" t="s">
        <v>572</v>
      </c>
    </row>
    <row r="89" spans="1:22" x14ac:dyDescent="0.3">
      <c r="A89" s="8" t="s">
        <v>30</v>
      </c>
      <c r="B89" s="8" t="str">
        <f>IFERROR(VLOOKUP(Tabla1[[#This Row],[Sede ]],Tabla2[[#All],[Sede]:[Departamento]],2,FALSE),"")</f>
        <v>Medellín</v>
      </c>
      <c r="C89" s="8" t="str">
        <f>IFERROR(VLOOKUP(Tabla1[[#This Row],[Sede ]],Tabla2[[#All],[Sede]:[Departamento]],3,FALSE),"")</f>
        <v>Antioquia</v>
      </c>
      <c r="D89" s="8" t="s">
        <v>114</v>
      </c>
      <c r="E89" s="13" t="s">
        <v>430</v>
      </c>
      <c r="F89" s="16" t="s">
        <v>492</v>
      </c>
      <c r="G89" s="8" t="s">
        <v>492</v>
      </c>
      <c r="H89" s="8" t="s">
        <v>492</v>
      </c>
      <c r="I89" s="8" t="s">
        <v>492</v>
      </c>
      <c r="J89" s="9">
        <f ca="1">VLOOKUP(Tabla1[[#This Row],[Nombre Equipo]],INDIRECT(Tabla1[[#This Row],[Proveedor calib.]]),2,FALSE)</f>
        <v>0</v>
      </c>
      <c r="K89" s="9">
        <f ca="1">Tabla1[[#This Row],[ Valor calibración]]*1.19</f>
        <v>0</v>
      </c>
      <c r="L89" s="8" t="s">
        <v>65</v>
      </c>
      <c r="M89" s="16">
        <v>44966</v>
      </c>
      <c r="N89" s="8" t="s">
        <v>74</v>
      </c>
      <c r="O89" s="8">
        <v>59399</v>
      </c>
      <c r="P89" s="9">
        <f ca="1">VLOOKUP(Tabla1[[#This Row],[Nombre Equipo]],INDIRECT(Tabla1[[#This Row],[Proveedor prev.]]),2,FALSE)</f>
        <v>45000</v>
      </c>
      <c r="Q89" s="9">
        <f ca="1">Tabla1[[#This Row],[Valor prev.]]*1.19</f>
        <v>53550</v>
      </c>
      <c r="S89" s="8" t="s">
        <v>18</v>
      </c>
      <c r="T89" s="9" cm="1">
        <f t="array" aca="1" ref="T89" ca="1">SUMPRODUCT((Tabla1[[Sede ]]=S89)*1,$K$4:$K$281)</f>
        <v>128401</v>
      </c>
      <c r="U89" s="9" cm="1">
        <f t="array" aca="1" ref="U89" ca="1">SUMPRODUCT((Tabla1[[Sede ]]=S89)*1,Tabla1[Valor Prev + IVA])</f>
        <v>0</v>
      </c>
      <c r="V89" s="125">
        <f ca="1">T89+U89</f>
        <v>128401</v>
      </c>
    </row>
    <row r="90" spans="1:22" x14ac:dyDescent="0.3">
      <c r="A90" s="8" t="s">
        <v>43</v>
      </c>
      <c r="B90" s="8" t="str">
        <f>IFERROR(VLOOKUP(Tabla1[[#This Row],[Sede ]],Tabla2[[#All],[Sede]:[Departamento]],2,FALSE),"")</f>
        <v>Caldas</v>
      </c>
      <c r="C90" s="8" t="str">
        <f>IFERROR(VLOOKUP(Tabla1[[#This Row],[Sede ]],Tabla2[[#All],[Sede]:[Departamento]],3,FALSE),"")</f>
        <v>Antioquia</v>
      </c>
      <c r="D90" s="8" t="s">
        <v>431</v>
      </c>
      <c r="E90" s="13" t="s">
        <v>432</v>
      </c>
      <c r="F90" s="16" t="s">
        <v>492</v>
      </c>
      <c r="G90" s="8" t="s">
        <v>492</v>
      </c>
      <c r="H90" s="8" t="s">
        <v>492</v>
      </c>
      <c r="I90" s="8" t="s">
        <v>492</v>
      </c>
      <c r="J90" s="9">
        <f ca="1">VLOOKUP(Tabla1[[#This Row],[Nombre Equipo]],INDIRECT(Tabla1[[#This Row],[Proveedor calib.]]),2,FALSE)</f>
        <v>0</v>
      </c>
      <c r="K90" s="9">
        <f ca="1">Tabla1[[#This Row],[ Valor calibración]]*1.19</f>
        <v>0</v>
      </c>
      <c r="L90" s="8" t="s">
        <v>62</v>
      </c>
      <c r="M90" s="16">
        <v>44968</v>
      </c>
      <c r="N90" s="8" t="s">
        <v>74</v>
      </c>
      <c r="O90" s="8">
        <v>59419</v>
      </c>
      <c r="P90" s="9">
        <f ca="1">VLOOKUP(Tabla1[[#This Row],[Nombre Equipo]],INDIRECT(Tabla1[[#This Row],[Proveedor prev.]]),2,FALSE)</f>
        <v>100000</v>
      </c>
      <c r="Q90" s="9">
        <f ca="1">Tabla1[[#This Row],[Valor prev.]]*1.19</f>
        <v>119000</v>
      </c>
      <c r="S90" s="8" t="s">
        <v>19</v>
      </c>
      <c r="T90" s="9" cm="1">
        <f t="array" aca="1" ref="T90" ca="1">SUMPRODUCT((Tabla1[[Sede ]]=S90)*1,$K$4:$K$281)</f>
        <v>0</v>
      </c>
      <c r="U90" s="9" cm="1">
        <f t="array" aca="1" ref="U90" ca="1">SUMPRODUCT((Tabla1[[Sede ]]=S90)*1,Tabla1[Valor Prev + IVA])</f>
        <v>238000</v>
      </c>
      <c r="V90" s="125">
        <f ca="1">T90+U90</f>
        <v>238000</v>
      </c>
    </row>
    <row r="91" spans="1:22" x14ac:dyDescent="0.3">
      <c r="A91" s="8" t="s">
        <v>43</v>
      </c>
      <c r="B91" s="8" t="str">
        <f>IFERROR(VLOOKUP(Tabla1[[#This Row],[Sede ]],Tabla2[[#All],[Sede]:[Departamento]],2,FALSE),"")</f>
        <v>Caldas</v>
      </c>
      <c r="C91" s="8" t="str">
        <f>IFERROR(VLOOKUP(Tabla1[[#This Row],[Sede ]],Tabla2[[#All],[Sede]:[Departamento]],3,FALSE),"")</f>
        <v>Antioquia</v>
      </c>
      <c r="D91" s="8" t="s">
        <v>377</v>
      </c>
      <c r="E91" s="13" t="s">
        <v>433</v>
      </c>
      <c r="F91" s="16" t="s">
        <v>492</v>
      </c>
      <c r="G91" s="8" t="s">
        <v>492</v>
      </c>
      <c r="H91" s="8" t="s">
        <v>492</v>
      </c>
      <c r="I91" s="8" t="s">
        <v>492</v>
      </c>
      <c r="J91" s="9">
        <f ca="1">VLOOKUP(Tabla1[[#This Row],[Nombre Equipo]],INDIRECT(Tabla1[[#This Row],[Proveedor calib.]]),2,FALSE)</f>
        <v>0</v>
      </c>
      <c r="K91" s="9">
        <f ca="1">Tabla1[[#This Row],[ Valor calibración]]*1.19</f>
        <v>0</v>
      </c>
      <c r="L91" s="8" t="s">
        <v>62</v>
      </c>
      <c r="M91" s="16">
        <v>44968</v>
      </c>
      <c r="N91" s="8" t="s">
        <v>74</v>
      </c>
      <c r="O91" s="8">
        <v>59420</v>
      </c>
      <c r="P91" s="9">
        <f ca="1">VLOOKUP(Tabla1[[#This Row],[Nombre Equipo]],INDIRECT(Tabla1[[#This Row],[Proveedor prev.]]),2,FALSE)</f>
        <v>100000</v>
      </c>
      <c r="Q91" s="9">
        <f ca="1">Tabla1[[#This Row],[Valor prev.]]*1.19</f>
        <v>119000</v>
      </c>
      <c r="S91" s="8" t="s">
        <v>21</v>
      </c>
      <c r="T91" s="9" cm="1">
        <f t="array" aca="1" ref="T91" ca="1">SUMPRODUCT((Tabla1[[Sede ]]=S91)*1,$K$4:$K$281)</f>
        <v>304944.64000000001</v>
      </c>
      <c r="U91" s="9" cm="1">
        <f t="array" aca="1" ref="U91" ca="1">SUMPRODUCT((Tabla1[[Sede ]]=S91)*1,Tabla1[Valor Prev + IVA])</f>
        <v>0</v>
      </c>
      <c r="V91" s="125">
        <f t="shared" ref="V91:V117" ca="1" si="0">T91+U91</f>
        <v>304944.64000000001</v>
      </c>
    </row>
    <row r="92" spans="1:22" x14ac:dyDescent="0.3">
      <c r="A92" s="8" t="s">
        <v>43</v>
      </c>
      <c r="B92" s="8" t="str">
        <f>IFERROR(VLOOKUP(Tabla1[[#This Row],[Sede ]],Tabla2[[#All],[Sede]:[Departamento]],2,FALSE),"")</f>
        <v>Caldas</v>
      </c>
      <c r="C92" s="8" t="str">
        <f>IFERROR(VLOOKUP(Tabla1[[#This Row],[Sede ]],Tabla2[[#All],[Sede]:[Departamento]],3,FALSE),"")</f>
        <v>Antioquia</v>
      </c>
      <c r="D92" s="8" t="s">
        <v>431</v>
      </c>
      <c r="E92" s="13" t="s">
        <v>434</v>
      </c>
      <c r="F92" s="16" t="s">
        <v>492</v>
      </c>
      <c r="G92" s="8" t="s">
        <v>492</v>
      </c>
      <c r="H92" s="8" t="s">
        <v>492</v>
      </c>
      <c r="I92" s="8" t="s">
        <v>492</v>
      </c>
      <c r="J92" s="9">
        <f ca="1">VLOOKUP(Tabla1[[#This Row],[Nombre Equipo]],INDIRECT(Tabla1[[#This Row],[Proveedor calib.]]),2,FALSE)</f>
        <v>0</v>
      </c>
      <c r="K92" s="9">
        <f ca="1">Tabla1[[#This Row],[ Valor calibración]]*1.19</f>
        <v>0</v>
      </c>
      <c r="L92" s="8" t="s">
        <v>62</v>
      </c>
      <c r="M92" s="16">
        <v>44968</v>
      </c>
      <c r="N92" s="8" t="s">
        <v>74</v>
      </c>
      <c r="O92" s="8">
        <v>59421</v>
      </c>
      <c r="P92" s="9">
        <f ca="1">VLOOKUP(Tabla1[[#This Row],[Nombre Equipo]],INDIRECT(Tabla1[[#This Row],[Proveedor prev.]]),2,FALSE)</f>
        <v>100000</v>
      </c>
      <c r="Q92" s="9">
        <f ca="1">Tabla1[[#This Row],[Valor prev.]]*1.19</f>
        <v>119000</v>
      </c>
      <c r="S92" s="8" t="s">
        <v>22</v>
      </c>
      <c r="T92" s="9" cm="1">
        <f t="array" aca="1" ref="T92" ca="1">SUMPRODUCT((Tabla1[[Sede ]]=S92)*1,$K$4:$K$281)</f>
        <v>0</v>
      </c>
      <c r="U92" s="9" cm="1">
        <f t="array" aca="1" ref="U92" ca="1">SUMPRODUCT((Tabla1[[Sede ]]=S92)*1,Tabla1[Valor Prev + IVA])</f>
        <v>349265</v>
      </c>
      <c r="V92" s="125">
        <f t="shared" ca="1" si="0"/>
        <v>349265</v>
      </c>
    </row>
    <row r="93" spans="1:22" x14ac:dyDescent="0.3">
      <c r="A93" s="8" t="s">
        <v>43</v>
      </c>
      <c r="B93" s="8" t="str">
        <f>IFERROR(VLOOKUP(Tabla1[[#This Row],[Sede ]],Tabla2[[#All],[Sede]:[Departamento]],2,FALSE),"")</f>
        <v>Caldas</v>
      </c>
      <c r="C93" s="8" t="str">
        <f>IFERROR(VLOOKUP(Tabla1[[#This Row],[Sede ]],Tabla2[[#All],[Sede]:[Departamento]],3,FALSE),"")</f>
        <v>Antioquia</v>
      </c>
      <c r="D93" s="8" t="s">
        <v>431</v>
      </c>
      <c r="E93" s="13" t="s">
        <v>435</v>
      </c>
      <c r="F93" s="16" t="s">
        <v>492</v>
      </c>
      <c r="G93" s="8" t="s">
        <v>492</v>
      </c>
      <c r="H93" s="8" t="s">
        <v>492</v>
      </c>
      <c r="I93" s="8" t="s">
        <v>492</v>
      </c>
      <c r="J93" s="9">
        <f ca="1">VLOOKUP(Tabla1[[#This Row],[Nombre Equipo]],INDIRECT(Tabla1[[#This Row],[Proveedor calib.]]),2,FALSE)</f>
        <v>0</v>
      </c>
      <c r="K93" s="9">
        <f ca="1">Tabla1[[#This Row],[ Valor calibración]]*1.19</f>
        <v>0</v>
      </c>
      <c r="L93" s="8" t="s">
        <v>62</v>
      </c>
      <c r="M93" s="16">
        <v>44968</v>
      </c>
      <c r="N93" s="8" t="s">
        <v>74</v>
      </c>
      <c r="O93" s="8">
        <v>59422</v>
      </c>
      <c r="P93" s="9">
        <f ca="1">VLOOKUP(Tabla1[[#This Row],[Nombre Equipo]],INDIRECT(Tabla1[[#This Row],[Proveedor prev.]]),2,FALSE)</f>
        <v>100000</v>
      </c>
      <c r="Q93" s="9">
        <f ca="1">Tabla1[[#This Row],[Valor prev.]]*1.19</f>
        <v>119000</v>
      </c>
      <c r="S93" s="8" t="s">
        <v>25</v>
      </c>
      <c r="T93" s="9" cm="1">
        <f t="array" aca="1" ref="T93" ca="1">SUMPRODUCT((Tabla1[[Sede ]]=S93)*1,$K$4:$K$281)</f>
        <v>0</v>
      </c>
      <c r="U93" s="9" cm="1">
        <f t="array" aca="1" ref="U93" ca="1">SUMPRODUCT((Tabla1[[Sede ]]=S93)*1,Tabla1[Valor Prev + IVA])</f>
        <v>0</v>
      </c>
      <c r="V93" s="125">
        <f t="shared" ca="1" si="0"/>
        <v>0</v>
      </c>
    </row>
    <row r="94" spans="1:22" x14ac:dyDescent="0.3">
      <c r="A94" s="8" t="s">
        <v>43</v>
      </c>
      <c r="B94" s="8" t="str">
        <f>IFERROR(VLOOKUP(Tabla1[[#This Row],[Sede ]],Tabla2[[#All],[Sede]:[Departamento]],2,FALSE),"")</f>
        <v>Caldas</v>
      </c>
      <c r="C94" s="8" t="str">
        <f>IFERROR(VLOOKUP(Tabla1[[#This Row],[Sede ]],Tabla2[[#All],[Sede]:[Departamento]],3,FALSE),"")</f>
        <v>Antioquia</v>
      </c>
      <c r="D94" s="8" t="s">
        <v>431</v>
      </c>
      <c r="E94" s="13" t="s">
        <v>436</v>
      </c>
      <c r="F94" s="16" t="s">
        <v>492</v>
      </c>
      <c r="G94" s="8" t="s">
        <v>492</v>
      </c>
      <c r="H94" s="8" t="s">
        <v>492</v>
      </c>
      <c r="I94" s="8" t="s">
        <v>492</v>
      </c>
      <c r="J94" s="9">
        <f ca="1">VLOOKUP(Tabla1[[#This Row],[Nombre Equipo]],INDIRECT(Tabla1[[#This Row],[Proveedor calib.]]),2,FALSE)</f>
        <v>0</v>
      </c>
      <c r="K94" s="9">
        <f ca="1">Tabla1[[#This Row],[ Valor calibración]]*1.19</f>
        <v>0</v>
      </c>
      <c r="L94" s="8" t="s">
        <v>62</v>
      </c>
      <c r="M94" s="16">
        <v>44968</v>
      </c>
      <c r="N94" s="8" t="s">
        <v>74</v>
      </c>
      <c r="O94" s="8">
        <v>59423</v>
      </c>
      <c r="P94" s="9">
        <f ca="1">VLOOKUP(Tabla1[[#This Row],[Nombre Equipo]],INDIRECT(Tabla1[[#This Row],[Proveedor prev.]]),2,FALSE)</f>
        <v>100000</v>
      </c>
      <c r="Q94" s="9">
        <f ca="1">Tabla1[[#This Row],[Valor prev.]]*1.19</f>
        <v>119000</v>
      </c>
      <c r="S94" s="8" t="s">
        <v>28</v>
      </c>
      <c r="T94" s="9" cm="1">
        <f t="array" aca="1" ref="T94" ca="1">SUMPRODUCT((Tabla1[[Sede ]]=S94)*1,$K$4:$K$281)</f>
        <v>0</v>
      </c>
      <c r="U94" s="9" cm="1">
        <f t="array" aca="1" ref="U94" ca="1">SUMPRODUCT((Tabla1[[Sede ]]=S94)*1,Tabla1[Valor Prev + IVA])</f>
        <v>133875</v>
      </c>
      <c r="V94" s="125">
        <f t="shared" ca="1" si="0"/>
        <v>133875</v>
      </c>
    </row>
    <row r="95" spans="1:22" x14ac:dyDescent="0.3">
      <c r="A95" s="8" t="s">
        <v>43</v>
      </c>
      <c r="B95" s="8" t="str">
        <f>IFERROR(VLOOKUP(Tabla1[[#This Row],[Sede ]],Tabla2[[#All],[Sede]:[Departamento]],2,FALSE),"")</f>
        <v>Caldas</v>
      </c>
      <c r="C95" s="8" t="str">
        <f>IFERROR(VLOOKUP(Tabla1[[#This Row],[Sede ]],Tabla2[[#All],[Sede]:[Departamento]],3,FALSE),"")</f>
        <v>Antioquia</v>
      </c>
      <c r="D95" s="8" t="s">
        <v>377</v>
      </c>
      <c r="E95" s="13" t="s">
        <v>437</v>
      </c>
      <c r="F95" s="16" t="s">
        <v>492</v>
      </c>
      <c r="G95" s="8" t="s">
        <v>492</v>
      </c>
      <c r="H95" s="8" t="s">
        <v>492</v>
      </c>
      <c r="I95" s="8" t="s">
        <v>492</v>
      </c>
      <c r="J95" s="9">
        <f ca="1">VLOOKUP(Tabla1[[#This Row],[Nombre Equipo]],INDIRECT(Tabla1[[#This Row],[Proveedor calib.]]),2,FALSE)</f>
        <v>0</v>
      </c>
      <c r="K95" s="9">
        <f ca="1">Tabla1[[#This Row],[ Valor calibración]]*1.19</f>
        <v>0</v>
      </c>
      <c r="L95" s="8" t="s">
        <v>62</v>
      </c>
      <c r="M95" s="16">
        <v>44968</v>
      </c>
      <c r="N95" s="8" t="s">
        <v>74</v>
      </c>
      <c r="O95" s="8">
        <v>59424</v>
      </c>
      <c r="P95" s="9">
        <f ca="1">VLOOKUP(Tabla1[[#This Row],[Nombre Equipo]],INDIRECT(Tabla1[[#This Row],[Proveedor prev.]]),2,FALSE)</f>
        <v>100000</v>
      </c>
      <c r="Q95" s="9">
        <f ca="1">Tabla1[[#This Row],[Valor prev.]]*1.19</f>
        <v>119000</v>
      </c>
      <c r="S95" s="8" t="s">
        <v>29</v>
      </c>
      <c r="T95" s="9" cm="1">
        <f t="array" aca="1" ref="T95" ca="1">SUMPRODUCT((Tabla1[[Sede ]]=S95)*1,$K$4:$K$281)</f>
        <v>1729817.32</v>
      </c>
      <c r="U95" s="9" cm="1">
        <f t="array" aca="1" ref="U95" ca="1">SUMPRODUCT((Tabla1[[Sede ]]=S95)*1,Tabla1[Valor Prev + IVA])</f>
        <v>2131885</v>
      </c>
      <c r="V95" s="125">
        <f t="shared" ca="1" si="0"/>
        <v>3861702.3200000003</v>
      </c>
    </row>
    <row r="96" spans="1:22" x14ac:dyDescent="0.3">
      <c r="A96" s="8" t="s">
        <v>56</v>
      </c>
      <c r="B96" s="8" t="str">
        <f>IFERROR(VLOOKUP(Tabla1[[#This Row],[Sede ]],Tabla2[[#All],[Sede]:[Departamento]],2,FALSE),"")</f>
        <v>Bello</v>
      </c>
      <c r="C96" s="8" t="str">
        <f>IFERROR(VLOOKUP(Tabla1[[#This Row],[Sede ]],Tabla2[[#All],[Sede]:[Departamento]],3,FALSE),"")</f>
        <v>Antioquia</v>
      </c>
      <c r="D96" s="8" t="s">
        <v>377</v>
      </c>
      <c r="E96" s="13" t="s">
        <v>438</v>
      </c>
      <c r="F96" s="16" t="s">
        <v>492</v>
      </c>
      <c r="G96" s="8" t="s">
        <v>492</v>
      </c>
      <c r="H96" s="8" t="s">
        <v>492</v>
      </c>
      <c r="I96" s="8" t="s">
        <v>492</v>
      </c>
      <c r="J96" s="9">
        <f ca="1">VLOOKUP(Tabla1[[#This Row],[Nombre Equipo]],INDIRECT(Tabla1[[#This Row],[Proveedor calib.]]),2,FALSE)</f>
        <v>0</v>
      </c>
      <c r="K96" s="9">
        <f ca="1">Tabla1[[#This Row],[ Valor calibración]]*1.19</f>
        <v>0</v>
      </c>
      <c r="L96" s="8" t="s">
        <v>62</v>
      </c>
      <c r="M96" s="16">
        <v>44977</v>
      </c>
      <c r="N96" s="8" t="s">
        <v>74</v>
      </c>
      <c r="O96" s="8">
        <v>59425</v>
      </c>
      <c r="P96" s="9">
        <f ca="1">VLOOKUP(Tabla1[[#This Row],[Nombre Equipo]],INDIRECT(Tabla1[[#This Row],[Proveedor prev.]]),2,FALSE)</f>
        <v>100000</v>
      </c>
      <c r="Q96" s="9">
        <f ca="1">Tabla1[[#This Row],[Valor prev.]]*1.19</f>
        <v>119000</v>
      </c>
      <c r="S96" s="8" t="s">
        <v>30</v>
      </c>
      <c r="T96" s="9" cm="1">
        <f t="array" aca="1" ref="T96" ca="1">SUMPRODUCT((Tabla1[[Sede ]]=S96)*1,$K$4:$K$281)</f>
        <v>10395311.639999999</v>
      </c>
      <c r="U96" s="9" cm="1">
        <f t="array" aca="1" ref="U96" ca="1">SUMPRODUCT((Tabla1[[Sede ]]=S96)*1,Tabla1[Valor Prev + IVA])</f>
        <v>7964075</v>
      </c>
      <c r="V96" s="125">
        <f t="shared" ca="1" si="0"/>
        <v>18359386.640000001</v>
      </c>
    </row>
    <row r="97" spans="1:22" x14ac:dyDescent="0.3">
      <c r="A97" s="8" t="s">
        <v>56</v>
      </c>
      <c r="B97" s="8" t="str">
        <f>IFERROR(VLOOKUP(Tabla1[[#This Row],[Sede ]],Tabla2[[#All],[Sede]:[Departamento]],2,FALSE),"")</f>
        <v>Bello</v>
      </c>
      <c r="C97" s="8" t="str">
        <f>IFERROR(VLOOKUP(Tabla1[[#This Row],[Sede ]],Tabla2[[#All],[Sede]:[Departamento]],3,FALSE),"")</f>
        <v>Antioquia</v>
      </c>
      <c r="D97" s="8" t="s">
        <v>431</v>
      </c>
      <c r="E97" s="13" t="s">
        <v>439</v>
      </c>
      <c r="F97" s="16" t="s">
        <v>492</v>
      </c>
      <c r="G97" s="8" t="s">
        <v>492</v>
      </c>
      <c r="H97" s="8" t="s">
        <v>492</v>
      </c>
      <c r="I97" s="8" t="s">
        <v>492</v>
      </c>
      <c r="J97" s="9">
        <f ca="1">VLOOKUP(Tabla1[[#This Row],[Nombre Equipo]],INDIRECT(Tabla1[[#This Row],[Proveedor calib.]]),2,FALSE)</f>
        <v>0</v>
      </c>
      <c r="K97" s="9">
        <f ca="1">Tabla1[[#This Row],[ Valor calibración]]*1.19</f>
        <v>0</v>
      </c>
      <c r="L97" s="8" t="s">
        <v>62</v>
      </c>
      <c r="M97" s="16">
        <v>44968</v>
      </c>
      <c r="N97" s="8" t="s">
        <v>74</v>
      </c>
      <c r="O97" s="8">
        <v>59426</v>
      </c>
      <c r="P97" s="9">
        <f ca="1">VLOOKUP(Tabla1[[#This Row],[Nombre Equipo]],INDIRECT(Tabla1[[#This Row],[Proveedor prev.]]),2,FALSE)</f>
        <v>100000</v>
      </c>
      <c r="Q97" s="9">
        <f ca="1">Tabla1[[#This Row],[Valor prev.]]*1.19</f>
        <v>119000</v>
      </c>
      <c r="S97" s="8" t="s">
        <v>32</v>
      </c>
      <c r="T97" s="9" cm="1">
        <f t="array" aca="1" ref="T97" ca="1">SUMPRODUCT((Tabla1[[Sede ]]=S97)*1,$K$4:$K$281)</f>
        <v>0</v>
      </c>
      <c r="U97" s="9" cm="1">
        <f t="array" aca="1" ref="U97" ca="1">SUMPRODUCT((Tabla1[[Sede ]]=S97)*1,Tabla1[Valor Prev + IVA])</f>
        <v>0</v>
      </c>
      <c r="V97" s="125">
        <f t="shared" ca="1" si="0"/>
        <v>0</v>
      </c>
    </row>
    <row r="98" spans="1:22" x14ac:dyDescent="0.3">
      <c r="A98" s="8" t="s">
        <v>56</v>
      </c>
      <c r="B98" s="8" t="str">
        <f>IFERROR(VLOOKUP(Tabla1[[#This Row],[Sede ]],Tabla2[[#All],[Sede]:[Departamento]],2,FALSE),"")</f>
        <v>Bello</v>
      </c>
      <c r="C98" s="8" t="str">
        <f>IFERROR(VLOOKUP(Tabla1[[#This Row],[Sede ]],Tabla2[[#All],[Sede]:[Departamento]],3,FALSE),"")</f>
        <v>Antioquia</v>
      </c>
      <c r="D98" s="8" t="s">
        <v>431</v>
      </c>
      <c r="E98" s="13" t="s">
        <v>440</v>
      </c>
      <c r="F98" s="16" t="s">
        <v>492</v>
      </c>
      <c r="G98" s="8" t="s">
        <v>492</v>
      </c>
      <c r="H98" s="8" t="s">
        <v>492</v>
      </c>
      <c r="I98" s="8" t="s">
        <v>492</v>
      </c>
      <c r="J98" s="9">
        <f ca="1">VLOOKUP(Tabla1[[#This Row],[Nombre Equipo]],INDIRECT(Tabla1[[#This Row],[Proveedor calib.]]),2,FALSE)</f>
        <v>0</v>
      </c>
      <c r="K98" s="9">
        <f ca="1">Tabla1[[#This Row],[ Valor calibración]]*1.19</f>
        <v>0</v>
      </c>
      <c r="L98" s="8" t="s">
        <v>62</v>
      </c>
      <c r="M98" s="16">
        <v>44968</v>
      </c>
      <c r="N98" s="8" t="s">
        <v>74</v>
      </c>
      <c r="O98" s="8">
        <v>59427</v>
      </c>
      <c r="P98" s="9">
        <f ca="1">VLOOKUP(Tabla1[[#This Row],[Nombre Equipo]],INDIRECT(Tabla1[[#This Row],[Proveedor prev.]]),2,FALSE)</f>
        <v>100000</v>
      </c>
      <c r="Q98" s="9">
        <f ca="1">Tabla1[[#This Row],[Valor prev.]]*1.19</f>
        <v>119000</v>
      </c>
      <c r="S98" s="8" t="s">
        <v>35</v>
      </c>
      <c r="T98" s="9" cm="1">
        <f t="array" aca="1" ref="T98" ca="1">SUMPRODUCT((Tabla1[[Sede ]]=S98)*1,$K$4:$K$281)</f>
        <v>1466232.32</v>
      </c>
      <c r="U98" s="9" cm="1">
        <f t="array" aca="1" ref="U98" ca="1">SUMPRODUCT((Tabla1[[Sede ]]=S98)*1,Tabla1[Valor Prev + IVA])</f>
        <v>214200</v>
      </c>
      <c r="V98" s="125">
        <f t="shared" ca="1" si="0"/>
        <v>1680432.32</v>
      </c>
    </row>
    <row r="99" spans="1:22" x14ac:dyDescent="0.3">
      <c r="A99" s="8" t="s">
        <v>56</v>
      </c>
      <c r="B99" s="8" t="str">
        <f>IFERROR(VLOOKUP(Tabla1[[#This Row],[Sede ]],Tabla2[[#All],[Sede]:[Departamento]],2,FALSE),"")</f>
        <v>Bello</v>
      </c>
      <c r="C99" s="8" t="str">
        <f>IFERROR(VLOOKUP(Tabla1[[#This Row],[Sede ]],Tabla2[[#All],[Sede]:[Departamento]],3,FALSE),"")</f>
        <v>Antioquia</v>
      </c>
      <c r="D99" s="8" t="s">
        <v>377</v>
      </c>
      <c r="E99" s="13" t="s">
        <v>441</v>
      </c>
      <c r="F99" s="16" t="s">
        <v>492</v>
      </c>
      <c r="G99" s="8" t="s">
        <v>492</v>
      </c>
      <c r="H99" s="8" t="s">
        <v>492</v>
      </c>
      <c r="I99" s="8" t="s">
        <v>492</v>
      </c>
      <c r="J99" s="9">
        <f ca="1">VLOOKUP(Tabla1[[#This Row],[Nombre Equipo]],INDIRECT(Tabla1[[#This Row],[Proveedor calib.]]),2,FALSE)</f>
        <v>0</v>
      </c>
      <c r="K99" s="9">
        <f ca="1">Tabla1[[#This Row],[ Valor calibración]]*1.19</f>
        <v>0</v>
      </c>
      <c r="L99" s="8" t="s">
        <v>62</v>
      </c>
      <c r="M99" s="16">
        <v>44968</v>
      </c>
      <c r="N99" s="8" t="s">
        <v>74</v>
      </c>
      <c r="O99" s="8">
        <v>59428</v>
      </c>
      <c r="P99" s="9">
        <f ca="1">VLOOKUP(Tabla1[[#This Row],[Nombre Equipo]],INDIRECT(Tabla1[[#This Row],[Proveedor prev.]]),2,FALSE)</f>
        <v>100000</v>
      </c>
      <c r="Q99" s="9">
        <f ca="1">Tabla1[[#This Row],[Valor prev.]]*1.19</f>
        <v>119000</v>
      </c>
      <c r="S99" s="8" t="s">
        <v>36</v>
      </c>
      <c r="T99" s="9" cm="1">
        <f t="array" aca="1" ref="T99" ca="1">SUMPRODUCT((Tabla1[[Sede ]]=S99)*1,$K$4:$K$281)</f>
        <v>1194284</v>
      </c>
      <c r="U99" s="9" cm="1">
        <f t="array" aca="1" ref="U99" ca="1">SUMPRODUCT((Tabla1[[Sede ]]=S99)*1,Tabla1[Valor Prev + IVA])</f>
        <v>267750</v>
      </c>
      <c r="V99" s="125">
        <f t="shared" ca="1" si="0"/>
        <v>1462034</v>
      </c>
    </row>
    <row r="100" spans="1:22" x14ac:dyDescent="0.3">
      <c r="A100" s="8" t="s">
        <v>56</v>
      </c>
      <c r="B100" s="8" t="str">
        <f>IFERROR(VLOOKUP(Tabla1[[#This Row],[Sede ]],Tabla2[[#All],[Sede]:[Departamento]],2,FALSE),"")</f>
        <v>Bello</v>
      </c>
      <c r="C100" s="8" t="str">
        <f>IFERROR(VLOOKUP(Tabla1[[#This Row],[Sede ]],Tabla2[[#All],[Sede]:[Departamento]],3,FALSE),"")</f>
        <v>Antioquia</v>
      </c>
      <c r="D100" s="8" t="s">
        <v>431</v>
      </c>
      <c r="E100" s="13" t="s">
        <v>442</v>
      </c>
      <c r="F100" s="16" t="s">
        <v>492</v>
      </c>
      <c r="G100" s="8" t="s">
        <v>492</v>
      </c>
      <c r="H100" s="8" t="s">
        <v>492</v>
      </c>
      <c r="I100" s="8" t="s">
        <v>492</v>
      </c>
      <c r="J100" s="9">
        <f ca="1">VLOOKUP(Tabla1[[#This Row],[Nombre Equipo]],INDIRECT(Tabla1[[#This Row],[Proveedor calib.]]),2,FALSE)</f>
        <v>0</v>
      </c>
      <c r="K100" s="9">
        <f ca="1">Tabla1[[#This Row],[ Valor calibración]]*1.19</f>
        <v>0</v>
      </c>
      <c r="L100" s="8" t="s">
        <v>62</v>
      </c>
      <c r="M100" s="16">
        <v>44968</v>
      </c>
      <c r="N100" s="8" t="s">
        <v>74</v>
      </c>
      <c r="O100" s="8">
        <v>59429</v>
      </c>
      <c r="P100" s="9">
        <f ca="1">VLOOKUP(Tabla1[[#This Row],[Nombre Equipo]],INDIRECT(Tabla1[[#This Row],[Proveedor prev.]]),2,FALSE)</f>
        <v>100000</v>
      </c>
      <c r="Q100" s="9">
        <f ca="1">Tabla1[[#This Row],[Valor prev.]]*1.19</f>
        <v>119000</v>
      </c>
      <c r="S100" s="8" t="s">
        <v>37</v>
      </c>
      <c r="T100" s="9" cm="1">
        <f t="array" aca="1" ref="T100" ca="1">SUMPRODUCT((Tabla1[[Sede ]]=S100)*1,$K$4:$K$281)</f>
        <v>611184</v>
      </c>
      <c r="U100" s="9" cm="1">
        <f t="array" aca="1" ref="U100" ca="1">SUMPRODUCT((Tabla1[[Sede ]]=S100)*1,Tabla1[Valor Prev + IVA])</f>
        <v>294525</v>
      </c>
      <c r="V100" s="125">
        <f t="shared" ca="1" si="0"/>
        <v>905709</v>
      </c>
    </row>
    <row r="101" spans="1:22" x14ac:dyDescent="0.3">
      <c r="A101" s="8" t="s">
        <v>56</v>
      </c>
      <c r="B101" s="8" t="str">
        <f>IFERROR(VLOOKUP(Tabla1[[#This Row],[Sede ]],Tabla2[[#All],[Sede]:[Departamento]],2,FALSE),"")</f>
        <v>Bello</v>
      </c>
      <c r="C101" s="8" t="str">
        <f>IFERROR(VLOOKUP(Tabla1[[#This Row],[Sede ]],Tabla2[[#All],[Sede]:[Departamento]],3,FALSE),"")</f>
        <v>Antioquia</v>
      </c>
      <c r="D101" s="8" t="s">
        <v>377</v>
      </c>
      <c r="E101" s="13" t="s">
        <v>443</v>
      </c>
      <c r="F101" s="16" t="s">
        <v>492</v>
      </c>
      <c r="G101" s="8" t="s">
        <v>492</v>
      </c>
      <c r="H101" s="8" t="s">
        <v>492</v>
      </c>
      <c r="I101" s="8" t="s">
        <v>492</v>
      </c>
      <c r="J101" s="9">
        <f ca="1">VLOOKUP(Tabla1[[#This Row],[Nombre Equipo]],INDIRECT(Tabla1[[#This Row],[Proveedor calib.]]),2,FALSE)</f>
        <v>0</v>
      </c>
      <c r="K101" s="9">
        <f ca="1">Tabla1[[#This Row],[ Valor calibración]]*1.19</f>
        <v>0</v>
      </c>
      <c r="L101" s="8" t="s">
        <v>62</v>
      </c>
      <c r="M101" s="16">
        <v>44968</v>
      </c>
      <c r="N101" s="8" t="s">
        <v>74</v>
      </c>
      <c r="O101" s="8">
        <v>59430</v>
      </c>
      <c r="P101" s="9">
        <f ca="1">VLOOKUP(Tabla1[[#This Row],[Nombre Equipo]],INDIRECT(Tabla1[[#This Row],[Proveedor prev.]]),2,FALSE)</f>
        <v>100000</v>
      </c>
      <c r="Q101" s="9">
        <f ca="1">Tabla1[[#This Row],[Valor prev.]]*1.19</f>
        <v>119000</v>
      </c>
      <c r="S101" s="8" t="s">
        <v>38</v>
      </c>
      <c r="T101" s="9" cm="1">
        <f t="array" aca="1" ref="T101" ca="1">SUMPRODUCT((Tabla1[[Sede ]]=S101)*1,$K$4:$K$281)</f>
        <v>311780</v>
      </c>
      <c r="U101" s="9" cm="1">
        <f t="array" aca="1" ref="U101" ca="1">SUMPRODUCT((Tabla1[[Sede ]]=S101)*1,Tabla1[Valor Prev + IVA])</f>
        <v>321300</v>
      </c>
      <c r="V101" s="125">
        <f t="shared" ca="1" si="0"/>
        <v>633080</v>
      </c>
    </row>
    <row r="102" spans="1:22" x14ac:dyDescent="0.3">
      <c r="A102" s="8" t="s">
        <v>56</v>
      </c>
      <c r="B102" s="8" t="str">
        <f>IFERROR(VLOOKUP(Tabla1[[#This Row],[Sede ]],Tabla2[[#All],[Sede]:[Departamento]],2,FALSE),"")</f>
        <v>Bello</v>
      </c>
      <c r="C102" s="8" t="str">
        <f>IFERROR(VLOOKUP(Tabla1[[#This Row],[Sede ]],Tabla2[[#All],[Sede]:[Departamento]],3,FALSE),"")</f>
        <v>Antioquia</v>
      </c>
      <c r="D102" s="8" t="s">
        <v>431</v>
      </c>
      <c r="E102" s="13" t="s">
        <v>440</v>
      </c>
      <c r="F102" s="16" t="s">
        <v>492</v>
      </c>
      <c r="G102" s="8" t="s">
        <v>492</v>
      </c>
      <c r="H102" s="8" t="s">
        <v>492</v>
      </c>
      <c r="I102" s="8" t="s">
        <v>492</v>
      </c>
      <c r="J102" s="9">
        <f ca="1">VLOOKUP(Tabla1[[#This Row],[Nombre Equipo]],INDIRECT(Tabla1[[#This Row],[Proveedor calib.]]),2,FALSE)</f>
        <v>0</v>
      </c>
      <c r="K102" s="9">
        <f ca="1">Tabla1[[#This Row],[ Valor calibración]]*1.19</f>
        <v>0</v>
      </c>
      <c r="L102" s="8" t="s">
        <v>62</v>
      </c>
      <c r="M102" s="16">
        <v>44968</v>
      </c>
      <c r="N102" s="8" t="s">
        <v>74</v>
      </c>
      <c r="O102" s="8">
        <v>59446</v>
      </c>
      <c r="P102" s="9">
        <f ca="1">VLOOKUP(Tabla1[[#This Row],[Nombre Equipo]],INDIRECT(Tabla1[[#This Row],[Proveedor prev.]]),2,FALSE)</f>
        <v>100000</v>
      </c>
      <c r="Q102" s="9">
        <f ca="1">Tabla1[[#This Row],[Valor prev.]]*1.19</f>
        <v>119000</v>
      </c>
      <c r="S102" s="8" t="s">
        <v>41</v>
      </c>
      <c r="T102" s="9" cm="1">
        <f t="array" aca="1" ref="T102" ca="1">SUMPRODUCT((Tabla1[[Sede ]]=S102)*1,$K$4:$K$281)</f>
        <v>0</v>
      </c>
      <c r="U102" s="9" cm="1">
        <f t="array" aca="1" ref="U102" ca="1">SUMPRODUCT((Tabla1[[Sede ]]=S102)*1,Tabla1[Valor Prev + IVA])</f>
        <v>133875</v>
      </c>
      <c r="V102" s="125">
        <f t="shared" ca="1" si="0"/>
        <v>133875</v>
      </c>
    </row>
    <row r="103" spans="1:22" x14ac:dyDescent="0.3">
      <c r="A103" s="8" t="s">
        <v>30</v>
      </c>
      <c r="B103" s="8" t="str">
        <f>IFERROR(VLOOKUP(Tabla1[[#This Row],[Sede ]],Tabla2[[#All],[Sede]:[Departamento]],2,FALSE),"")</f>
        <v>Medellín</v>
      </c>
      <c r="C103" s="8" t="str">
        <f>IFERROR(VLOOKUP(Tabla1[[#This Row],[Sede ]],Tabla2[[#All],[Sede]:[Departamento]],3,FALSE),"")</f>
        <v>Antioquia</v>
      </c>
      <c r="D103" s="8" t="s">
        <v>114</v>
      </c>
      <c r="E103" s="13" t="s">
        <v>409</v>
      </c>
      <c r="F103" s="16" t="s">
        <v>492</v>
      </c>
      <c r="G103" s="8" t="s">
        <v>492</v>
      </c>
      <c r="H103" s="8" t="s">
        <v>492</v>
      </c>
      <c r="I103" s="8" t="s">
        <v>492</v>
      </c>
      <c r="J103" s="9">
        <f ca="1">VLOOKUP(Tabla1[[#This Row],[Nombre Equipo]],INDIRECT(Tabla1[[#This Row],[Proveedor calib.]]),2,FALSE)</f>
        <v>0</v>
      </c>
      <c r="K103" s="9">
        <f ca="1">Tabla1[[#This Row],[ Valor calibración]]*1.19</f>
        <v>0</v>
      </c>
      <c r="L103" s="8" t="s">
        <v>65</v>
      </c>
      <c r="M103" s="16">
        <v>44963</v>
      </c>
      <c r="N103" s="8" t="s">
        <v>74</v>
      </c>
      <c r="O103" s="8">
        <v>59320</v>
      </c>
      <c r="P103" s="9">
        <f ca="1">VLOOKUP(Tabla1[[#This Row],[Nombre Equipo]],INDIRECT(Tabla1[[#This Row],[Proveedor prev.]]),2,FALSE)</f>
        <v>45000</v>
      </c>
      <c r="Q103" s="9">
        <f ca="1">Tabla1[[#This Row],[Valor prev.]]*1.19</f>
        <v>53550</v>
      </c>
      <c r="S103" s="8" t="s">
        <v>42</v>
      </c>
      <c r="T103" s="9" cm="1">
        <f t="array" aca="1" ref="T103" ca="1">SUMPRODUCT((Tabla1[[Sede ]]=S103)*1,$K$4:$K$281)</f>
        <v>123150.72</v>
      </c>
      <c r="U103" s="9" cm="1">
        <f t="array" aca="1" ref="U103" ca="1">SUMPRODUCT((Tabla1[[Sede ]]=S103)*1,Tabla1[Valor Prev + IVA])</f>
        <v>133875</v>
      </c>
      <c r="V103" s="125">
        <f t="shared" ca="1" si="0"/>
        <v>257025.72</v>
      </c>
    </row>
    <row r="104" spans="1:22" x14ac:dyDescent="0.3">
      <c r="A104" s="8" t="s">
        <v>38</v>
      </c>
      <c r="B104" s="8" t="str">
        <f>IFERROR(VLOOKUP(Tabla1[[#This Row],[Sede ]],Tabla2[[#All],[Sede]:[Departamento]],2,FALSE),"")</f>
        <v>Villavicencio</v>
      </c>
      <c r="C104" s="8" t="str">
        <f>IFERROR(VLOOKUP(Tabla1[[#This Row],[Sede ]],Tabla2[[#All],[Sede]:[Departamento]],3,FALSE),"")</f>
        <v>Meta</v>
      </c>
      <c r="D104" s="8" t="s">
        <v>121</v>
      </c>
      <c r="E104" s="13" t="s">
        <v>240</v>
      </c>
      <c r="F104" s="16">
        <v>44980</v>
      </c>
      <c r="G104" s="8" t="s">
        <v>62</v>
      </c>
      <c r="H104" s="8" t="s">
        <v>113</v>
      </c>
      <c r="I104" s="8" t="s">
        <v>241</v>
      </c>
      <c r="J104" s="9">
        <f ca="1">VLOOKUP(Tabla1[[#This Row],[Nombre Equipo]],INDIRECT(Tabla1[[#This Row],[Proveedor calib.]]),2,FALSE)</f>
        <v>107900</v>
      </c>
      <c r="K104" s="9">
        <f ca="1">Tabla1[[#This Row],[ Valor calibración]]*1.19</f>
        <v>128401</v>
      </c>
      <c r="L104" s="8" t="s">
        <v>492</v>
      </c>
      <c r="M104" s="16" t="s">
        <v>492</v>
      </c>
      <c r="N104" s="8" t="s">
        <v>492</v>
      </c>
      <c r="O104" s="8" t="s">
        <v>492</v>
      </c>
      <c r="P104" s="9">
        <f ca="1">VLOOKUP(Tabla1[[#This Row],[Nombre Equipo]],INDIRECT(Tabla1[[#This Row],[Proveedor prev.]]),2,FALSE)</f>
        <v>0</v>
      </c>
      <c r="Q104" s="9">
        <f ca="1">Tabla1[[#This Row],[Valor prev.]]*1.19</f>
        <v>0</v>
      </c>
      <c r="S104" s="8" t="s">
        <v>43</v>
      </c>
      <c r="T104" s="9" cm="1">
        <f t="array" aca="1" ref="T104" ca="1">SUMPRODUCT((Tabla1[[Sede ]]=S104)*1,$K$4:$K$281)</f>
        <v>1399420.96</v>
      </c>
      <c r="U104" s="9" cm="1">
        <f t="array" aca="1" ref="U104" ca="1">SUMPRODUCT((Tabla1[[Sede ]]=S104)*1,Tabla1[Valor Prev + IVA])</f>
        <v>1303050</v>
      </c>
      <c r="V104" s="125">
        <f t="shared" ca="1" si="0"/>
        <v>2702470.96</v>
      </c>
    </row>
    <row r="105" spans="1:22" x14ac:dyDescent="0.3">
      <c r="A105" s="8" t="s">
        <v>43</v>
      </c>
      <c r="B105" s="8" t="str">
        <f>IFERROR(VLOOKUP(Tabla1[[#This Row],[Sede ]],Tabla2[[#All],[Sede]:[Departamento]],2,FALSE),"")</f>
        <v>Caldas</v>
      </c>
      <c r="C105" s="8" t="str">
        <f>IFERROR(VLOOKUP(Tabla1[[#This Row],[Sede ]],Tabla2[[#All],[Sede]:[Departamento]],3,FALSE),"")</f>
        <v>Antioquia</v>
      </c>
      <c r="D105" s="8" t="s">
        <v>421</v>
      </c>
      <c r="E105" s="13" t="s">
        <v>242</v>
      </c>
      <c r="F105" s="16">
        <v>44974</v>
      </c>
      <c r="G105" s="8" t="s">
        <v>62</v>
      </c>
      <c r="H105" s="8" t="s">
        <v>113</v>
      </c>
      <c r="I105" s="8" t="s">
        <v>243</v>
      </c>
      <c r="J105" s="12">
        <f ca="1">VLOOKUP(Tabla1[[#This Row],[Nombre Equipo]],INDIRECT(Tabla1[[#This Row],[Proveedor calib.]]),2,FALSE)</f>
        <v>135700</v>
      </c>
      <c r="K105" s="12">
        <f ca="1">Tabla1[[#This Row],[ Valor calibración]]*1.19</f>
        <v>161483</v>
      </c>
      <c r="L105" s="8" t="s">
        <v>65</v>
      </c>
      <c r="M105" s="16">
        <v>44965</v>
      </c>
      <c r="N105" s="8" t="s">
        <v>74</v>
      </c>
      <c r="O105" s="8">
        <v>59377</v>
      </c>
      <c r="P105" s="12">
        <f ca="1">VLOOKUP(Tabla1[[#This Row],[Nombre Equipo]],INDIRECT(Tabla1[[#This Row],[Proveedor prev.]]),2,FALSE)</f>
        <v>45000</v>
      </c>
      <c r="Q105" s="12">
        <f ca="1">Tabla1[[#This Row],[Valor prev.]]*1.19</f>
        <v>53550</v>
      </c>
      <c r="S105" s="8" t="s">
        <v>45</v>
      </c>
      <c r="T105" s="9" cm="1">
        <f t="array" aca="1" ref="T105" ca="1">SUMPRODUCT((Tabla1[[Sede ]]=S105)*1,$K$4:$K$281)</f>
        <v>97560.959999999992</v>
      </c>
      <c r="U105" s="9" cm="1">
        <f t="array" aca="1" ref="U105" ca="1">SUMPRODUCT((Tabla1[[Sede ]]=S105)*1,Tabla1[Valor Prev + IVA])</f>
        <v>401625</v>
      </c>
      <c r="V105" s="125">
        <f t="shared" ca="1" si="0"/>
        <v>499185.95999999996</v>
      </c>
    </row>
    <row r="106" spans="1:22" x14ac:dyDescent="0.3">
      <c r="A106" s="8" t="s">
        <v>43</v>
      </c>
      <c r="B106" s="8" t="str">
        <f>IFERROR(VLOOKUP(Tabla1[[#This Row],[Sede ]],Tabla2[[#All],[Sede]:[Departamento]],2,FALSE),"")</f>
        <v>Caldas</v>
      </c>
      <c r="C106" s="8" t="str">
        <f>IFERROR(VLOOKUP(Tabla1[[#This Row],[Sede ]],Tabla2[[#All],[Sede]:[Departamento]],3,FALSE),"")</f>
        <v>Antioquia</v>
      </c>
      <c r="D106" s="8" t="s">
        <v>149</v>
      </c>
      <c r="E106" s="13" t="s">
        <v>244</v>
      </c>
      <c r="F106" s="16">
        <v>44974</v>
      </c>
      <c r="G106" s="8" t="s">
        <v>62</v>
      </c>
      <c r="H106" s="8" t="s">
        <v>113</v>
      </c>
      <c r="I106" s="8" t="s">
        <v>245</v>
      </c>
      <c r="J106" s="12">
        <f ca="1">VLOOKUP(Tabla1[[#This Row],[Nombre Equipo]],INDIRECT(Tabla1[[#This Row],[Proveedor calib.]]),2,FALSE)</f>
        <v>69700</v>
      </c>
      <c r="K106" s="12">
        <f ca="1">Tabla1[[#This Row],[ Valor calibración]]*1.19</f>
        <v>82943</v>
      </c>
      <c r="L106" s="8" t="s">
        <v>65</v>
      </c>
      <c r="M106" s="16">
        <v>44965</v>
      </c>
      <c r="N106" s="8" t="s">
        <v>74</v>
      </c>
      <c r="O106" s="8">
        <v>59382</v>
      </c>
      <c r="P106" s="9">
        <f ca="1">VLOOKUP(Tabla1[[#This Row],[Nombre Equipo]],INDIRECT(Tabla1[[#This Row],[Proveedor prev.]]),2,FALSE)</f>
        <v>45000</v>
      </c>
      <c r="Q106" s="9">
        <f ca="1">Tabla1[[#This Row],[Valor prev.]]*1.19</f>
        <v>53550</v>
      </c>
      <c r="S106" s="8" t="s">
        <v>46</v>
      </c>
      <c r="T106" s="9" cm="1">
        <f t="array" aca="1" ref="T106" ca="1">SUMPRODUCT((Tabla1[[Sede ]]=S106)*1,$K$4:$K$281)</f>
        <v>220711.67999999999</v>
      </c>
      <c r="U106" s="9" cm="1">
        <f t="array" aca="1" ref="U106" ca="1">SUMPRODUCT((Tabla1[[Sede ]]=S106)*1,Tabla1[Valor Prev + IVA])</f>
        <v>133875</v>
      </c>
      <c r="V106" s="125">
        <f t="shared" ca="1" si="0"/>
        <v>354586.68</v>
      </c>
    </row>
    <row r="107" spans="1:22" x14ac:dyDescent="0.3">
      <c r="A107" s="8" t="s">
        <v>30</v>
      </c>
      <c r="B107" s="8" t="str">
        <f>IFERROR(VLOOKUP(Tabla1[[#This Row],[Sede ]],Tabla2[[#All],[Sede]:[Departamento]],2,FALSE),"")</f>
        <v>Medellín</v>
      </c>
      <c r="C107" s="8" t="str">
        <f>IFERROR(VLOOKUP(Tabla1[[#This Row],[Sede ]],Tabla2[[#All],[Sede]:[Departamento]],3,FALSE),"")</f>
        <v>Antioquia</v>
      </c>
      <c r="D107" s="8" t="s">
        <v>117</v>
      </c>
      <c r="E107" s="13" t="s">
        <v>246</v>
      </c>
      <c r="F107" s="16">
        <v>44974</v>
      </c>
      <c r="G107" s="8" t="s">
        <v>62</v>
      </c>
      <c r="H107" s="8" t="s">
        <v>113</v>
      </c>
      <c r="I107" s="8" t="s">
        <v>247</v>
      </c>
      <c r="J107" s="9">
        <f ca="1">VLOOKUP(Tabla1[[#This Row],[Nombre Equipo]],INDIRECT(Tabla1[[#This Row],[Proveedor calib.]]),2,FALSE)</f>
        <v>135700</v>
      </c>
      <c r="K107" s="9">
        <f ca="1">Tabla1[[#This Row],[ Valor calibración]]*1.19</f>
        <v>161483</v>
      </c>
      <c r="L107" s="8" t="s">
        <v>65</v>
      </c>
      <c r="M107" s="16">
        <v>44964</v>
      </c>
      <c r="N107" s="8" t="s">
        <v>74</v>
      </c>
      <c r="O107" s="8">
        <v>59374</v>
      </c>
      <c r="P107" s="9">
        <f ca="1">VLOOKUP(Tabla1[[#This Row],[Nombre Equipo]],INDIRECT(Tabla1[[#This Row],[Proveedor prev.]]),2,FALSE)</f>
        <v>45000</v>
      </c>
      <c r="Q107" s="9">
        <f ca="1">Tabla1[[#This Row],[Valor prev.]]*1.19</f>
        <v>53550</v>
      </c>
      <c r="S107" s="8" t="s">
        <v>47</v>
      </c>
      <c r="T107" s="9" cm="1">
        <f t="array" aca="1" ref="T107" ca="1">SUMPRODUCT((Tabla1[[Sede ]]=S107)*1,$K$4:$K$281)</f>
        <v>0</v>
      </c>
      <c r="U107" s="9" cm="1">
        <f t="array" aca="1" ref="U107" ca="1">SUMPRODUCT((Tabla1[[Sede ]]=S107)*1,Tabla1[Valor Prev + IVA])</f>
        <v>133875</v>
      </c>
      <c r="V107" s="125">
        <f t="shared" ca="1" si="0"/>
        <v>133875</v>
      </c>
    </row>
    <row r="108" spans="1:22" x14ac:dyDescent="0.3">
      <c r="A108" s="8" t="s">
        <v>30</v>
      </c>
      <c r="B108" s="8" t="str">
        <f>IFERROR(VLOOKUP(Tabla1[[#This Row],[Sede ]],Tabla2[[#All],[Sede]:[Departamento]],2,FALSE),"")</f>
        <v>Medellín</v>
      </c>
      <c r="C108" s="8" t="str">
        <f>IFERROR(VLOOKUP(Tabla1[[#This Row],[Sede ]],Tabla2[[#All],[Sede]:[Departamento]],3,FALSE),"")</f>
        <v>Antioquia</v>
      </c>
      <c r="D108" s="8" t="s">
        <v>114</v>
      </c>
      <c r="E108" s="13" t="s">
        <v>248</v>
      </c>
      <c r="F108" s="16">
        <v>44974</v>
      </c>
      <c r="G108" s="8" t="s">
        <v>62</v>
      </c>
      <c r="H108" s="8" t="s">
        <v>113</v>
      </c>
      <c r="I108" s="8" t="s">
        <v>249</v>
      </c>
      <c r="J108" s="9">
        <f ca="1">VLOOKUP(Tabla1[[#This Row],[Nombre Equipo]],INDIRECT(Tabla1[[#This Row],[Proveedor calib.]]),2,FALSE)</f>
        <v>135700</v>
      </c>
      <c r="K108" s="9">
        <f ca="1">Tabla1[[#This Row],[ Valor calibración]]*1.19</f>
        <v>161483</v>
      </c>
      <c r="L108" s="8" t="s">
        <v>65</v>
      </c>
      <c r="M108" s="16">
        <v>44965</v>
      </c>
      <c r="N108" s="8" t="s">
        <v>74</v>
      </c>
      <c r="O108" s="8">
        <v>59387</v>
      </c>
      <c r="P108" s="9">
        <f ca="1">VLOOKUP(Tabla1[[#This Row],[Nombre Equipo]],INDIRECT(Tabla1[[#This Row],[Proveedor prev.]]),2,FALSE)</f>
        <v>45000</v>
      </c>
      <c r="Q108" s="9">
        <f ca="1">Tabla1[[#This Row],[Valor prev.]]*1.19</f>
        <v>53550</v>
      </c>
      <c r="S108" s="8" t="s">
        <v>49</v>
      </c>
      <c r="T108" s="9" cm="1">
        <f t="array" aca="1" ref="T108" ca="1">SUMPRODUCT((Tabla1[[Sede ]]=S108)*1,$K$4:$K$281)</f>
        <v>0</v>
      </c>
      <c r="U108" s="9" cm="1">
        <f t="array" aca="1" ref="U108" ca="1">SUMPRODUCT((Tabla1[[Sede ]]=S108)*1,Tabla1[Valor Prev + IVA])</f>
        <v>0</v>
      </c>
      <c r="V108" s="125">
        <f t="shared" ca="1" si="0"/>
        <v>0</v>
      </c>
    </row>
    <row r="109" spans="1:22" x14ac:dyDescent="0.3">
      <c r="A109" s="8" t="s">
        <v>30</v>
      </c>
      <c r="B109" s="8" t="str">
        <f>IFERROR(VLOOKUP(Tabla1[[#This Row],[Sede ]],Tabla2[[#All],[Sede]:[Departamento]],2,FALSE),"")</f>
        <v>Medellín</v>
      </c>
      <c r="C109" s="8" t="str">
        <f>IFERROR(VLOOKUP(Tabla1[[#This Row],[Sede ]],Tabla2[[#All],[Sede]:[Departamento]],3,FALSE),"")</f>
        <v>Antioquia</v>
      </c>
      <c r="D109" s="8" t="s">
        <v>114</v>
      </c>
      <c r="E109" s="13" t="s">
        <v>250</v>
      </c>
      <c r="F109" s="16">
        <v>44974</v>
      </c>
      <c r="G109" s="8" t="s">
        <v>62</v>
      </c>
      <c r="H109" s="8" t="s">
        <v>113</v>
      </c>
      <c r="I109" s="8" t="s">
        <v>251</v>
      </c>
      <c r="J109" s="9">
        <f ca="1">VLOOKUP(Tabla1[[#This Row],[Nombre Equipo]],INDIRECT(Tabla1[[#This Row],[Proveedor calib.]]),2,FALSE)</f>
        <v>135700</v>
      </c>
      <c r="K109" s="9">
        <f ca="1">Tabla1[[#This Row],[ Valor calibración]]*1.19</f>
        <v>161483</v>
      </c>
      <c r="L109" s="8" t="s">
        <v>65</v>
      </c>
      <c r="M109" s="16">
        <v>44964</v>
      </c>
      <c r="N109" s="8" t="s">
        <v>74</v>
      </c>
      <c r="O109" s="8">
        <v>59371</v>
      </c>
      <c r="P109" s="9">
        <f ca="1">VLOOKUP(Tabla1[[#This Row],[Nombre Equipo]],INDIRECT(Tabla1[[#This Row],[Proveedor prev.]]),2,FALSE)</f>
        <v>45000</v>
      </c>
      <c r="Q109" s="9">
        <f ca="1">Tabla1[[#This Row],[Valor prev.]]*1.19</f>
        <v>53550</v>
      </c>
      <c r="S109" s="8" t="s">
        <v>48</v>
      </c>
      <c r="T109" s="9" cm="1">
        <f t="array" aca="1" ref="T109" ca="1">SUMPRODUCT((Tabla1[[Sede ]]=S109)*1,$K$4:$K$281)</f>
        <v>0</v>
      </c>
      <c r="U109" s="9" cm="1">
        <f t="array" aca="1" ref="U109" ca="1">SUMPRODUCT((Tabla1[[Sede ]]=S109)*1,Tabla1[Valor Prev + IVA])</f>
        <v>133875</v>
      </c>
      <c r="V109" s="125">
        <f t="shared" ca="1" si="0"/>
        <v>133875</v>
      </c>
    </row>
    <row r="110" spans="1:22" x14ac:dyDescent="0.3">
      <c r="A110" s="8" t="s">
        <v>30</v>
      </c>
      <c r="B110" s="8" t="str">
        <f>IFERROR(VLOOKUP(Tabla1[[#This Row],[Sede ]],Tabla2[[#All],[Sede]:[Departamento]],2,FALSE),"")</f>
        <v>Medellín</v>
      </c>
      <c r="C110" s="8" t="str">
        <f>IFERROR(VLOOKUP(Tabla1[[#This Row],[Sede ]],Tabla2[[#All],[Sede]:[Departamento]],3,FALSE),"")</f>
        <v>Antioquia</v>
      </c>
      <c r="D110" s="8" t="s">
        <v>115</v>
      </c>
      <c r="E110" s="13" t="s">
        <v>252</v>
      </c>
      <c r="F110" s="16">
        <v>44974</v>
      </c>
      <c r="G110" s="8" t="s">
        <v>62</v>
      </c>
      <c r="H110" s="8" t="s">
        <v>113</v>
      </c>
      <c r="I110" s="8" t="s">
        <v>253</v>
      </c>
      <c r="J110" s="9">
        <f ca="1">VLOOKUP(Tabla1[[#This Row],[Nombre Equipo]],INDIRECT(Tabla1[[#This Row],[Proveedor calib.]]),2,FALSE)</f>
        <v>154100</v>
      </c>
      <c r="K110" s="9">
        <f ca="1">Tabla1[[#This Row],[ Valor calibración]]*1.19</f>
        <v>183379</v>
      </c>
      <c r="L110" s="8" t="s">
        <v>65</v>
      </c>
      <c r="M110" s="16">
        <v>44964</v>
      </c>
      <c r="N110" s="8" t="s">
        <v>74</v>
      </c>
      <c r="O110" s="8">
        <v>59364</v>
      </c>
      <c r="P110" s="9">
        <f ca="1">VLOOKUP(Tabla1[[#This Row],[Nombre Equipo]],INDIRECT(Tabla1[[#This Row],[Proveedor prev.]]),2,FALSE)</f>
        <v>45000</v>
      </c>
      <c r="Q110" s="9">
        <f ca="1">Tabla1[[#This Row],[Valor prev.]]*1.19</f>
        <v>53550</v>
      </c>
      <c r="S110" s="8" t="s">
        <v>51</v>
      </c>
      <c r="T110" s="9" cm="1">
        <f t="array" aca="1" ref="T110" ca="1">SUMPRODUCT((Tabla1[[Sede ]]=S110)*1,$K$4:$K$281)</f>
        <v>0</v>
      </c>
      <c r="U110" s="9" cm="1">
        <f t="array" aca="1" ref="U110" ca="1">SUMPRODUCT((Tabla1[[Sede ]]=S110)*1,Tabla1[Valor Prev + IVA])</f>
        <v>133875</v>
      </c>
      <c r="V110" s="125">
        <f t="shared" ca="1" si="0"/>
        <v>133875</v>
      </c>
    </row>
    <row r="111" spans="1:22" x14ac:dyDescent="0.3">
      <c r="A111" s="8" t="s">
        <v>43</v>
      </c>
      <c r="B111" s="8" t="str">
        <f>IFERROR(VLOOKUP(Tabla1[[#This Row],[Sede ]],Tabla2[[#All],[Sede]:[Departamento]],2,FALSE),"")</f>
        <v>Caldas</v>
      </c>
      <c r="C111" s="8" t="str">
        <f>IFERROR(VLOOKUP(Tabla1[[#This Row],[Sede ]],Tabla2[[#All],[Sede]:[Departamento]],3,FALSE),"")</f>
        <v>Antioquia</v>
      </c>
      <c r="D111" s="8" t="s">
        <v>115</v>
      </c>
      <c r="E111" s="13" t="s">
        <v>254</v>
      </c>
      <c r="F111" s="16">
        <v>44974</v>
      </c>
      <c r="G111" s="8" t="s">
        <v>62</v>
      </c>
      <c r="H111" s="8" t="s">
        <v>113</v>
      </c>
      <c r="I111" s="8" t="s">
        <v>255</v>
      </c>
      <c r="J111" s="9">
        <f ca="1">VLOOKUP(Tabla1[[#This Row],[Nombre Equipo]],INDIRECT(Tabla1[[#This Row],[Proveedor calib.]]),2,FALSE)</f>
        <v>154100</v>
      </c>
      <c r="K111" s="9">
        <f ca="1">Tabla1[[#This Row],[ Valor calibración]]*1.19</f>
        <v>183379</v>
      </c>
      <c r="L111" s="8" t="s">
        <v>65</v>
      </c>
      <c r="M111" s="16">
        <v>44964</v>
      </c>
      <c r="N111" s="8" t="s">
        <v>74</v>
      </c>
      <c r="O111" s="8">
        <v>59376</v>
      </c>
      <c r="P111" s="9">
        <f ca="1">VLOOKUP(Tabla1[[#This Row],[Nombre Equipo]],INDIRECT(Tabla1[[#This Row],[Proveedor prev.]]),2,FALSE)</f>
        <v>45000</v>
      </c>
      <c r="Q111" s="9">
        <f ca="1">Tabla1[[#This Row],[Valor prev.]]*1.19</f>
        <v>53550</v>
      </c>
      <c r="S111" s="8" t="s">
        <v>52</v>
      </c>
      <c r="T111" s="9" cm="1">
        <f t="array" aca="1" ref="T111" ca="1">SUMPRODUCT((Tabla1[[Sede ]]=S111)*1,$K$4:$K$281)</f>
        <v>0</v>
      </c>
      <c r="U111" s="9" cm="1">
        <f t="array" aca="1" ref="U111" ca="1">SUMPRODUCT((Tabla1[[Sede ]]=S111)*1,Tabla1[Valor Prev + IVA])</f>
        <v>133875</v>
      </c>
      <c r="V111" s="125">
        <f t="shared" ca="1" si="0"/>
        <v>133875</v>
      </c>
    </row>
    <row r="112" spans="1:22" x14ac:dyDescent="0.3">
      <c r="A112" s="8" t="s">
        <v>30</v>
      </c>
      <c r="B112" s="8" t="str">
        <f>IFERROR(VLOOKUP(Tabla1[[#This Row],[Sede ]],Tabla2[[#All],[Sede]:[Departamento]],2,FALSE),"")</f>
        <v>Medellín</v>
      </c>
      <c r="C112" s="8" t="str">
        <f>IFERROR(VLOOKUP(Tabla1[[#This Row],[Sede ]],Tabla2[[#All],[Sede]:[Departamento]],3,FALSE),"")</f>
        <v>Antioquia</v>
      </c>
      <c r="D112" s="8" t="s">
        <v>149</v>
      </c>
      <c r="E112" s="13" t="s">
        <v>256</v>
      </c>
      <c r="F112" s="16">
        <v>44975</v>
      </c>
      <c r="G112" s="8" t="s">
        <v>62</v>
      </c>
      <c r="H112" s="8" t="s">
        <v>113</v>
      </c>
      <c r="I112" s="8" t="s">
        <v>257</v>
      </c>
      <c r="J112" s="9">
        <f ca="1">VLOOKUP(Tabla1[[#This Row],[Nombre Equipo]],INDIRECT(Tabla1[[#This Row],[Proveedor calib.]]),2,FALSE)</f>
        <v>69700</v>
      </c>
      <c r="K112" s="9">
        <f ca="1">Tabla1[[#This Row],[ Valor calibración]]*1.19</f>
        <v>82943</v>
      </c>
      <c r="L112" s="8" t="s">
        <v>65</v>
      </c>
      <c r="M112" s="16">
        <v>44965</v>
      </c>
      <c r="N112" s="8" t="s">
        <v>74</v>
      </c>
      <c r="O112" s="8">
        <v>59383</v>
      </c>
      <c r="P112" s="9">
        <f ca="1">VLOOKUP(Tabla1[[#This Row],[Nombre Equipo]],INDIRECT(Tabla1[[#This Row],[Proveedor prev.]]),2,FALSE)</f>
        <v>45000</v>
      </c>
      <c r="Q112" s="9">
        <f ca="1">Tabla1[[#This Row],[Valor prev.]]*1.19</f>
        <v>53550</v>
      </c>
      <c r="S112" s="8" t="s">
        <v>53</v>
      </c>
      <c r="T112" s="9" cm="1">
        <f t="array" aca="1" ref="T112" ca="1">SUMPRODUCT((Tabla1[[Sede ]]=S112)*1,$K$4:$K$281)</f>
        <v>0</v>
      </c>
      <c r="U112" s="9" cm="1">
        <f t="array" aca="1" ref="U112" ca="1">SUMPRODUCT((Tabla1[[Sede ]]=S112)*1,Tabla1[Valor Prev + IVA])</f>
        <v>0</v>
      </c>
      <c r="V112" s="125">
        <f t="shared" ca="1" si="0"/>
        <v>0</v>
      </c>
    </row>
    <row r="113" spans="1:22" x14ac:dyDescent="0.3">
      <c r="A113" s="8" t="s">
        <v>43</v>
      </c>
      <c r="B113" s="8" t="str">
        <f>IFERROR(VLOOKUP(Tabla1[[#This Row],[Sede ]],Tabla2[[#All],[Sede]:[Departamento]],2,FALSE),"")</f>
        <v>Caldas</v>
      </c>
      <c r="C113" s="8" t="str">
        <f>IFERROR(VLOOKUP(Tabla1[[#This Row],[Sede ]],Tabla2[[#All],[Sede]:[Departamento]],3,FALSE),"")</f>
        <v>Antioquia</v>
      </c>
      <c r="D113" s="8" t="s">
        <v>155</v>
      </c>
      <c r="E113" s="13" t="s">
        <v>258</v>
      </c>
      <c r="F113" s="16">
        <v>44975</v>
      </c>
      <c r="G113" s="8" t="s">
        <v>62</v>
      </c>
      <c r="H113" s="8" t="s">
        <v>113</v>
      </c>
      <c r="I113" s="8" t="s">
        <v>259</v>
      </c>
      <c r="J113" s="9">
        <f ca="1">VLOOKUP(Tabla1[[#This Row],[Nombre Equipo]],INDIRECT(Tabla1[[#This Row],[Proveedor calib.]]),2,FALSE)</f>
        <v>135700</v>
      </c>
      <c r="K113" s="9">
        <f ca="1">Tabla1[[#This Row],[ Valor calibración]]*1.19</f>
        <v>161483</v>
      </c>
      <c r="L113" s="8" t="s">
        <v>65</v>
      </c>
      <c r="M113" s="16">
        <v>44965</v>
      </c>
      <c r="N113" s="8" t="s">
        <v>74</v>
      </c>
      <c r="O113" s="8">
        <v>59378</v>
      </c>
      <c r="P113" s="9">
        <f ca="1">VLOOKUP(Tabla1[[#This Row],[Nombre Equipo]],INDIRECT(Tabla1[[#This Row],[Proveedor prev.]]),2,FALSE)</f>
        <v>45000</v>
      </c>
      <c r="Q113" s="9">
        <f ca="1">Tabla1[[#This Row],[Valor prev.]]*1.19</f>
        <v>53550</v>
      </c>
      <c r="S113" s="8" t="s">
        <v>55</v>
      </c>
      <c r="T113" s="9" cm="1">
        <f t="array" aca="1" ref="T113" ca="1">SUMPRODUCT((Tabla1[[Sede ]]=S113)*1,$K$4:$K$281)</f>
        <v>0</v>
      </c>
      <c r="U113" s="9" cm="1">
        <f t="array" aca="1" ref="U113" ca="1">SUMPRODUCT((Tabla1[[Sede ]]=S113)*1,Tabla1[Valor Prev + IVA])</f>
        <v>535500</v>
      </c>
      <c r="V113" s="125">
        <f t="shared" ca="1" si="0"/>
        <v>535500</v>
      </c>
    </row>
    <row r="114" spans="1:22" x14ac:dyDescent="0.3">
      <c r="A114" s="8" t="s">
        <v>29</v>
      </c>
      <c r="B114" s="8" t="str">
        <f>IFERROR(VLOOKUP(Tabla1[[#This Row],[Sede ]],Tabla2[[#All],[Sede]:[Departamento]],2,FALSE),"")</f>
        <v>Bogotá</v>
      </c>
      <c r="C114" s="8" t="str">
        <f>IFERROR(VLOOKUP(Tabla1[[#This Row],[Sede ]],Tabla2[[#All],[Sede]:[Departamento]],3,FALSE),"")</f>
        <v>Bogotá</v>
      </c>
      <c r="D114" s="8" t="s">
        <v>115</v>
      </c>
      <c r="E114" s="13" t="s">
        <v>260</v>
      </c>
      <c r="F114" s="16">
        <v>44975</v>
      </c>
      <c r="G114" s="8" t="s">
        <v>62</v>
      </c>
      <c r="H114" s="8" t="s">
        <v>113</v>
      </c>
      <c r="I114" s="8" t="s">
        <v>261</v>
      </c>
      <c r="J114" s="9">
        <f ca="1">VLOOKUP(Tabla1[[#This Row],[Nombre Equipo]],INDIRECT(Tabla1[[#This Row],[Proveedor calib.]]),2,FALSE)</f>
        <v>154100</v>
      </c>
      <c r="K114" s="9">
        <f ca="1">Tabla1[[#This Row],[ Valor calibración]]*1.19</f>
        <v>183379</v>
      </c>
      <c r="L114" s="8" t="s">
        <v>492</v>
      </c>
      <c r="M114" s="16" t="s">
        <v>492</v>
      </c>
      <c r="N114" s="8" t="s">
        <v>492</v>
      </c>
      <c r="O114" s="8" t="s">
        <v>492</v>
      </c>
      <c r="P114" s="9">
        <f ca="1">VLOOKUP(Tabla1[[#This Row],[Nombre Equipo]],INDIRECT(Tabla1[[#This Row],[Proveedor prev.]]),2,FALSE)</f>
        <v>0</v>
      </c>
      <c r="Q114" s="9">
        <f ca="1">Tabla1[[#This Row],[Valor prev.]]*1.19</f>
        <v>0</v>
      </c>
      <c r="S114" s="8" t="s">
        <v>56</v>
      </c>
      <c r="T114" s="9" cm="1">
        <f t="array" aca="1" ref="T114" ca="1">SUMPRODUCT((Tabla1[[Sede ]]=S114)*1,$K$4:$K$281)</f>
        <v>152472.32000000001</v>
      </c>
      <c r="U114" s="9" cm="1">
        <f t="array" aca="1" ref="U114" ca="1">SUMPRODUCT((Tabla1[[Sede ]]=S114)*1,Tabla1[Valor Prev + IVA])</f>
        <v>833000</v>
      </c>
      <c r="V114" s="125">
        <f t="shared" ca="1" si="0"/>
        <v>985472.32000000007</v>
      </c>
    </row>
    <row r="115" spans="1:22" x14ac:dyDescent="0.3">
      <c r="A115" s="8" t="s">
        <v>36</v>
      </c>
      <c r="B115" s="8" t="str">
        <f>IFERROR(VLOOKUP(Tabla1[[#This Row],[Sede ]],Tabla2[[#All],[Sede]:[Departamento]],2,FALSE),"")</f>
        <v>Bello</v>
      </c>
      <c r="C115" s="8" t="str">
        <f>IFERROR(VLOOKUP(Tabla1[[#This Row],[Sede ]],Tabla2[[#All],[Sede]:[Departamento]],3,FALSE),"")</f>
        <v>Antioquia</v>
      </c>
      <c r="D115" s="8" t="s">
        <v>118</v>
      </c>
      <c r="E115" s="13" t="s">
        <v>262</v>
      </c>
      <c r="F115" s="16">
        <v>44975</v>
      </c>
      <c r="G115" s="8" t="s">
        <v>62</v>
      </c>
      <c r="H115" s="8" t="s">
        <v>113</v>
      </c>
      <c r="I115" s="8" t="s">
        <v>265</v>
      </c>
      <c r="J115" s="9">
        <f ca="1">VLOOKUP(Tabla1[[#This Row],[Nombre Equipo]],INDIRECT(Tabla1[[#This Row],[Proveedor calib.]]),2,FALSE)</f>
        <v>135700</v>
      </c>
      <c r="K115" s="9">
        <f ca="1">Tabla1[[#This Row],[ Valor calibración]]*1.19</f>
        <v>161483</v>
      </c>
      <c r="L115" s="8" t="s">
        <v>65</v>
      </c>
      <c r="M115" s="16">
        <v>44965</v>
      </c>
      <c r="N115" s="8" t="s">
        <v>74</v>
      </c>
      <c r="O115" s="8">
        <v>59386</v>
      </c>
      <c r="P115" s="9">
        <f ca="1">VLOOKUP(Tabla1[[#This Row],[Nombre Equipo]],INDIRECT(Tabla1[[#This Row],[Proveedor prev.]]),2,FALSE)</f>
        <v>45000</v>
      </c>
      <c r="Q115" s="9">
        <f ca="1">Tabla1[[#This Row],[Valor prev.]]*1.19</f>
        <v>53550</v>
      </c>
      <c r="S115" s="8" t="s">
        <v>57</v>
      </c>
      <c r="T115" s="9" cm="1">
        <f t="array" aca="1" ref="T115" ca="1">SUMPRODUCT((Tabla1[[Sede ]]=S115)*1,$K$4:$K$281)</f>
        <v>220711.67999999999</v>
      </c>
      <c r="U115" s="9" cm="1">
        <f t="array" aca="1" ref="U115" ca="1">SUMPRODUCT((Tabla1[[Sede ]]=S115)*1,Tabla1[Valor Prev + IVA])</f>
        <v>133875</v>
      </c>
      <c r="V115" s="125">
        <f t="shared" ca="1" si="0"/>
        <v>354586.68</v>
      </c>
    </row>
    <row r="116" spans="1:22" x14ac:dyDescent="0.3">
      <c r="A116" s="8" t="s">
        <v>30</v>
      </c>
      <c r="B116" s="8" t="str">
        <f>IFERROR(VLOOKUP(Tabla1[[#This Row],[Sede ]],Tabla2[[#All],[Sede]:[Departamento]],2,FALSE),"")</f>
        <v>Medellín</v>
      </c>
      <c r="C116" s="8" t="str">
        <f>IFERROR(VLOOKUP(Tabla1[[#This Row],[Sede ]],Tabla2[[#All],[Sede]:[Departamento]],3,FALSE),"")</f>
        <v>Antioquia</v>
      </c>
      <c r="D116" s="8" t="s">
        <v>114</v>
      </c>
      <c r="E116" s="13" t="s">
        <v>263</v>
      </c>
      <c r="F116" s="16">
        <v>44975</v>
      </c>
      <c r="G116" s="8" t="s">
        <v>62</v>
      </c>
      <c r="H116" s="8" t="s">
        <v>113</v>
      </c>
      <c r="I116" s="8" t="s">
        <v>264</v>
      </c>
      <c r="J116" s="9">
        <f ca="1">VLOOKUP(Tabla1[[#This Row],[Nombre Equipo]],INDIRECT(Tabla1[[#This Row],[Proveedor calib.]]),2,FALSE)</f>
        <v>135700</v>
      </c>
      <c r="K116" s="9">
        <f ca="1">Tabla1[[#This Row],[ Valor calibración]]*1.19</f>
        <v>161483</v>
      </c>
      <c r="L116" s="8" t="s">
        <v>65</v>
      </c>
      <c r="M116" s="16">
        <v>44964</v>
      </c>
      <c r="N116" s="8" t="s">
        <v>74</v>
      </c>
      <c r="O116" s="8">
        <v>59372</v>
      </c>
      <c r="P116" s="9">
        <f ca="1">VLOOKUP(Tabla1[[#This Row],[Nombre Equipo]],INDIRECT(Tabla1[[#This Row],[Proveedor prev.]]),2,FALSE)</f>
        <v>45000</v>
      </c>
      <c r="Q116" s="9">
        <f ca="1">Tabla1[[#This Row],[Valor prev.]]*1.19</f>
        <v>53550</v>
      </c>
      <c r="S116" s="8" t="s">
        <v>59</v>
      </c>
      <c r="T116" s="9" cm="1">
        <f t="array" aca="1" ref="T116" ca="1">SUMPRODUCT((Tabla1[[Sede ]]=S116)*1,$K$4:$K$281)</f>
        <v>1965146.9599999997</v>
      </c>
      <c r="U116" s="9" cm="1">
        <f t="array" aca="1" ref="U116" ca="1">SUMPRODUCT((Tabla1[[Sede ]]=S116)*1,Tabla1[Valor Prev + IVA])</f>
        <v>946050</v>
      </c>
      <c r="V116" s="125">
        <f t="shared" ca="1" si="0"/>
        <v>2911196.96</v>
      </c>
    </row>
    <row r="117" spans="1:22" x14ac:dyDescent="0.3">
      <c r="A117" s="8" t="s">
        <v>30</v>
      </c>
      <c r="B117" s="8" t="str">
        <f>IFERROR(VLOOKUP(Tabla1[[#This Row],[Sede ]],Tabla2[[#All],[Sede]:[Departamento]],2,FALSE),"")</f>
        <v>Medellín</v>
      </c>
      <c r="C117" s="8" t="str">
        <f>IFERROR(VLOOKUP(Tabla1[[#This Row],[Sede ]],Tabla2[[#All],[Sede]:[Departamento]],3,FALSE),"")</f>
        <v>Antioquia</v>
      </c>
      <c r="D117" s="8" t="s">
        <v>127</v>
      </c>
      <c r="E117" s="13" t="s">
        <v>266</v>
      </c>
      <c r="F117" s="16">
        <v>44975</v>
      </c>
      <c r="G117" s="8" t="s">
        <v>62</v>
      </c>
      <c r="H117" s="8" t="s">
        <v>113</v>
      </c>
      <c r="I117" s="8" t="s">
        <v>267</v>
      </c>
      <c r="J117" s="9">
        <f ca="1">VLOOKUP(Tabla1[[#This Row],[Nombre Equipo]],INDIRECT(Tabla1[[#This Row],[Proveedor calib.]]),2,FALSE)</f>
        <v>135700</v>
      </c>
      <c r="K117" s="9">
        <f ca="1">Tabla1[[#This Row],[ Valor calibración]]*1.19</f>
        <v>161483</v>
      </c>
      <c r="L117" s="8" t="s">
        <v>65</v>
      </c>
      <c r="M117" s="16">
        <v>44964</v>
      </c>
      <c r="N117" s="8" t="s">
        <v>74</v>
      </c>
      <c r="O117" s="8">
        <v>59369</v>
      </c>
      <c r="P117" s="9">
        <f ca="1">VLOOKUP(Tabla1[[#This Row],[Nombre Equipo]],INDIRECT(Tabla1[[#This Row],[Proveedor prev.]]),2,FALSE)</f>
        <v>45000</v>
      </c>
      <c r="Q117" s="9">
        <f ca="1">Tabla1[[#This Row],[Valor prev.]]*1.19</f>
        <v>53550</v>
      </c>
      <c r="S117" s="38" t="s">
        <v>574</v>
      </c>
      <c r="T117" s="39">
        <f ca="1">SUM(T89:T116)</f>
        <v>20321130.199999999</v>
      </c>
      <c r="U117" s="39">
        <f ca="1">SUM(U89:U116)</f>
        <v>17005100</v>
      </c>
      <c r="V117" s="39">
        <f t="shared" ca="1" si="0"/>
        <v>37326230.200000003</v>
      </c>
    </row>
    <row r="118" spans="1:22" x14ac:dyDescent="0.3">
      <c r="A118" s="8" t="s">
        <v>36</v>
      </c>
      <c r="B118" s="8" t="str">
        <f>IFERROR(VLOOKUP(Tabla1[[#This Row],[Sede ]],Tabla2[[#All],[Sede]:[Departamento]],2,FALSE),"")</f>
        <v>Bello</v>
      </c>
      <c r="C118" s="8" t="str">
        <f>IFERROR(VLOOKUP(Tabla1[[#This Row],[Sede ]],Tabla2[[#All],[Sede]:[Departamento]],3,FALSE),"")</f>
        <v>Antioquia</v>
      </c>
      <c r="D118" s="8" t="s">
        <v>115</v>
      </c>
      <c r="E118" s="13" t="s">
        <v>268</v>
      </c>
      <c r="F118" s="16">
        <v>44975</v>
      </c>
      <c r="G118" s="8" t="s">
        <v>62</v>
      </c>
      <c r="H118" s="8" t="s">
        <v>113</v>
      </c>
      <c r="I118" s="8" t="s">
        <v>269</v>
      </c>
      <c r="J118" s="9">
        <f ca="1">VLOOKUP(Tabla1[[#This Row],[Nombre Equipo]],INDIRECT(Tabla1[[#This Row],[Proveedor calib.]]),2,FALSE)</f>
        <v>154100</v>
      </c>
      <c r="K118" s="9">
        <f ca="1">Tabla1[[#This Row],[ Valor calibración]]*1.19</f>
        <v>183379</v>
      </c>
      <c r="L118" s="8" t="s">
        <v>65</v>
      </c>
      <c r="M118" s="16">
        <v>44965</v>
      </c>
      <c r="N118" s="8" t="s">
        <v>74</v>
      </c>
      <c r="O118" s="8">
        <v>59385</v>
      </c>
      <c r="P118" s="9">
        <f ca="1">VLOOKUP(Tabla1[[#This Row],[Nombre Equipo]],INDIRECT(Tabla1[[#This Row],[Proveedor prev.]]),2,FALSE)</f>
        <v>45000</v>
      </c>
      <c r="Q118" s="9">
        <f ca="1">Tabla1[[#This Row],[Valor prev.]]*1.19</f>
        <v>53550</v>
      </c>
    </row>
    <row r="119" spans="1:22" x14ac:dyDescent="0.3">
      <c r="A119" s="8" t="s">
        <v>30</v>
      </c>
      <c r="B119" s="8" t="str">
        <f>IFERROR(VLOOKUP(Tabla1[[#This Row],[Sede ]],Tabla2[[#All],[Sede]:[Departamento]],2,FALSE),"")</f>
        <v>Medellín</v>
      </c>
      <c r="C119" s="8" t="str">
        <f>IFERROR(VLOOKUP(Tabla1[[#This Row],[Sede ]],Tabla2[[#All],[Sede]:[Departamento]],3,FALSE),"")</f>
        <v>Antioquia</v>
      </c>
      <c r="D119" s="8" t="s">
        <v>115</v>
      </c>
      <c r="E119" s="13" t="s">
        <v>270</v>
      </c>
      <c r="F119" s="16">
        <v>44975</v>
      </c>
      <c r="G119" s="8" t="s">
        <v>62</v>
      </c>
      <c r="H119" s="8" t="s">
        <v>113</v>
      </c>
      <c r="I119" s="8" t="s">
        <v>271</v>
      </c>
      <c r="J119" s="9">
        <f ca="1">VLOOKUP(Tabla1[[#This Row],[Nombre Equipo]],INDIRECT(Tabla1[[#This Row],[Proveedor calib.]]),2,FALSE)</f>
        <v>154100</v>
      </c>
      <c r="K119" s="9">
        <f ca="1">Tabla1[[#This Row],[ Valor calibración]]*1.19</f>
        <v>183379</v>
      </c>
      <c r="L119" s="8" t="s">
        <v>65</v>
      </c>
      <c r="M119" s="16">
        <v>44964</v>
      </c>
      <c r="N119" s="8" t="s">
        <v>74</v>
      </c>
      <c r="O119" s="8">
        <v>59365</v>
      </c>
      <c r="P119" s="9">
        <f ca="1">VLOOKUP(Tabla1[[#This Row],[Nombre Equipo]],INDIRECT(Tabla1[[#This Row],[Proveedor prev.]]),2,FALSE)</f>
        <v>45000</v>
      </c>
      <c r="Q119" s="9">
        <f ca="1">Tabla1[[#This Row],[Valor prev.]]*1.19</f>
        <v>53550</v>
      </c>
    </row>
    <row r="120" spans="1:22" x14ac:dyDescent="0.3">
      <c r="A120" s="8" t="s">
        <v>30</v>
      </c>
      <c r="B120" s="8" t="str">
        <f>IFERROR(VLOOKUP(Tabla1[[#This Row],[Sede ]],Tabla2[[#All],[Sede]:[Departamento]],2,FALSE),"")</f>
        <v>Medellín</v>
      </c>
      <c r="C120" s="8" t="str">
        <f>IFERROR(VLOOKUP(Tabla1[[#This Row],[Sede ]],Tabla2[[#All],[Sede]:[Departamento]],3,FALSE),"")</f>
        <v>Antioquia</v>
      </c>
      <c r="D120" s="8" t="s">
        <v>119</v>
      </c>
      <c r="E120" s="13" t="s">
        <v>273</v>
      </c>
      <c r="F120" s="16">
        <v>44977</v>
      </c>
      <c r="G120" s="8" t="s">
        <v>62</v>
      </c>
      <c r="H120" s="8" t="s">
        <v>113</v>
      </c>
      <c r="I120" s="8" t="s">
        <v>272</v>
      </c>
      <c r="J120" s="9">
        <f ca="1">VLOOKUP(Tabla1[[#This Row],[Nombre Equipo]],INDIRECT(Tabla1[[#This Row],[Proveedor calib.]]),2,FALSE)</f>
        <v>154100</v>
      </c>
      <c r="K120" s="9">
        <f ca="1">Tabla1[[#This Row],[ Valor calibración]]*1.19</f>
        <v>183379</v>
      </c>
      <c r="L120" s="8" t="s">
        <v>65</v>
      </c>
      <c r="M120" s="16">
        <v>44965</v>
      </c>
      <c r="N120" s="8" t="s">
        <v>74</v>
      </c>
      <c r="O120" s="8">
        <v>59384</v>
      </c>
      <c r="P120" s="9">
        <f ca="1">VLOOKUP(Tabla1[[#This Row],[Nombre Equipo]],INDIRECT(Tabla1[[#This Row],[Proveedor prev.]]),2,FALSE)</f>
        <v>45000</v>
      </c>
      <c r="Q120" s="9">
        <f ca="1">Tabla1[[#This Row],[Valor prev.]]*1.19</f>
        <v>53550</v>
      </c>
    </row>
    <row r="121" spans="1:22" x14ac:dyDescent="0.3">
      <c r="A121" s="8" t="s">
        <v>30</v>
      </c>
      <c r="B121" s="8" t="str">
        <f>IFERROR(VLOOKUP(Tabla1[[#This Row],[Sede ]],Tabla2[[#All],[Sede]:[Departamento]],2,FALSE),"")</f>
        <v>Medellín</v>
      </c>
      <c r="C121" s="8" t="str">
        <f>IFERROR(VLOOKUP(Tabla1[[#This Row],[Sede ]],Tabla2[[#All],[Sede]:[Departamento]],3,FALSE),"")</f>
        <v>Antioquia</v>
      </c>
      <c r="D121" s="8" t="s">
        <v>117</v>
      </c>
      <c r="E121" s="13" t="s">
        <v>274</v>
      </c>
      <c r="F121" s="16">
        <v>44977</v>
      </c>
      <c r="G121" s="8" t="s">
        <v>62</v>
      </c>
      <c r="H121" s="8" t="s">
        <v>113</v>
      </c>
      <c r="I121" s="8" t="s">
        <v>275</v>
      </c>
      <c r="J121" s="9">
        <f ca="1">VLOOKUP(Tabla1[[#This Row],[Nombre Equipo]],INDIRECT(Tabla1[[#This Row],[Proveedor calib.]]),2,FALSE)</f>
        <v>135700</v>
      </c>
      <c r="K121" s="9">
        <f ca="1">Tabla1[[#This Row],[ Valor calibración]]*1.19</f>
        <v>161483</v>
      </c>
      <c r="L121" s="8" t="s">
        <v>65</v>
      </c>
      <c r="M121" s="16">
        <v>44964</v>
      </c>
      <c r="N121" s="8" t="s">
        <v>74</v>
      </c>
      <c r="O121" s="8">
        <v>59373</v>
      </c>
      <c r="P121" s="9">
        <f ca="1">VLOOKUP(Tabla1[[#This Row],[Nombre Equipo]],INDIRECT(Tabla1[[#This Row],[Proveedor prev.]]),2,FALSE)</f>
        <v>45000</v>
      </c>
      <c r="Q121" s="9">
        <f ca="1">Tabla1[[#This Row],[Valor prev.]]*1.19</f>
        <v>53550</v>
      </c>
    </row>
    <row r="122" spans="1:22" x14ac:dyDescent="0.3">
      <c r="A122" s="8" t="s">
        <v>30</v>
      </c>
      <c r="B122" s="8" t="str">
        <f>IFERROR(VLOOKUP(Tabla1[[#This Row],[Sede ]],Tabla2[[#All],[Sede]:[Departamento]],2,FALSE),"")</f>
        <v>Medellín</v>
      </c>
      <c r="C122" s="8" t="str">
        <f>IFERROR(VLOOKUP(Tabla1[[#This Row],[Sede ]],Tabla2[[#All],[Sede]:[Departamento]],3,FALSE),"")</f>
        <v>Antioquia</v>
      </c>
      <c r="D122" s="8" t="s">
        <v>77</v>
      </c>
      <c r="E122" s="13" t="s">
        <v>276</v>
      </c>
      <c r="F122" s="16">
        <v>44977</v>
      </c>
      <c r="G122" s="8" t="s">
        <v>63</v>
      </c>
      <c r="H122" s="8" t="s">
        <v>113</v>
      </c>
      <c r="I122" s="8" t="s">
        <v>277</v>
      </c>
      <c r="J122" s="9">
        <f ca="1">VLOOKUP(Tabla1[[#This Row],[Nombre Equipo]],INDIRECT(Tabla1[[#This Row],[Proveedor calib.]]),2,FALSE)</f>
        <v>107900</v>
      </c>
      <c r="K122" s="9">
        <f ca="1">Tabla1[[#This Row],[ Valor calibración]]*1.19</f>
        <v>128401</v>
      </c>
      <c r="L122" s="8" t="s">
        <v>492</v>
      </c>
      <c r="M122" s="16" t="s">
        <v>492</v>
      </c>
      <c r="N122" s="8" t="s">
        <v>492</v>
      </c>
      <c r="O122" s="8"/>
      <c r="P122" s="9">
        <f ca="1">VLOOKUP(Tabla1[[#This Row],[Nombre Equipo]],INDIRECT(Tabla1[[#This Row],[Proveedor prev.]]),2,FALSE)</f>
        <v>0</v>
      </c>
      <c r="Q122" s="9">
        <f ca="1">Tabla1[[#This Row],[Valor prev.]]*1.19</f>
        <v>0</v>
      </c>
    </row>
    <row r="123" spans="1:22" x14ac:dyDescent="0.3">
      <c r="A123" s="8" t="s">
        <v>30</v>
      </c>
      <c r="B123" s="8" t="str">
        <f>IFERROR(VLOOKUP(Tabla1[[#This Row],[Sede ]],Tabla2[[#All],[Sede]:[Departamento]],2,FALSE),"")</f>
        <v>Medellín</v>
      </c>
      <c r="C123" s="8" t="str">
        <f>IFERROR(VLOOKUP(Tabla1[[#This Row],[Sede ]],Tabla2[[#All],[Sede]:[Departamento]],3,FALSE),"")</f>
        <v>Antioquia</v>
      </c>
      <c r="D123" s="8" t="s">
        <v>77</v>
      </c>
      <c r="E123" s="13" t="s">
        <v>278</v>
      </c>
      <c r="F123" s="16">
        <v>44974</v>
      </c>
      <c r="G123" s="8" t="s">
        <v>63</v>
      </c>
      <c r="H123" s="8" t="s">
        <v>113</v>
      </c>
      <c r="I123" s="8" t="s">
        <v>279</v>
      </c>
      <c r="J123" s="9">
        <f ca="1">VLOOKUP(Tabla1[[#This Row],[Nombre Equipo]],INDIRECT(Tabla1[[#This Row],[Proveedor calib.]]),2,FALSE)</f>
        <v>107900</v>
      </c>
      <c r="K123" s="9">
        <f ca="1">Tabla1[[#This Row],[ Valor calibración]]*1.19</f>
        <v>128401</v>
      </c>
      <c r="L123" s="8" t="s">
        <v>492</v>
      </c>
      <c r="M123" s="16" t="s">
        <v>492</v>
      </c>
      <c r="N123" s="8" t="s">
        <v>492</v>
      </c>
      <c r="O123" s="8"/>
      <c r="P123" s="9">
        <f ca="1">VLOOKUP(Tabla1[[#This Row],[Nombre Equipo]],INDIRECT(Tabla1[[#This Row],[Proveedor prev.]]),2,FALSE)</f>
        <v>0</v>
      </c>
      <c r="Q123" s="9">
        <f ca="1">Tabla1[[#This Row],[Valor prev.]]*1.19</f>
        <v>0</v>
      </c>
    </row>
    <row r="124" spans="1:22" x14ac:dyDescent="0.3">
      <c r="A124" s="8" t="s">
        <v>30</v>
      </c>
      <c r="B124" s="8" t="str">
        <f>IFERROR(VLOOKUP(Tabla1[[#This Row],[Sede ]],Tabla2[[#All],[Sede]:[Departamento]],2,FALSE),"")</f>
        <v>Medellín</v>
      </c>
      <c r="C124" s="8" t="str">
        <f>IFERROR(VLOOKUP(Tabla1[[#This Row],[Sede ]],Tabla2[[#All],[Sede]:[Departamento]],3,FALSE),"")</f>
        <v>Antioquia</v>
      </c>
      <c r="D124" s="8" t="s">
        <v>77</v>
      </c>
      <c r="E124" s="13" t="s">
        <v>280</v>
      </c>
      <c r="F124" s="16">
        <v>44974</v>
      </c>
      <c r="G124" s="8" t="s">
        <v>63</v>
      </c>
      <c r="H124" s="8" t="s">
        <v>113</v>
      </c>
      <c r="I124" s="8" t="s">
        <v>281</v>
      </c>
      <c r="J124" s="9">
        <f ca="1">VLOOKUP(Tabla1[[#This Row],[Nombre Equipo]],INDIRECT(Tabla1[[#This Row],[Proveedor calib.]]),2,FALSE)</f>
        <v>107900</v>
      </c>
      <c r="K124" s="9">
        <f ca="1">Tabla1[[#This Row],[ Valor calibración]]*1.19</f>
        <v>128401</v>
      </c>
      <c r="L124" s="8" t="s">
        <v>492</v>
      </c>
      <c r="M124" s="16" t="s">
        <v>492</v>
      </c>
      <c r="N124" s="8" t="s">
        <v>492</v>
      </c>
      <c r="O124" s="8"/>
      <c r="P124" s="9">
        <f ca="1">VLOOKUP(Tabla1[[#This Row],[Nombre Equipo]],INDIRECT(Tabla1[[#This Row],[Proveedor prev.]]),2,FALSE)</f>
        <v>0</v>
      </c>
      <c r="Q124" s="9">
        <f ca="1">Tabla1[[#This Row],[Valor prev.]]*1.19</f>
        <v>0</v>
      </c>
    </row>
    <row r="125" spans="1:22" x14ac:dyDescent="0.3">
      <c r="A125" s="8" t="s">
        <v>30</v>
      </c>
      <c r="B125" s="8" t="str">
        <f>IFERROR(VLOOKUP(Tabla1[[#This Row],[Sede ]],Tabla2[[#All],[Sede]:[Departamento]],2,FALSE),"")</f>
        <v>Medellín</v>
      </c>
      <c r="C125" s="8" t="str">
        <f>IFERROR(VLOOKUP(Tabla1[[#This Row],[Sede ]],Tabla2[[#All],[Sede]:[Departamento]],3,FALSE),"")</f>
        <v>Antioquia</v>
      </c>
      <c r="D125" s="8" t="s">
        <v>77</v>
      </c>
      <c r="E125" s="13" t="s">
        <v>282</v>
      </c>
      <c r="F125" s="16">
        <v>44974</v>
      </c>
      <c r="G125" s="8" t="s">
        <v>63</v>
      </c>
      <c r="H125" s="8" t="s">
        <v>113</v>
      </c>
      <c r="I125" s="8" t="s">
        <v>283</v>
      </c>
      <c r="J125" s="9">
        <f ca="1">VLOOKUP(Tabla1[[#This Row],[Nombre Equipo]],INDIRECT(Tabla1[[#This Row],[Proveedor calib.]]),2,FALSE)</f>
        <v>107900</v>
      </c>
      <c r="K125" s="9">
        <f ca="1">Tabla1[[#This Row],[ Valor calibración]]*1.19</f>
        <v>128401</v>
      </c>
      <c r="L125" s="8" t="s">
        <v>492</v>
      </c>
      <c r="M125" s="16" t="s">
        <v>492</v>
      </c>
      <c r="N125" s="8" t="s">
        <v>492</v>
      </c>
      <c r="O125" s="8"/>
      <c r="P125" s="9">
        <f ca="1">VLOOKUP(Tabla1[[#This Row],[Nombre Equipo]],INDIRECT(Tabla1[[#This Row],[Proveedor prev.]]),2,FALSE)</f>
        <v>0</v>
      </c>
      <c r="Q125" s="9">
        <f ca="1">Tabla1[[#This Row],[Valor prev.]]*1.19</f>
        <v>0</v>
      </c>
    </row>
    <row r="126" spans="1:22" x14ac:dyDescent="0.3">
      <c r="A126" s="8" t="s">
        <v>30</v>
      </c>
      <c r="B126" s="8" t="str">
        <f>IFERROR(VLOOKUP(Tabla1[[#This Row],[Sede ]],Tabla2[[#All],[Sede]:[Departamento]],2,FALSE),"")</f>
        <v>Medellín</v>
      </c>
      <c r="C126" s="8" t="str">
        <f>IFERROR(VLOOKUP(Tabla1[[#This Row],[Sede ]],Tabla2[[#All],[Sede]:[Departamento]],3,FALSE),"")</f>
        <v>Antioquia</v>
      </c>
      <c r="D126" s="8" t="s">
        <v>77</v>
      </c>
      <c r="E126" s="13" t="s">
        <v>284</v>
      </c>
      <c r="F126" s="16">
        <v>44974</v>
      </c>
      <c r="G126" s="8" t="s">
        <v>63</v>
      </c>
      <c r="H126" s="8" t="s">
        <v>113</v>
      </c>
      <c r="I126" s="8" t="s">
        <v>285</v>
      </c>
      <c r="J126" s="9">
        <f ca="1">VLOOKUP(Tabla1[[#This Row],[Nombre Equipo]],INDIRECT(Tabla1[[#This Row],[Proveedor calib.]]),2,FALSE)</f>
        <v>107900</v>
      </c>
      <c r="K126" s="9">
        <f ca="1">Tabla1[[#This Row],[ Valor calibración]]*1.19</f>
        <v>128401</v>
      </c>
      <c r="L126" s="8" t="s">
        <v>492</v>
      </c>
      <c r="M126" s="16" t="s">
        <v>492</v>
      </c>
      <c r="N126" s="8" t="s">
        <v>492</v>
      </c>
      <c r="O126" s="8"/>
      <c r="P126" s="9">
        <f ca="1">VLOOKUP(Tabla1[[#This Row],[Nombre Equipo]],INDIRECT(Tabla1[[#This Row],[Proveedor prev.]]),2,FALSE)</f>
        <v>0</v>
      </c>
      <c r="Q126" s="9">
        <f ca="1">Tabla1[[#This Row],[Valor prev.]]*1.19</f>
        <v>0</v>
      </c>
    </row>
    <row r="127" spans="1:22" x14ac:dyDescent="0.3">
      <c r="A127" s="8" t="s">
        <v>30</v>
      </c>
      <c r="B127" s="8" t="str">
        <f>IFERROR(VLOOKUP(Tabla1[[#This Row],[Sede ]],Tabla2[[#All],[Sede]:[Departamento]],2,FALSE),"")</f>
        <v>Medellín</v>
      </c>
      <c r="C127" s="8" t="str">
        <f>IFERROR(VLOOKUP(Tabla1[[#This Row],[Sede ]],Tabla2[[#All],[Sede]:[Departamento]],3,FALSE),"")</f>
        <v>Antioquia</v>
      </c>
      <c r="D127" s="8" t="s">
        <v>77</v>
      </c>
      <c r="E127" s="13" t="s">
        <v>286</v>
      </c>
      <c r="F127" s="16">
        <v>44974</v>
      </c>
      <c r="G127" s="8" t="s">
        <v>63</v>
      </c>
      <c r="H127" s="8" t="s">
        <v>113</v>
      </c>
      <c r="I127" s="8" t="s">
        <v>287</v>
      </c>
      <c r="J127" s="9">
        <f ca="1">VLOOKUP(Tabla1[[#This Row],[Nombre Equipo]],INDIRECT(Tabla1[[#This Row],[Proveedor calib.]]),2,FALSE)</f>
        <v>107900</v>
      </c>
      <c r="K127" s="9">
        <f ca="1">Tabla1[[#This Row],[ Valor calibración]]*1.19</f>
        <v>128401</v>
      </c>
      <c r="L127" s="8" t="s">
        <v>492</v>
      </c>
      <c r="M127" s="16" t="s">
        <v>492</v>
      </c>
      <c r="N127" s="8" t="s">
        <v>492</v>
      </c>
      <c r="O127" s="8"/>
      <c r="P127" s="9">
        <f ca="1">VLOOKUP(Tabla1[[#This Row],[Nombre Equipo]],INDIRECT(Tabla1[[#This Row],[Proveedor prev.]]),2,FALSE)</f>
        <v>0</v>
      </c>
      <c r="Q127" s="9">
        <f ca="1">Tabla1[[#This Row],[Valor prev.]]*1.19</f>
        <v>0</v>
      </c>
    </row>
    <row r="128" spans="1:22" x14ac:dyDescent="0.3">
      <c r="A128" s="8" t="s">
        <v>30</v>
      </c>
      <c r="B128" s="8" t="str">
        <f>IFERROR(VLOOKUP(Tabla1[[#This Row],[Sede ]],Tabla2[[#All],[Sede]:[Departamento]],2,FALSE),"")</f>
        <v>Medellín</v>
      </c>
      <c r="C128" s="8" t="str">
        <f>IFERROR(VLOOKUP(Tabla1[[#This Row],[Sede ]],Tabla2[[#All],[Sede]:[Departamento]],3,FALSE),"")</f>
        <v>Antioquia</v>
      </c>
      <c r="D128" s="8" t="s">
        <v>77</v>
      </c>
      <c r="E128" s="13" t="s">
        <v>288</v>
      </c>
      <c r="F128" s="16">
        <v>44974</v>
      </c>
      <c r="G128" s="8" t="s">
        <v>63</v>
      </c>
      <c r="H128" s="8" t="s">
        <v>113</v>
      </c>
      <c r="I128" s="8" t="s">
        <v>289</v>
      </c>
      <c r="J128" s="9">
        <f ca="1">VLOOKUP(Tabla1[[#This Row],[Nombre Equipo]],INDIRECT(Tabla1[[#This Row],[Proveedor calib.]]),2,FALSE)</f>
        <v>107900</v>
      </c>
      <c r="K128" s="9">
        <f ca="1">Tabla1[[#This Row],[ Valor calibración]]*1.19</f>
        <v>128401</v>
      </c>
      <c r="L128" s="8" t="s">
        <v>492</v>
      </c>
      <c r="M128" s="16" t="s">
        <v>492</v>
      </c>
      <c r="N128" s="8" t="s">
        <v>492</v>
      </c>
      <c r="O128" s="8"/>
      <c r="P128" s="9">
        <f ca="1">VLOOKUP(Tabla1[[#This Row],[Nombre Equipo]],INDIRECT(Tabla1[[#This Row],[Proveedor prev.]]),2,FALSE)</f>
        <v>0</v>
      </c>
      <c r="Q128" s="9">
        <f ca="1">Tabla1[[#This Row],[Valor prev.]]*1.19</f>
        <v>0</v>
      </c>
    </row>
    <row r="129" spans="1:17" x14ac:dyDescent="0.3">
      <c r="A129" s="8" t="s">
        <v>30</v>
      </c>
      <c r="B129" s="8" t="str">
        <f>IFERROR(VLOOKUP(Tabla1[[#This Row],[Sede ]],Tabla2[[#All],[Sede]:[Departamento]],2,FALSE),"")</f>
        <v>Medellín</v>
      </c>
      <c r="C129" s="8" t="str">
        <f>IFERROR(VLOOKUP(Tabla1[[#This Row],[Sede ]],Tabla2[[#All],[Sede]:[Departamento]],3,FALSE),"")</f>
        <v>Antioquia</v>
      </c>
      <c r="D129" s="8" t="s">
        <v>77</v>
      </c>
      <c r="E129" s="13" t="s">
        <v>290</v>
      </c>
      <c r="F129" s="16">
        <v>44974</v>
      </c>
      <c r="G129" s="8" t="s">
        <v>63</v>
      </c>
      <c r="H129" s="8" t="s">
        <v>113</v>
      </c>
      <c r="I129" s="8" t="s">
        <v>291</v>
      </c>
      <c r="J129" s="9">
        <f ca="1">VLOOKUP(Tabla1[[#This Row],[Nombre Equipo]],INDIRECT(Tabla1[[#This Row],[Proveedor calib.]]),2,FALSE)</f>
        <v>107900</v>
      </c>
      <c r="K129" s="9">
        <f ca="1">Tabla1[[#This Row],[ Valor calibración]]*1.19</f>
        <v>128401</v>
      </c>
      <c r="L129" s="8" t="s">
        <v>492</v>
      </c>
      <c r="M129" s="16" t="s">
        <v>492</v>
      </c>
      <c r="N129" s="8" t="s">
        <v>492</v>
      </c>
      <c r="O129" s="8"/>
      <c r="P129" s="9">
        <f ca="1">VLOOKUP(Tabla1[[#This Row],[Nombre Equipo]],INDIRECT(Tabla1[[#This Row],[Proveedor prev.]]),2,FALSE)</f>
        <v>0</v>
      </c>
      <c r="Q129" s="9">
        <f ca="1">Tabla1[[#This Row],[Valor prev.]]*1.19</f>
        <v>0</v>
      </c>
    </row>
    <row r="130" spans="1:17" x14ac:dyDescent="0.3">
      <c r="A130" s="8" t="s">
        <v>30</v>
      </c>
      <c r="B130" s="8" t="str">
        <f>IFERROR(VLOOKUP(Tabla1[[#This Row],[Sede ]],Tabla2[[#All],[Sede]:[Departamento]],2,FALSE),"")</f>
        <v>Medellín</v>
      </c>
      <c r="C130" s="8" t="str">
        <f>IFERROR(VLOOKUP(Tabla1[[#This Row],[Sede ]],Tabla2[[#All],[Sede]:[Departamento]],3,FALSE),"")</f>
        <v>Antioquia</v>
      </c>
      <c r="D130" s="8" t="s">
        <v>77</v>
      </c>
      <c r="E130" s="13" t="s">
        <v>292</v>
      </c>
      <c r="F130" s="16">
        <v>44975</v>
      </c>
      <c r="G130" s="8" t="s">
        <v>63</v>
      </c>
      <c r="H130" s="8" t="s">
        <v>113</v>
      </c>
      <c r="I130" s="8" t="s">
        <v>293</v>
      </c>
      <c r="J130" s="9">
        <f ca="1">VLOOKUP(Tabla1[[#This Row],[Nombre Equipo]],INDIRECT(Tabla1[[#This Row],[Proveedor calib.]]),2,FALSE)</f>
        <v>107900</v>
      </c>
      <c r="K130" s="9">
        <f ca="1">Tabla1[[#This Row],[ Valor calibración]]*1.19</f>
        <v>128401</v>
      </c>
      <c r="L130" s="8" t="s">
        <v>492</v>
      </c>
      <c r="M130" s="16" t="s">
        <v>492</v>
      </c>
      <c r="N130" s="8" t="s">
        <v>492</v>
      </c>
      <c r="O130" s="8"/>
      <c r="P130" s="9">
        <f ca="1">VLOOKUP(Tabla1[[#This Row],[Nombre Equipo]],INDIRECT(Tabla1[[#This Row],[Proveedor prev.]]),2,FALSE)</f>
        <v>0</v>
      </c>
      <c r="Q130" s="9">
        <f ca="1">Tabla1[[#This Row],[Valor prev.]]*1.19</f>
        <v>0</v>
      </c>
    </row>
    <row r="131" spans="1:17" x14ac:dyDescent="0.3">
      <c r="A131" s="8" t="s">
        <v>30</v>
      </c>
      <c r="B131" s="8" t="str">
        <f>IFERROR(VLOOKUP(Tabla1[[#This Row],[Sede ]],Tabla2[[#All],[Sede]:[Departamento]],2,FALSE),"")</f>
        <v>Medellín</v>
      </c>
      <c r="C131" s="8" t="str">
        <f>IFERROR(VLOOKUP(Tabla1[[#This Row],[Sede ]],Tabla2[[#All],[Sede]:[Departamento]],3,FALSE),"")</f>
        <v>Antioquia</v>
      </c>
      <c r="D131" s="8" t="s">
        <v>120</v>
      </c>
      <c r="E131" s="13" t="s">
        <v>309</v>
      </c>
      <c r="F131" s="16">
        <v>44975</v>
      </c>
      <c r="G131" s="8" t="s">
        <v>62</v>
      </c>
      <c r="H131" s="8" t="s">
        <v>113</v>
      </c>
      <c r="I131" s="8" t="s">
        <v>308</v>
      </c>
      <c r="J131" s="9">
        <f ca="1">VLOOKUP(Tabla1[[#This Row],[Nombre Equipo]],INDIRECT(Tabla1[[#This Row],[Proveedor calib.]]),2,FALSE)</f>
        <v>107900</v>
      </c>
      <c r="K131" s="9">
        <f ca="1">Tabla1[[#This Row],[ Valor calibración]]*1.19</f>
        <v>128401</v>
      </c>
      <c r="L131" s="8" t="s">
        <v>492</v>
      </c>
      <c r="M131" s="16" t="s">
        <v>492</v>
      </c>
      <c r="N131" s="8" t="s">
        <v>492</v>
      </c>
      <c r="O131" s="8"/>
      <c r="P131" s="9">
        <f ca="1">VLOOKUP(Tabla1[[#This Row],[Nombre Equipo]],INDIRECT(Tabla1[[#This Row],[Proveedor prev.]]),2,FALSE)</f>
        <v>0</v>
      </c>
      <c r="Q131" s="9">
        <f ca="1">Tabla1[[#This Row],[Valor prev.]]*1.19</f>
        <v>0</v>
      </c>
    </row>
    <row r="132" spans="1:17" x14ac:dyDescent="0.3">
      <c r="A132" s="8" t="s">
        <v>59</v>
      </c>
      <c r="B132" s="8" t="str">
        <f>IFERROR(VLOOKUP(Tabla1[[#This Row],[Sede ]],Tabla2[[#All],[Sede]:[Departamento]],2,FALSE),"")</f>
        <v>Medellin</v>
      </c>
      <c r="C132" s="8" t="str">
        <f>IFERROR(VLOOKUP(Tabla1[[#This Row],[Sede ]],Tabla2[[#All],[Sede]:[Departamento]],3,FALSE),"")</f>
        <v>Antioquia</v>
      </c>
      <c r="D132" s="8" t="s">
        <v>75</v>
      </c>
      <c r="E132" s="13" t="s">
        <v>311</v>
      </c>
      <c r="F132" s="16">
        <v>44978</v>
      </c>
      <c r="G132" s="8" t="s">
        <v>62</v>
      </c>
      <c r="H132" s="8" t="s">
        <v>113</v>
      </c>
      <c r="I132" s="8" t="s">
        <v>310</v>
      </c>
      <c r="J132" s="9">
        <f ca="1">VLOOKUP(Tabla1[[#This Row],[Nombre Equipo]],INDIRECT(Tabla1[[#This Row],[Proveedor calib.]]),2,FALSE)</f>
        <v>140200</v>
      </c>
      <c r="K132" s="9">
        <f ca="1">Tabla1[[#This Row],[ Valor calibración]]*1.19</f>
        <v>166838</v>
      </c>
      <c r="L132" s="8" t="s">
        <v>492</v>
      </c>
      <c r="M132" s="16" t="s">
        <v>492</v>
      </c>
      <c r="N132" s="8" t="s">
        <v>492</v>
      </c>
      <c r="O132" s="8"/>
      <c r="P132" s="9">
        <f ca="1">VLOOKUP(Tabla1[[#This Row],[Nombre Equipo]],INDIRECT(Tabla1[[#This Row],[Proveedor prev.]]),2,FALSE)</f>
        <v>0</v>
      </c>
      <c r="Q132" s="9">
        <f ca="1">Tabla1[[#This Row],[Valor prev.]]*1.19</f>
        <v>0</v>
      </c>
    </row>
    <row r="133" spans="1:17" x14ac:dyDescent="0.3">
      <c r="A133" s="8" t="s">
        <v>59</v>
      </c>
      <c r="B133" s="8" t="str">
        <f>IFERROR(VLOOKUP(Tabla1[[#This Row],[Sede ]],Tabla2[[#All],[Sede]:[Departamento]],2,FALSE),"")</f>
        <v>Medellin</v>
      </c>
      <c r="C133" s="8" t="str">
        <f>IFERROR(VLOOKUP(Tabla1[[#This Row],[Sede ]],Tabla2[[#All],[Sede]:[Departamento]],3,FALSE),"")</f>
        <v>Antioquia</v>
      </c>
      <c r="D133" s="8" t="s">
        <v>75</v>
      </c>
      <c r="E133" s="13" t="s">
        <v>313</v>
      </c>
      <c r="F133" s="16">
        <v>44978</v>
      </c>
      <c r="G133" s="8" t="s">
        <v>62</v>
      </c>
      <c r="H133" s="8" t="s">
        <v>113</v>
      </c>
      <c r="I133" s="8" t="s">
        <v>312</v>
      </c>
      <c r="J133" s="9">
        <f ca="1">VLOOKUP(Tabla1[[#This Row],[Nombre Equipo]],INDIRECT(Tabla1[[#This Row],[Proveedor calib.]]),2,FALSE)</f>
        <v>140200</v>
      </c>
      <c r="K133" s="9">
        <f ca="1">Tabla1[[#This Row],[ Valor calibración]]*1.19</f>
        <v>166838</v>
      </c>
      <c r="L133" s="8" t="s">
        <v>492</v>
      </c>
      <c r="M133" s="16" t="s">
        <v>492</v>
      </c>
      <c r="N133" s="8" t="s">
        <v>492</v>
      </c>
      <c r="O133" s="8"/>
      <c r="P133" s="9">
        <f ca="1">VLOOKUP(Tabla1[[#This Row],[Nombre Equipo]],INDIRECT(Tabla1[[#This Row],[Proveedor prev.]]),2,FALSE)</f>
        <v>0</v>
      </c>
      <c r="Q133" s="9">
        <f ca="1">Tabla1[[#This Row],[Valor prev.]]*1.19</f>
        <v>0</v>
      </c>
    </row>
    <row r="134" spans="1:17" x14ac:dyDescent="0.3">
      <c r="A134" s="8" t="s">
        <v>59</v>
      </c>
      <c r="B134" s="8" t="str">
        <f>IFERROR(VLOOKUP(Tabla1[[#This Row],[Sede ]],Tabla2[[#All],[Sede]:[Departamento]],2,FALSE),"")</f>
        <v>Medellin</v>
      </c>
      <c r="C134" s="8" t="str">
        <f>IFERROR(VLOOKUP(Tabla1[[#This Row],[Sede ]],Tabla2[[#All],[Sede]:[Departamento]],3,FALSE),"")</f>
        <v>Antioquia</v>
      </c>
      <c r="D134" s="8" t="s">
        <v>75</v>
      </c>
      <c r="E134" s="13" t="s">
        <v>315</v>
      </c>
      <c r="F134" s="16">
        <v>44978</v>
      </c>
      <c r="G134" s="8" t="s">
        <v>62</v>
      </c>
      <c r="H134" s="8" t="s">
        <v>113</v>
      </c>
      <c r="I134" s="8" t="s">
        <v>314</v>
      </c>
      <c r="J134" s="9">
        <f ca="1">VLOOKUP(Tabla1[[#This Row],[Nombre Equipo]],INDIRECT(Tabla1[[#This Row],[Proveedor calib.]]),2,FALSE)</f>
        <v>140200</v>
      </c>
      <c r="K134" s="9">
        <f ca="1">Tabla1[[#This Row],[ Valor calibración]]*1.19</f>
        <v>166838</v>
      </c>
      <c r="L134" s="8" t="s">
        <v>492</v>
      </c>
      <c r="M134" s="16" t="s">
        <v>492</v>
      </c>
      <c r="N134" s="8" t="s">
        <v>492</v>
      </c>
      <c r="O134" s="8"/>
      <c r="P134" s="9">
        <f ca="1">VLOOKUP(Tabla1[[#This Row],[Nombre Equipo]],INDIRECT(Tabla1[[#This Row],[Proveedor prev.]]),2,FALSE)</f>
        <v>0</v>
      </c>
      <c r="Q134" s="9">
        <f ca="1">Tabla1[[#This Row],[Valor prev.]]*1.19</f>
        <v>0</v>
      </c>
    </row>
    <row r="135" spans="1:17" x14ac:dyDescent="0.3">
      <c r="A135" s="8" t="s">
        <v>59</v>
      </c>
      <c r="B135" s="8" t="str">
        <f>IFERROR(VLOOKUP(Tabla1[[#This Row],[Sede ]],Tabla2[[#All],[Sede]:[Departamento]],2,FALSE),"")</f>
        <v>Medellin</v>
      </c>
      <c r="C135" s="8" t="str">
        <f>IFERROR(VLOOKUP(Tabla1[[#This Row],[Sede ]],Tabla2[[#All],[Sede]:[Departamento]],3,FALSE),"")</f>
        <v>Antioquia</v>
      </c>
      <c r="D135" s="8" t="s">
        <v>75</v>
      </c>
      <c r="E135" s="13" t="s">
        <v>317</v>
      </c>
      <c r="F135" s="16">
        <v>44978</v>
      </c>
      <c r="G135" s="8" t="s">
        <v>62</v>
      </c>
      <c r="H135" s="8" t="s">
        <v>113</v>
      </c>
      <c r="I135" s="8" t="s">
        <v>316</v>
      </c>
      <c r="J135" s="9">
        <f ca="1">VLOOKUP(Tabla1[[#This Row],[Nombre Equipo]],INDIRECT(Tabla1[[#This Row],[Proveedor calib.]]),2,FALSE)</f>
        <v>140200</v>
      </c>
      <c r="K135" s="9">
        <f ca="1">Tabla1[[#This Row],[ Valor calibración]]*1.19</f>
        <v>166838</v>
      </c>
      <c r="L135" s="8" t="s">
        <v>492</v>
      </c>
      <c r="M135" s="16" t="s">
        <v>492</v>
      </c>
      <c r="N135" s="8" t="s">
        <v>492</v>
      </c>
      <c r="O135" s="8"/>
      <c r="P135" s="9">
        <f ca="1">VLOOKUP(Tabla1[[#This Row],[Nombre Equipo]],INDIRECT(Tabla1[[#This Row],[Proveedor prev.]]),2,FALSE)</f>
        <v>0</v>
      </c>
      <c r="Q135" s="9">
        <f ca="1">Tabla1[[#This Row],[Valor prev.]]*1.19</f>
        <v>0</v>
      </c>
    </row>
    <row r="136" spans="1:17" x14ac:dyDescent="0.3">
      <c r="A136" s="8" t="s">
        <v>59</v>
      </c>
      <c r="B136" s="8" t="str">
        <f>IFERROR(VLOOKUP(Tabla1[[#This Row],[Sede ]],Tabla2[[#All],[Sede]:[Departamento]],2,FALSE),"")</f>
        <v>Medellin</v>
      </c>
      <c r="C136" s="8" t="str">
        <f>IFERROR(VLOOKUP(Tabla1[[#This Row],[Sede ]],Tabla2[[#All],[Sede]:[Departamento]],3,FALSE),"")</f>
        <v>Antioquia</v>
      </c>
      <c r="D136" s="8" t="s">
        <v>75</v>
      </c>
      <c r="E136" s="13" t="s">
        <v>318</v>
      </c>
      <c r="F136" s="16">
        <v>44978</v>
      </c>
      <c r="G136" s="8" t="s">
        <v>62</v>
      </c>
      <c r="H136" s="8" t="s">
        <v>113</v>
      </c>
      <c r="I136" s="8" t="s">
        <v>319</v>
      </c>
      <c r="J136" s="9">
        <f ca="1">VLOOKUP(Tabla1[[#This Row],[Nombre Equipo]],INDIRECT(Tabla1[[#This Row],[Proveedor calib.]]),2,FALSE)</f>
        <v>140200</v>
      </c>
      <c r="K136" s="9">
        <f ca="1">Tabla1[[#This Row],[ Valor calibración]]*1.19</f>
        <v>166838</v>
      </c>
      <c r="L136" s="8" t="s">
        <v>492</v>
      </c>
      <c r="M136" s="16" t="s">
        <v>492</v>
      </c>
      <c r="N136" s="8" t="s">
        <v>492</v>
      </c>
      <c r="O136" s="8"/>
      <c r="P136" s="9">
        <f ca="1">VLOOKUP(Tabla1[[#This Row],[Nombre Equipo]],INDIRECT(Tabla1[[#This Row],[Proveedor prev.]]),2,FALSE)</f>
        <v>0</v>
      </c>
      <c r="Q136" s="9">
        <f ca="1">Tabla1[[#This Row],[Valor prev.]]*1.19</f>
        <v>0</v>
      </c>
    </row>
    <row r="137" spans="1:17" x14ac:dyDescent="0.3">
      <c r="A137" s="8" t="s">
        <v>30</v>
      </c>
      <c r="B137" s="8" t="str">
        <f>IFERROR(VLOOKUP(Tabla1[[#This Row],[Sede ]],Tabla2[[#All],[Sede]:[Departamento]],2,FALSE),"")</f>
        <v>Medellín</v>
      </c>
      <c r="C137" s="8" t="str">
        <f>IFERROR(VLOOKUP(Tabla1[[#This Row],[Sede ]],Tabla2[[#All],[Sede]:[Departamento]],3,FALSE),"")</f>
        <v>Antioquia</v>
      </c>
      <c r="D137" s="8" t="s">
        <v>120</v>
      </c>
      <c r="E137" s="13">
        <v>8</v>
      </c>
      <c r="F137" s="16">
        <v>44977</v>
      </c>
      <c r="G137" s="8" t="s">
        <v>62</v>
      </c>
      <c r="H137" s="8" t="s">
        <v>113</v>
      </c>
      <c r="I137" s="8" t="s">
        <v>320</v>
      </c>
      <c r="J137" s="9">
        <f ca="1">VLOOKUP(Tabla1[[#This Row],[Nombre Equipo]],INDIRECT(Tabla1[[#This Row],[Proveedor calib.]]),2,FALSE)</f>
        <v>107900</v>
      </c>
      <c r="K137" s="9">
        <f ca="1">Tabla1[[#This Row],[ Valor calibración]]*1.19</f>
        <v>128401</v>
      </c>
      <c r="L137" s="8" t="s">
        <v>492</v>
      </c>
      <c r="M137" s="16" t="s">
        <v>492</v>
      </c>
      <c r="N137" s="8" t="s">
        <v>492</v>
      </c>
      <c r="O137" s="8"/>
      <c r="P137" s="9">
        <f ca="1">VLOOKUP(Tabla1[[#This Row],[Nombre Equipo]],INDIRECT(Tabla1[[#This Row],[Proveedor prev.]]),2,FALSE)</f>
        <v>0</v>
      </c>
      <c r="Q137" s="9">
        <f ca="1">Tabla1[[#This Row],[Valor prev.]]*1.19</f>
        <v>0</v>
      </c>
    </row>
    <row r="138" spans="1:17" x14ac:dyDescent="0.3">
      <c r="A138" s="8" t="s">
        <v>30</v>
      </c>
      <c r="B138" s="8" t="str">
        <f>IFERROR(VLOOKUP(Tabla1[[#This Row],[Sede ]],Tabla2[[#All],[Sede]:[Departamento]],2,FALSE),"")</f>
        <v>Medellín</v>
      </c>
      <c r="C138" s="8" t="str">
        <f>IFERROR(VLOOKUP(Tabla1[[#This Row],[Sede ]],Tabla2[[#All],[Sede]:[Departamento]],3,FALSE),"")</f>
        <v>Antioquia</v>
      </c>
      <c r="D138" s="8" t="s">
        <v>120</v>
      </c>
      <c r="E138" s="13">
        <v>14</v>
      </c>
      <c r="F138" s="16">
        <v>44977</v>
      </c>
      <c r="G138" s="8" t="s">
        <v>62</v>
      </c>
      <c r="H138" s="8" t="s">
        <v>113</v>
      </c>
      <c r="I138" s="8" t="s">
        <v>321</v>
      </c>
      <c r="J138" s="9">
        <f ca="1">VLOOKUP(Tabla1[[#This Row],[Nombre Equipo]],INDIRECT(Tabla1[[#This Row],[Proveedor calib.]]),2,FALSE)</f>
        <v>107900</v>
      </c>
      <c r="K138" s="9">
        <f ca="1">Tabla1[[#This Row],[ Valor calibración]]*1.19</f>
        <v>128401</v>
      </c>
      <c r="L138" s="8" t="s">
        <v>492</v>
      </c>
      <c r="M138" s="16" t="s">
        <v>492</v>
      </c>
      <c r="N138" s="8" t="s">
        <v>492</v>
      </c>
      <c r="O138" s="8"/>
      <c r="P138" s="9">
        <f ca="1">VLOOKUP(Tabla1[[#This Row],[Nombre Equipo]],INDIRECT(Tabla1[[#This Row],[Proveedor prev.]]),2,FALSE)</f>
        <v>0</v>
      </c>
      <c r="Q138" s="9">
        <f ca="1">Tabla1[[#This Row],[Valor prev.]]*1.19</f>
        <v>0</v>
      </c>
    </row>
    <row r="139" spans="1:17" x14ac:dyDescent="0.3">
      <c r="A139" s="8" t="s">
        <v>30</v>
      </c>
      <c r="B139" s="8" t="str">
        <f>IFERROR(VLOOKUP(Tabla1[[#This Row],[Sede ]],Tabla2[[#All],[Sede]:[Departamento]],2,FALSE),"")</f>
        <v>Medellín</v>
      </c>
      <c r="C139" s="8" t="str">
        <f>IFERROR(VLOOKUP(Tabla1[[#This Row],[Sede ]],Tabla2[[#All],[Sede]:[Departamento]],3,FALSE),"")</f>
        <v>Antioquia</v>
      </c>
      <c r="D139" s="8" t="s">
        <v>120</v>
      </c>
      <c r="E139" s="13" t="s">
        <v>323</v>
      </c>
      <c r="F139" s="16">
        <v>44977</v>
      </c>
      <c r="G139" s="8" t="s">
        <v>62</v>
      </c>
      <c r="H139" s="8" t="s">
        <v>113</v>
      </c>
      <c r="I139" s="8" t="s">
        <v>322</v>
      </c>
      <c r="J139" s="9">
        <f ca="1">VLOOKUP(Tabla1[[#This Row],[Nombre Equipo]],INDIRECT(Tabla1[[#This Row],[Proveedor calib.]]),2,FALSE)</f>
        <v>107900</v>
      </c>
      <c r="K139" s="9">
        <f ca="1">Tabla1[[#This Row],[ Valor calibración]]*1.19</f>
        <v>128401</v>
      </c>
      <c r="L139" s="8" t="s">
        <v>492</v>
      </c>
      <c r="M139" s="16" t="s">
        <v>492</v>
      </c>
      <c r="N139" s="8" t="s">
        <v>492</v>
      </c>
      <c r="O139" s="8"/>
      <c r="P139" s="9">
        <f ca="1">VLOOKUP(Tabla1[[#This Row],[Nombre Equipo]],INDIRECT(Tabla1[[#This Row],[Proveedor prev.]]),2,FALSE)</f>
        <v>0</v>
      </c>
      <c r="Q139" s="9">
        <f ca="1">Tabla1[[#This Row],[Valor prev.]]*1.19</f>
        <v>0</v>
      </c>
    </row>
    <row r="140" spans="1:17" x14ac:dyDescent="0.3">
      <c r="A140" s="8" t="s">
        <v>59</v>
      </c>
      <c r="B140" s="8" t="str">
        <f>IFERROR(VLOOKUP(Tabla1[[#This Row],[Sede ]],Tabla2[[#All],[Sede]:[Departamento]],2,FALSE),"")</f>
        <v>Medellin</v>
      </c>
      <c r="C140" s="8" t="str">
        <f>IFERROR(VLOOKUP(Tabla1[[#This Row],[Sede ]],Tabla2[[#All],[Sede]:[Departamento]],3,FALSE),"")</f>
        <v>Antioquia</v>
      </c>
      <c r="D140" s="8" t="s">
        <v>77</v>
      </c>
      <c r="E140" s="13" t="s">
        <v>325</v>
      </c>
      <c r="F140" s="16">
        <v>44979</v>
      </c>
      <c r="G140" s="8" t="s">
        <v>63</v>
      </c>
      <c r="H140" s="8" t="s">
        <v>113</v>
      </c>
      <c r="I140" s="8" t="s">
        <v>324</v>
      </c>
      <c r="J140" s="9">
        <f ca="1">VLOOKUP(Tabla1[[#This Row],[Nombre Equipo]],INDIRECT(Tabla1[[#This Row],[Proveedor calib.]]),2,FALSE)</f>
        <v>107900</v>
      </c>
      <c r="K140" s="9">
        <f ca="1">Tabla1[[#This Row],[ Valor calibración]]*1.19</f>
        <v>128401</v>
      </c>
      <c r="L140" s="8" t="s">
        <v>492</v>
      </c>
      <c r="M140" s="16" t="s">
        <v>492</v>
      </c>
      <c r="N140" s="8" t="s">
        <v>492</v>
      </c>
      <c r="O140" s="8"/>
      <c r="P140" s="9">
        <f ca="1">VLOOKUP(Tabla1[[#This Row],[Nombre Equipo]],INDIRECT(Tabla1[[#This Row],[Proveedor prev.]]),2,FALSE)</f>
        <v>0</v>
      </c>
      <c r="Q140" s="9">
        <f ca="1">Tabla1[[#This Row],[Valor prev.]]*1.19</f>
        <v>0</v>
      </c>
    </row>
    <row r="141" spans="1:17" x14ac:dyDescent="0.3">
      <c r="A141" s="8" t="s">
        <v>59</v>
      </c>
      <c r="B141" s="8" t="str">
        <f>IFERROR(VLOOKUP(Tabla1[[#This Row],[Sede ]],Tabla2[[#All],[Sede]:[Departamento]],2,FALSE),"")</f>
        <v>Medellin</v>
      </c>
      <c r="C141" s="8" t="str">
        <f>IFERROR(VLOOKUP(Tabla1[[#This Row],[Sede ]],Tabla2[[#All],[Sede]:[Departamento]],3,FALSE),"")</f>
        <v>Antioquia</v>
      </c>
      <c r="D141" s="8" t="s">
        <v>77</v>
      </c>
      <c r="E141" s="13" t="s">
        <v>327</v>
      </c>
      <c r="F141" s="16">
        <v>44979</v>
      </c>
      <c r="G141" s="8" t="s">
        <v>63</v>
      </c>
      <c r="H141" s="8" t="s">
        <v>113</v>
      </c>
      <c r="I141" s="8" t="s">
        <v>326</v>
      </c>
      <c r="J141" s="9">
        <f ca="1">VLOOKUP(Tabla1[[#This Row],[Nombre Equipo]],INDIRECT(Tabla1[[#This Row],[Proveedor calib.]]),2,FALSE)</f>
        <v>107900</v>
      </c>
      <c r="K141" s="9">
        <f ca="1">Tabla1[[#This Row],[ Valor calibración]]*1.19</f>
        <v>128401</v>
      </c>
      <c r="L141" s="8" t="s">
        <v>492</v>
      </c>
      <c r="M141" s="16" t="s">
        <v>492</v>
      </c>
      <c r="N141" s="8" t="s">
        <v>492</v>
      </c>
      <c r="O141" s="8"/>
      <c r="P141" s="9">
        <f ca="1">VLOOKUP(Tabla1[[#This Row],[Nombre Equipo]],INDIRECT(Tabla1[[#This Row],[Proveedor prev.]]),2,FALSE)</f>
        <v>0</v>
      </c>
      <c r="Q141" s="9">
        <f ca="1">Tabla1[[#This Row],[Valor prev.]]*1.19</f>
        <v>0</v>
      </c>
    </row>
    <row r="142" spans="1:17" x14ac:dyDescent="0.3">
      <c r="A142" s="8" t="s">
        <v>59</v>
      </c>
      <c r="B142" s="8" t="str">
        <f>IFERROR(VLOOKUP(Tabla1[[#This Row],[Sede ]],Tabla2[[#All],[Sede]:[Departamento]],2,FALSE),"")</f>
        <v>Medellin</v>
      </c>
      <c r="C142" s="8" t="str">
        <f>IFERROR(VLOOKUP(Tabla1[[#This Row],[Sede ]],Tabla2[[#All],[Sede]:[Departamento]],3,FALSE),"")</f>
        <v>Antioquia</v>
      </c>
      <c r="D142" s="8" t="s">
        <v>77</v>
      </c>
      <c r="E142" s="13" t="s">
        <v>329</v>
      </c>
      <c r="F142" s="16">
        <v>44979</v>
      </c>
      <c r="G142" s="8" t="s">
        <v>63</v>
      </c>
      <c r="H142" s="8" t="s">
        <v>113</v>
      </c>
      <c r="I142" s="8" t="s">
        <v>328</v>
      </c>
      <c r="J142" s="9">
        <f ca="1">VLOOKUP(Tabla1[[#This Row],[Nombre Equipo]],INDIRECT(Tabla1[[#This Row],[Proveedor calib.]]),2,FALSE)</f>
        <v>107900</v>
      </c>
      <c r="K142" s="9">
        <f ca="1">Tabla1[[#This Row],[ Valor calibración]]*1.19</f>
        <v>128401</v>
      </c>
      <c r="L142" s="8" t="s">
        <v>492</v>
      </c>
      <c r="M142" s="16" t="s">
        <v>492</v>
      </c>
      <c r="N142" s="8" t="s">
        <v>492</v>
      </c>
      <c r="O142" s="8"/>
      <c r="P142" s="9">
        <f ca="1">VLOOKUP(Tabla1[[#This Row],[Nombre Equipo]],INDIRECT(Tabla1[[#This Row],[Proveedor prev.]]),2,FALSE)</f>
        <v>0</v>
      </c>
      <c r="Q142" s="9">
        <f ca="1">Tabla1[[#This Row],[Valor prev.]]*1.19</f>
        <v>0</v>
      </c>
    </row>
    <row r="143" spans="1:17" x14ac:dyDescent="0.3">
      <c r="A143" s="8" t="s">
        <v>59</v>
      </c>
      <c r="B143" s="8" t="str">
        <f>IFERROR(VLOOKUP(Tabla1[[#This Row],[Sede ]],Tabla2[[#All],[Sede]:[Departamento]],2,FALSE),"")</f>
        <v>Medellin</v>
      </c>
      <c r="C143" s="8" t="str">
        <f>IFERROR(VLOOKUP(Tabla1[[#This Row],[Sede ]],Tabla2[[#All],[Sede]:[Departamento]],3,FALSE),"")</f>
        <v>Antioquia</v>
      </c>
      <c r="D143" s="8" t="s">
        <v>77</v>
      </c>
      <c r="E143" s="13" t="s">
        <v>331</v>
      </c>
      <c r="F143" s="16">
        <v>44979</v>
      </c>
      <c r="G143" s="8" t="s">
        <v>63</v>
      </c>
      <c r="H143" s="8" t="s">
        <v>113</v>
      </c>
      <c r="I143" s="8" t="s">
        <v>330</v>
      </c>
      <c r="J143" s="9">
        <f ca="1">VLOOKUP(Tabla1[[#This Row],[Nombre Equipo]],INDIRECT(Tabla1[[#This Row],[Proveedor calib.]]),2,FALSE)</f>
        <v>107900</v>
      </c>
      <c r="K143" s="9">
        <f ca="1">Tabla1[[#This Row],[ Valor calibración]]*1.19</f>
        <v>128401</v>
      </c>
      <c r="L143" s="8" t="s">
        <v>492</v>
      </c>
      <c r="M143" s="16" t="s">
        <v>492</v>
      </c>
      <c r="N143" s="8" t="s">
        <v>492</v>
      </c>
      <c r="O143" s="8"/>
      <c r="P143" s="9">
        <f ca="1">VLOOKUP(Tabla1[[#This Row],[Nombre Equipo]],INDIRECT(Tabla1[[#This Row],[Proveedor prev.]]),2,FALSE)</f>
        <v>0</v>
      </c>
      <c r="Q143" s="9">
        <f ca="1">Tabla1[[#This Row],[Valor prev.]]*1.19</f>
        <v>0</v>
      </c>
    </row>
    <row r="144" spans="1:17" x14ac:dyDescent="0.3">
      <c r="A144" s="8" t="s">
        <v>30</v>
      </c>
      <c r="B144" s="8" t="str">
        <f>IFERROR(VLOOKUP(Tabla1[[#This Row],[Sede ]],Tabla2[[#All],[Sede]:[Departamento]],2,FALSE),"")</f>
        <v>Medellín</v>
      </c>
      <c r="C144" s="8" t="str">
        <f>IFERROR(VLOOKUP(Tabla1[[#This Row],[Sede ]],Tabla2[[#All],[Sede]:[Departamento]],3,FALSE),"")</f>
        <v>Antioquia</v>
      </c>
      <c r="D144" s="8" t="s">
        <v>120</v>
      </c>
      <c r="E144" s="13">
        <v>9</v>
      </c>
      <c r="F144" s="16">
        <v>44979</v>
      </c>
      <c r="G144" s="8" t="s">
        <v>62</v>
      </c>
      <c r="H144" s="8" t="s">
        <v>113</v>
      </c>
      <c r="I144" s="8" t="s">
        <v>332</v>
      </c>
      <c r="J144" s="9">
        <f ca="1">VLOOKUP(Tabla1[[#This Row],[Nombre Equipo]],INDIRECT(Tabla1[[#This Row],[Proveedor calib.]]),2,FALSE)</f>
        <v>107900</v>
      </c>
      <c r="K144" s="9">
        <f ca="1">Tabla1[[#This Row],[ Valor calibración]]*1.19</f>
        <v>128401</v>
      </c>
      <c r="L144" s="8" t="s">
        <v>492</v>
      </c>
      <c r="M144" s="16" t="s">
        <v>492</v>
      </c>
      <c r="N144" s="8" t="s">
        <v>492</v>
      </c>
      <c r="O144" s="8"/>
      <c r="P144" s="9">
        <f ca="1">VLOOKUP(Tabla1[[#This Row],[Nombre Equipo]],INDIRECT(Tabla1[[#This Row],[Proveedor prev.]]),2,FALSE)</f>
        <v>0</v>
      </c>
      <c r="Q144" s="9">
        <f ca="1">Tabla1[[#This Row],[Valor prev.]]*1.19</f>
        <v>0</v>
      </c>
    </row>
    <row r="145" spans="1:22" x14ac:dyDescent="0.3">
      <c r="A145" s="8" t="s">
        <v>30</v>
      </c>
      <c r="B145" s="8" t="str">
        <f>IFERROR(VLOOKUP(Tabla1[[#This Row],[Sede ]],Tabla2[[#All],[Sede]:[Departamento]],2,FALSE),"")</f>
        <v>Medellín</v>
      </c>
      <c r="C145" s="8" t="str">
        <f>IFERROR(VLOOKUP(Tabla1[[#This Row],[Sede ]],Tabla2[[#All],[Sede]:[Departamento]],3,FALSE),"")</f>
        <v>Antioquia</v>
      </c>
      <c r="D145" s="8" t="s">
        <v>120</v>
      </c>
      <c r="E145" s="13" t="s">
        <v>333</v>
      </c>
      <c r="F145" s="16">
        <v>44980</v>
      </c>
      <c r="G145" s="8" t="s">
        <v>62</v>
      </c>
      <c r="H145" s="8" t="s">
        <v>113</v>
      </c>
      <c r="I145" s="8" t="s">
        <v>334</v>
      </c>
      <c r="J145" s="9">
        <f ca="1">VLOOKUP(Tabla1[[#This Row],[Nombre Equipo]],INDIRECT(Tabla1[[#This Row],[Proveedor calib.]]),2,FALSE)</f>
        <v>107900</v>
      </c>
      <c r="K145" s="9">
        <f ca="1">Tabla1[[#This Row],[ Valor calibración]]*1.19</f>
        <v>128401</v>
      </c>
      <c r="L145" s="8" t="s">
        <v>492</v>
      </c>
      <c r="M145" s="16" t="s">
        <v>492</v>
      </c>
      <c r="N145" s="8" t="s">
        <v>492</v>
      </c>
      <c r="O145" s="8"/>
      <c r="P145" s="9">
        <f ca="1">VLOOKUP(Tabla1[[#This Row],[Nombre Equipo]],INDIRECT(Tabla1[[#This Row],[Proveedor prev.]]),2,FALSE)</f>
        <v>0</v>
      </c>
      <c r="Q145" s="9">
        <f ca="1">Tabla1[[#This Row],[Valor prev.]]*1.19</f>
        <v>0</v>
      </c>
    </row>
    <row r="146" spans="1:22" x14ac:dyDescent="0.3">
      <c r="A146" s="8" t="s">
        <v>29</v>
      </c>
      <c r="B146" s="8" t="str">
        <f>IFERROR(VLOOKUP(Tabla1[[#This Row],[Sede ]],Tabla2[[#All],[Sede]:[Departamento]],2,FALSE),"")</f>
        <v>Bogotá</v>
      </c>
      <c r="C146" s="8" t="str">
        <f>IFERROR(VLOOKUP(Tabla1[[#This Row],[Sede ]],Tabla2[[#All],[Sede]:[Departamento]],3,FALSE),"")</f>
        <v>Bogotá</v>
      </c>
      <c r="D146" s="8" t="s">
        <v>116</v>
      </c>
      <c r="E146" s="13" t="s">
        <v>335</v>
      </c>
      <c r="F146" s="16">
        <v>44981</v>
      </c>
      <c r="G146" s="8" t="s">
        <v>62</v>
      </c>
      <c r="H146" s="8" t="s">
        <v>113</v>
      </c>
      <c r="I146" s="8" t="s">
        <v>336</v>
      </c>
      <c r="J146" s="9">
        <f ca="1">VLOOKUP(Tabla1[[#This Row],[Nombre Equipo]],INDIRECT(Tabla1[[#This Row],[Proveedor calib.]]),2,FALSE)</f>
        <v>169400</v>
      </c>
      <c r="K146" s="9">
        <f ca="1">Tabla1[[#This Row],[ Valor calibración]]*1.19</f>
        <v>201586</v>
      </c>
      <c r="L146" s="8" t="s">
        <v>492</v>
      </c>
      <c r="M146" s="16" t="s">
        <v>492</v>
      </c>
      <c r="N146" s="8" t="s">
        <v>492</v>
      </c>
      <c r="O146" s="8"/>
      <c r="P146" s="9">
        <f ca="1">VLOOKUP(Tabla1[[#This Row],[Nombre Equipo]],INDIRECT(Tabla1[[#This Row],[Proveedor prev.]]),2,FALSE)</f>
        <v>0</v>
      </c>
      <c r="Q146" s="9">
        <f ca="1">Tabla1[[#This Row],[Valor prev.]]*1.19</f>
        <v>0</v>
      </c>
    </row>
    <row r="147" spans="1:22" x14ac:dyDescent="0.3">
      <c r="A147" s="8" t="s">
        <v>29</v>
      </c>
      <c r="B147" s="8" t="str">
        <f>IFERROR(VLOOKUP(Tabla1[[#This Row],[Sede ]],Tabla2[[#All],[Sede]:[Departamento]],2,FALSE),"")</f>
        <v>Bogotá</v>
      </c>
      <c r="C147" s="8" t="str">
        <f>IFERROR(VLOOKUP(Tabla1[[#This Row],[Sede ]],Tabla2[[#All],[Sede]:[Departamento]],3,FALSE),"")</f>
        <v>Bogotá</v>
      </c>
      <c r="D147" s="8" t="s">
        <v>116</v>
      </c>
      <c r="E147" s="13" t="s">
        <v>338</v>
      </c>
      <c r="F147" s="16">
        <v>44981</v>
      </c>
      <c r="G147" s="8" t="s">
        <v>62</v>
      </c>
      <c r="H147" s="8" t="s">
        <v>113</v>
      </c>
      <c r="I147" s="8" t="s">
        <v>337</v>
      </c>
      <c r="J147" s="9">
        <f ca="1">VLOOKUP(Tabla1[[#This Row],[Nombre Equipo]],INDIRECT(Tabla1[[#This Row],[Proveedor calib.]]),2,FALSE)</f>
        <v>169400</v>
      </c>
      <c r="K147" s="9">
        <f ca="1">Tabla1[[#This Row],[ Valor calibración]]*1.19</f>
        <v>201586</v>
      </c>
      <c r="L147" s="8" t="s">
        <v>65</v>
      </c>
      <c r="M147" s="16">
        <v>45030</v>
      </c>
      <c r="N147" s="8" t="s">
        <v>74</v>
      </c>
      <c r="O147" s="8">
        <v>320816</v>
      </c>
      <c r="P147" s="9">
        <f ca="1">VLOOKUP(Tabla1[[#This Row],[Nombre Equipo]],INDIRECT(Tabla1[[#This Row],[Proveedor prev.]]),2,FALSE)</f>
        <v>45000</v>
      </c>
      <c r="Q147" s="9">
        <f ca="1">Tabla1[[#This Row],[Valor prev.]]*1.19</f>
        <v>53550</v>
      </c>
    </row>
    <row r="148" spans="1:22" x14ac:dyDescent="0.3">
      <c r="A148" s="8" t="s">
        <v>29</v>
      </c>
      <c r="B148" s="8" t="str">
        <f>IFERROR(VLOOKUP(Tabla1[[#This Row],[Sede ]],Tabla2[[#All],[Sede]:[Departamento]],2,FALSE),"")</f>
        <v>Bogotá</v>
      </c>
      <c r="C148" s="8" t="str">
        <f>IFERROR(VLOOKUP(Tabla1[[#This Row],[Sede ]],Tabla2[[#All],[Sede]:[Departamento]],3,FALSE),"")</f>
        <v>Bogotá</v>
      </c>
      <c r="D148" s="8" t="s">
        <v>118</v>
      </c>
      <c r="E148" s="13" t="s">
        <v>340</v>
      </c>
      <c r="F148" s="16">
        <v>44981</v>
      </c>
      <c r="G148" s="8" t="s">
        <v>62</v>
      </c>
      <c r="H148" s="8" t="s">
        <v>113</v>
      </c>
      <c r="I148" s="8" t="s">
        <v>339</v>
      </c>
      <c r="J148" s="9">
        <f ca="1">VLOOKUP(Tabla1[[#This Row],[Nombre Equipo]],INDIRECT(Tabla1[[#This Row],[Proveedor calib.]]),2,FALSE)</f>
        <v>135700</v>
      </c>
      <c r="K148" s="9">
        <f ca="1">Tabla1[[#This Row],[ Valor calibración]]*1.19</f>
        <v>161483</v>
      </c>
      <c r="L148" s="8" t="s">
        <v>65</v>
      </c>
      <c r="M148" s="16">
        <v>45030</v>
      </c>
      <c r="N148" s="8" t="s">
        <v>74</v>
      </c>
      <c r="O148" s="8">
        <v>59804</v>
      </c>
      <c r="P148" s="9">
        <f ca="1">VLOOKUP(Tabla1[[#This Row],[Nombre Equipo]],INDIRECT(Tabla1[[#This Row],[Proveedor prev.]]),2,FALSE)</f>
        <v>45000</v>
      </c>
      <c r="Q148" s="9">
        <f ca="1">Tabla1[[#This Row],[Valor prev.]]*1.19</f>
        <v>53550</v>
      </c>
    </row>
    <row r="149" spans="1:22" x14ac:dyDescent="0.3">
      <c r="A149" s="8" t="s">
        <v>29</v>
      </c>
      <c r="B149" s="8" t="str">
        <f>IFERROR(VLOOKUP(Tabla1[[#This Row],[Sede ]],Tabla2[[#All],[Sede]:[Departamento]],2,FALSE),"")</f>
        <v>Bogotá</v>
      </c>
      <c r="C149" s="8" t="str">
        <f>IFERROR(VLOOKUP(Tabla1[[#This Row],[Sede ]],Tabla2[[#All],[Sede]:[Departamento]],3,FALSE),"")</f>
        <v>Bogotá</v>
      </c>
      <c r="D149" s="8" t="s">
        <v>114</v>
      </c>
      <c r="E149" s="13" t="s">
        <v>224</v>
      </c>
      <c r="F149" s="16">
        <v>44984</v>
      </c>
      <c r="G149" s="8" t="s">
        <v>62</v>
      </c>
      <c r="H149" s="8" t="s">
        <v>113</v>
      </c>
      <c r="I149" s="8" t="s">
        <v>225</v>
      </c>
      <c r="J149" s="9">
        <f ca="1">VLOOKUP(Tabla1[[#This Row],[Nombre Equipo]],INDIRECT(Tabla1[[#This Row],[Proveedor calib.]]),2,FALSE)</f>
        <v>135700</v>
      </c>
      <c r="K149" s="9">
        <f ca="1">Tabla1[[#This Row],[ Valor calibración]]*1.19</f>
        <v>161483</v>
      </c>
      <c r="L149" s="8" t="s">
        <v>492</v>
      </c>
      <c r="M149" s="16" t="s">
        <v>492</v>
      </c>
      <c r="N149" s="8" t="s">
        <v>492</v>
      </c>
      <c r="O149" s="8"/>
      <c r="P149" s="9">
        <f ca="1">VLOOKUP(Tabla1[[#This Row],[Nombre Equipo]],INDIRECT(Tabla1[[#This Row],[Proveedor prev.]]),2,FALSE)</f>
        <v>0</v>
      </c>
      <c r="Q149" s="9">
        <f ca="1">Tabla1[[#This Row],[Valor prev.]]*1.19</f>
        <v>0</v>
      </c>
    </row>
    <row r="150" spans="1:22" x14ac:dyDescent="0.3">
      <c r="A150" s="8" t="s">
        <v>29</v>
      </c>
      <c r="B150" s="8" t="str">
        <f>IFERROR(VLOOKUP(Tabla1[[#This Row],[Sede ]],Tabla2[[#All],[Sede]:[Departamento]],2,FALSE),"")</f>
        <v>Bogotá</v>
      </c>
      <c r="C150" s="8" t="str">
        <f>IFERROR(VLOOKUP(Tabla1[[#This Row],[Sede ]],Tabla2[[#All],[Sede]:[Departamento]],3,FALSE),"")</f>
        <v>Bogotá</v>
      </c>
      <c r="D150" s="8" t="s">
        <v>114</v>
      </c>
      <c r="E150" s="13" t="s">
        <v>226</v>
      </c>
      <c r="F150" s="16">
        <v>44984</v>
      </c>
      <c r="G150" s="8" t="s">
        <v>62</v>
      </c>
      <c r="H150" s="8" t="s">
        <v>113</v>
      </c>
      <c r="I150" s="8" t="s">
        <v>227</v>
      </c>
      <c r="J150" s="9">
        <f ca="1">VLOOKUP(Tabla1[[#This Row],[Nombre Equipo]],INDIRECT(Tabla1[[#This Row],[Proveedor calib.]]),2,FALSE)</f>
        <v>135700</v>
      </c>
      <c r="K150" s="9">
        <f ca="1">Tabla1[[#This Row],[ Valor calibración]]*1.19</f>
        <v>161483</v>
      </c>
      <c r="L150" s="8" t="s">
        <v>492</v>
      </c>
      <c r="M150" s="16" t="s">
        <v>492</v>
      </c>
      <c r="N150" s="8" t="s">
        <v>492</v>
      </c>
      <c r="O150" s="8"/>
      <c r="P150" s="9">
        <f ca="1">VLOOKUP(Tabla1[[#This Row],[Nombre Equipo]],INDIRECT(Tabla1[[#This Row],[Proveedor prev.]]),2,FALSE)</f>
        <v>0</v>
      </c>
      <c r="Q150" s="9">
        <f ca="1">Tabla1[[#This Row],[Valor prev.]]*1.19</f>
        <v>0</v>
      </c>
    </row>
    <row r="151" spans="1:22" x14ac:dyDescent="0.3">
      <c r="A151" s="8" t="s">
        <v>29</v>
      </c>
      <c r="B151" s="8" t="str">
        <f>IFERROR(VLOOKUP(Tabla1[[#This Row],[Sede ]],Tabla2[[#All],[Sede]:[Departamento]],2,FALSE),"")</f>
        <v>Bogotá</v>
      </c>
      <c r="C151" s="8" t="str">
        <f>IFERROR(VLOOKUP(Tabla1[[#This Row],[Sede ]],Tabla2[[#All],[Sede]:[Departamento]],3,FALSE),"")</f>
        <v>Bogotá</v>
      </c>
      <c r="D151" s="8" t="s">
        <v>114</v>
      </c>
      <c r="E151" s="13" t="s">
        <v>228</v>
      </c>
      <c r="F151" s="16">
        <v>44984</v>
      </c>
      <c r="G151" s="8" t="s">
        <v>62</v>
      </c>
      <c r="H151" s="8" t="s">
        <v>113</v>
      </c>
      <c r="I151" s="8" t="s">
        <v>229</v>
      </c>
      <c r="J151" s="9">
        <f ca="1">VLOOKUP(Tabla1[[#This Row],[Nombre Equipo]],INDIRECT(Tabla1[[#This Row],[Proveedor calib.]]),2,FALSE)</f>
        <v>135700</v>
      </c>
      <c r="K151" s="9">
        <f ca="1">Tabla1[[#This Row],[ Valor calibración]]*1.19</f>
        <v>161483</v>
      </c>
      <c r="L151" s="8" t="s">
        <v>492</v>
      </c>
      <c r="M151" s="16" t="s">
        <v>492</v>
      </c>
      <c r="N151" s="8" t="s">
        <v>492</v>
      </c>
      <c r="O151" s="8"/>
      <c r="P151" s="9">
        <f ca="1">VLOOKUP(Tabla1[[#This Row],[Nombre Equipo]],INDIRECT(Tabla1[[#This Row],[Proveedor prev.]]),2,FALSE)</f>
        <v>0</v>
      </c>
      <c r="Q151" s="9">
        <f ca="1">Tabla1[[#This Row],[Valor prev.]]*1.19</f>
        <v>0</v>
      </c>
      <c r="S151" s="35"/>
      <c r="T151" s="35"/>
      <c r="U151" s="35"/>
      <c r="V151" s="35"/>
    </row>
    <row r="152" spans="1:22" x14ac:dyDescent="0.3">
      <c r="A152" s="8" t="s">
        <v>29</v>
      </c>
      <c r="B152" s="8" t="str">
        <f>IFERROR(VLOOKUP(Tabla1[[#This Row],[Sede ]],Tabla2[[#All],[Sede]:[Departamento]],2,FALSE),"")</f>
        <v>Bogotá</v>
      </c>
      <c r="C152" s="8" t="str">
        <f>IFERROR(VLOOKUP(Tabla1[[#This Row],[Sede ]],Tabla2[[#All],[Sede]:[Departamento]],3,FALSE),"")</f>
        <v>Bogotá</v>
      </c>
      <c r="D152" s="8" t="s">
        <v>114</v>
      </c>
      <c r="E152" s="13" t="s">
        <v>230</v>
      </c>
      <c r="F152" s="16">
        <v>44985</v>
      </c>
      <c r="G152" s="8" t="s">
        <v>62</v>
      </c>
      <c r="H152" s="8" t="s">
        <v>113</v>
      </c>
      <c r="I152" s="8" t="s">
        <v>232</v>
      </c>
      <c r="J152" s="9">
        <f ca="1">VLOOKUP(Tabla1[[#This Row],[Nombre Equipo]],INDIRECT(Tabla1[[#This Row],[Proveedor calib.]]),2,FALSE)</f>
        <v>135700</v>
      </c>
      <c r="K152" s="9">
        <f ca="1">Tabla1[[#This Row],[ Valor calibración]]*1.19</f>
        <v>161483</v>
      </c>
      <c r="L152" s="8" t="s">
        <v>492</v>
      </c>
      <c r="M152" s="16" t="s">
        <v>492</v>
      </c>
      <c r="N152" s="8" t="s">
        <v>492</v>
      </c>
      <c r="O152" s="8"/>
      <c r="P152" s="9">
        <f ca="1">VLOOKUP(Tabla1[[#This Row],[Nombre Equipo]],INDIRECT(Tabla1[[#This Row],[Proveedor prev.]]),2,FALSE)</f>
        <v>0</v>
      </c>
      <c r="Q152" s="9">
        <f ca="1">Tabla1[[#This Row],[Valor prev.]]*1.19</f>
        <v>0</v>
      </c>
      <c r="S152" s="8"/>
      <c r="T152" s="9"/>
      <c r="U152" s="9"/>
      <c r="V152" s="9"/>
    </row>
    <row r="153" spans="1:22" x14ac:dyDescent="0.3">
      <c r="A153" s="8" t="s">
        <v>43</v>
      </c>
      <c r="B153" s="8" t="str">
        <f>IFERROR(VLOOKUP(Tabla1[[#This Row],[Sede ]],Tabla2[[#All],[Sede]:[Departamento]],2,FALSE),"")</f>
        <v>Caldas</v>
      </c>
      <c r="C153" s="8" t="str">
        <f>IFERROR(VLOOKUP(Tabla1[[#This Row],[Sede ]],Tabla2[[#All],[Sede]:[Departamento]],3,FALSE),"")</f>
        <v>Antioquia</v>
      </c>
      <c r="D153" s="8" t="s">
        <v>428</v>
      </c>
      <c r="E153" s="13" t="s">
        <v>231</v>
      </c>
      <c r="F153" s="16">
        <v>44985</v>
      </c>
      <c r="G153" s="8" t="s">
        <v>62</v>
      </c>
      <c r="H153" s="8" t="s">
        <v>113</v>
      </c>
      <c r="I153" s="8" t="s">
        <v>233</v>
      </c>
      <c r="J153" s="12">
        <f ca="1">VLOOKUP(Tabla1[[#This Row],[Nombre Equipo]],INDIRECT(Tabla1[[#This Row],[Proveedor calib.]]),2,FALSE)</f>
        <v>135700</v>
      </c>
      <c r="K153" s="12">
        <f ca="1">Tabla1[[#This Row],[ Valor calibración]]*1.19</f>
        <v>161483</v>
      </c>
      <c r="L153" s="8" t="s">
        <v>65</v>
      </c>
      <c r="M153" s="16">
        <v>44966</v>
      </c>
      <c r="N153" s="8" t="s">
        <v>74</v>
      </c>
      <c r="O153" s="8">
        <v>59397</v>
      </c>
      <c r="P153" s="12">
        <f ca="1">VLOOKUP(Tabla1[[#This Row],[Nombre Equipo]],INDIRECT(Tabla1[[#This Row],[Proveedor prev.]]),2,FALSE)</f>
        <v>45000</v>
      </c>
      <c r="Q153" s="12">
        <f ca="1">Tabla1[[#This Row],[Valor prev.]]*1.19</f>
        <v>53550</v>
      </c>
      <c r="S153" s="8"/>
      <c r="T153" s="9"/>
      <c r="U153" s="9"/>
      <c r="V153" s="9"/>
    </row>
    <row r="154" spans="1:22" x14ac:dyDescent="0.3">
      <c r="A154" s="8" t="s">
        <v>29</v>
      </c>
      <c r="B154" s="8" t="str">
        <f>IFERROR(VLOOKUP(Tabla1[[#This Row],[Sede ]],Tabla2[[#All],[Sede]:[Departamento]],2,FALSE),"")</f>
        <v>Bogotá</v>
      </c>
      <c r="C154" s="8" t="str">
        <f>IFERROR(VLOOKUP(Tabla1[[#This Row],[Sede ]],Tabla2[[#All],[Sede]:[Departamento]],3,FALSE),"")</f>
        <v>Bogotá</v>
      </c>
      <c r="D154" s="8" t="s">
        <v>119</v>
      </c>
      <c r="E154" s="13" t="s">
        <v>234</v>
      </c>
      <c r="F154" s="16">
        <v>44985</v>
      </c>
      <c r="G154" s="8" t="s">
        <v>62</v>
      </c>
      <c r="H154" s="8" t="s">
        <v>113</v>
      </c>
      <c r="I154" s="8" t="s">
        <v>235</v>
      </c>
      <c r="J154" s="9">
        <f ca="1">VLOOKUP(Tabla1[[#This Row],[Nombre Equipo]],INDIRECT(Tabla1[[#This Row],[Proveedor calib.]]),2,FALSE)</f>
        <v>154100</v>
      </c>
      <c r="K154" s="9">
        <f ca="1">Tabla1[[#This Row],[ Valor calibración]]*1.19</f>
        <v>183379</v>
      </c>
      <c r="L154" s="8" t="s">
        <v>492</v>
      </c>
      <c r="M154" s="16" t="s">
        <v>492</v>
      </c>
      <c r="N154" s="8" t="s">
        <v>492</v>
      </c>
      <c r="O154" s="8"/>
      <c r="P154" s="9">
        <f ca="1">VLOOKUP(Tabla1[[#This Row],[Nombre Equipo]],INDIRECT(Tabla1[[#This Row],[Proveedor prev.]]),2,FALSE)</f>
        <v>0</v>
      </c>
      <c r="Q154" s="9">
        <f ca="1">Tabla1[[#This Row],[Valor prev.]]*1.19</f>
        <v>0</v>
      </c>
      <c r="S154" s="8"/>
      <c r="T154" s="9"/>
      <c r="U154" s="9"/>
      <c r="V154" s="9"/>
    </row>
    <row r="155" spans="1:22" x14ac:dyDescent="0.3">
      <c r="A155" s="8" t="s">
        <v>38</v>
      </c>
      <c r="B155" s="8" t="str">
        <f>IFERROR(VLOOKUP(Tabla1[[#This Row],[Sede ]],Tabla2[[#All],[Sede]:[Departamento]],2,FALSE),"")</f>
        <v>Villavicencio</v>
      </c>
      <c r="C155" s="8" t="str">
        <f>IFERROR(VLOOKUP(Tabla1[[#This Row],[Sede ]],Tabla2[[#All],[Sede]:[Departamento]],3,FALSE),"")</f>
        <v>Meta</v>
      </c>
      <c r="D155" s="8" t="s">
        <v>115</v>
      </c>
      <c r="E155" s="13" t="s">
        <v>236</v>
      </c>
      <c r="F155" s="16">
        <v>44985</v>
      </c>
      <c r="G155" s="8" t="s">
        <v>62</v>
      </c>
      <c r="H155" s="8" t="s">
        <v>113</v>
      </c>
      <c r="I155" s="8" t="s">
        <v>237</v>
      </c>
      <c r="J155" s="9">
        <f ca="1">VLOOKUP(Tabla1[[#This Row],[Nombre Equipo]],INDIRECT(Tabla1[[#This Row],[Proveedor calib.]]),2,FALSE)</f>
        <v>154100</v>
      </c>
      <c r="K155" s="9">
        <f ca="1">Tabla1[[#This Row],[ Valor calibración]]*1.19</f>
        <v>183379</v>
      </c>
      <c r="L155" s="8" t="s">
        <v>492</v>
      </c>
      <c r="M155" s="16" t="s">
        <v>492</v>
      </c>
      <c r="N155" s="8" t="s">
        <v>492</v>
      </c>
      <c r="O155" s="8"/>
      <c r="P155" s="9">
        <f ca="1">VLOOKUP(Tabla1[[#This Row],[Nombre Equipo]],INDIRECT(Tabla1[[#This Row],[Proveedor prev.]]),2,FALSE)</f>
        <v>0</v>
      </c>
      <c r="Q155" s="9">
        <f ca="1">Tabla1[[#This Row],[Valor prev.]]*1.19</f>
        <v>0</v>
      </c>
      <c r="S155" s="8"/>
      <c r="T155" s="9"/>
      <c r="U155" s="9"/>
      <c r="V155" s="9"/>
    </row>
    <row r="156" spans="1:22" x14ac:dyDescent="0.3">
      <c r="A156" s="8" t="s">
        <v>43</v>
      </c>
      <c r="B156" s="8" t="str">
        <f>IFERROR(VLOOKUP(Tabla1[[#This Row],[Sede ]],Tabla2[[#All],[Sede]:[Departamento]],2,FALSE),"")</f>
        <v>Caldas</v>
      </c>
      <c r="C156" s="8" t="str">
        <f>IFERROR(VLOOKUP(Tabla1[[#This Row],[Sede ]],Tabla2[[#All],[Sede]:[Departamento]],3,FALSE),"")</f>
        <v>Antioquia</v>
      </c>
      <c r="D156" s="8" t="s">
        <v>428</v>
      </c>
      <c r="E156" s="13" t="s">
        <v>238</v>
      </c>
      <c r="F156" s="16">
        <v>44985</v>
      </c>
      <c r="G156" s="8" t="s">
        <v>62</v>
      </c>
      <c r="H156" s="8" t="s">
        <v>113</v>
      </c>
      <c r="I156" s="8" t="s">
        <v>239</v>
      </c>
      <c r="J156" s="12">
        <f ca="1">VLOOKUP(Tabla1[[#This Row],[Nombre Equipo]],INDIRECT(Tabla1[[#This Row],[Proveedor calib.]]),2,FALSE)</f>
        <v>135700</v>
      </c>
      <c r="K156" s="12">
        <f ca="1">Tabla1[[#This Row],[ Valor calibración]]*1.19</f>
        <v>161483</v>
      </c>
      <c r="L156" s="8" t="s">
        <v>65</v>
      </c>
      <c r="M156" s="16">
        <v>44966</v>
      </c>
      <c r="N156" s="8" t="s">
        <v>74</v>
      </c>
      <c r="O156" s="8">
        <v>59396</v>
      </c>
      <c r="P156" s="12">
        <f ca="1">VLOOKUP(Tabla1[[#This Row],[Nombre Equipo]],INDIRECT(Tabla1[[#This Row],[Proveedor prev.]]),2,FALSE)</f>
        <v>45000</v>
      </c>
      <c r="Q156" s="12">
        <f ca="1">Tabla1[[#This Row],[Valor prev.]]*1.19</f>
        <v>53550</v>
      </c>
      <c r="S156" s="8"/>
      <c r="T156" s="9"/>
      <c r="U156" s="9"/>
      <c r="V156" s="9"/>
    </row>
    <row r="157" spans="1:22" x14ac:dyDescent="0.3">
      <c r="A157" s="8" t="s">
        <v>30</v>
      </c>
      <c r="B157" s="8" t="str">
        <f>IFERROR(VLOOKUP(Tabla1[[#This Row],[Sede ]],Tabla2[[#All],[Sede]:[Departamento]],2,FALSE),"")</f>
        <v>Medellín</v>
      </c>
      <c r="C157" s="8" t="str">
        <f>IFERROR(VLOOKUP(Tabla1[[#This Row],[Sede ]],Tabla2[[#All],[Sede]:[Departamento]],3,FALSE),"")</f>
        <v>Antioquia</v>
      </c>
      <c r="D157" s="8" t="s">
        <v>122</v>
      </c>
      <c r="E157" s="13" t="s">
        <v>160</v>
      </c>
      <c r="F157" s="16">
        <v>45006</v>
      </c>
      <c r="G157" s="8" t="s">
        <v>162</v>
      </c>
      <c r="H157" s="8" t="s">
        <v>113</v>
      </c>
      <c r="I157" s="8" t="s">
        <v>161</v>
      </c>
      <c r="J157" s="9">
        <f ca="1">VLOOKUP(Tabla1[[#This Row],[Nombre Equipo]],INDIRECT(Tabla1[[#This Row],[Proveedor calib.]]),2,FALSE)</f>
        <v>96800</v>
      </c>
      <c r="K157" s="9">
        <f ca="1">Tabla1[[#This Row],[ Valor calibración]]*1.19</f>
        <v>115192</v>
      </c>
      <c r="L157" s="8" t="s">
        <v>492</v>
      </c>
      <c r="M157" s="16" t="s">
        <v>492</v>
      </c>
      <c r="N157" s="8" t="s">
        <v>492</v>
      </c>
      <c r="O157" s="8"/>
      <c r="P157" s="9">
        <f ca="1">VLOOKUP(Tabla1[[#This Row],[Nombre Equipo]],INDIRECT(Tabla1[[#This Row],[Proveedor prev.]]),2,FALSE)</f>
        <v>0</v>
      </c>
      <c r="Q157" s="9">
        <f ca="1">Tabla1[[#This Row],[Valor prev.]]*1.19</f>
        <v>0</v>
      </c>
      <c r="S157" s="8"/>
      <c r="T157" s="9"/>
      <c r="U157" s="9"/>
      <c r="V157" s="9"/>
    </row>
    <row r="158" spans="1:22" x14ac:dyDescent="0.3">
      <c r="A158" s="8" t="s">
        <v>30</v>
      </c>
      <c r="B158" s="8" t="str">
        <f>IFERROR(VLOOKUP(Tabla1[[#This Row],[Sede ]],Tabla2[[#All],[Sede]:[Departamento]],2,FALSE),"")</f>
        <v>Medellín</v>
      </c>
      <c r="C158" s="8" t="str">
        <f>IFERROR(VLOOKUP(Tabla1[[#This Row],[Sede ]],Tabla2[[#All],[Sede]:[Departamento]],3,FALSE),"")</f>
        <v>Antioquia</v>
      </c>
      <c r="D158" s="8" t="s">
        <v>170</v>
      </c>
      <c r="E158" s="13" t="s">
        <v>163</v>
      </c>
      <c r="F158" s="16">
        <v>45006</v>
      </c>
      <c r="G158" s="8" t="s">
        <v>62</v>
      </c>
      <c r="H158" s="8" t="s">
        <v>113</v>
      </c>
      <c r="I158" s="8" t="s">
        <v>164</v>
      </c>
      <c r="J158" s="9">
        <f ca="1">VLOOKUP(Tabla1[[#This Row],[Nombre Equipo]],INDIRECT(Tabla1[[#This Row],[Proveedor calib.]]),2,FALSE)</f>
        <v>105300</v>
      </c>
      <c r="K158" s="9">
        <f ca="1">Tabla1[[#This Row],[ Valor calibración]]*1.19</f>
        <v>125307</v>
      </c>
      <c r="L158" s="8" t="s">
        <v>492</v>
      </c>
      <c r="M158" s="16" t="s">
        <v>492</v>
      </c>
      <c r="N158" s="8" t="s">
        <v>492</v>
      </c>
      <c r="O158" s="8"/>
      <c r="P158" s="9">
        <f ca="1">VLOOKUP(Tabla1[[#This Row],[Nombre Equipo]],INDIRECT(Tabla1[[#This Row],[Proveedor prev.]]),2,FALSE)</f>
        <v>0</v>
      </c>
      <c r="Q158" s="9">
        <f ca="1">Tabla1[[#This Row],[Valor prev.]]*1.19</f>
        <v>0</v>
      </c>
      <c r="S158" s="8"/>
      <c r="T158" s="9"/>
      <c r="U158" s="9"/>
      <c r="V158" s="9"/>
    </row>
    <row r="159" spans="1:22" x14ac:dyDescent="0.3">
      <c r="A159" s="8" t="s">
        <v>30</v>
      </c>
      <c r="B159" s="8" t="str">
        <f>IFERROR(VLOOKUP(Tabla1[[#This Row],[Sede ]],Tabla2[[#All],[Sede]:[Departamento]],2,FALSE),"")</f>
        <v>Medellín</v>
      </c>
      <c r="C159" s="8" t="str">
        <f>IFERROR(VLOOKUP(Tabla1[[#This Row],[Sede ]],Tabla2[[#All],[Sede]:[Departamento]],3,FALSE),"")</f>
        <v>Antioquia</v>
      </c>
      <c r="D159" s="8" t="s">
        <v>165</v>
      </c>
      <c r="E159" s="13" t="s">
        <v>166</v>
      </c>
      <c r="F159" s="16">
        <v>45006</v>
      </c>
      <c r="G159" s="8" t="s">
        <v>62</v>
      </c>
      <c r="H159" s="8" t="s">
        <v>113</v>
      </c>
      <c r="I159" s="8" t="s">
        <v>167</v>
      </c>
      <c r="J159" s="9">
        <f ca="1">VLOOKUP(Tabla1[[#This Row],[Nombre Equipo]],INDIRECT(Tabla1[[#This Row],[Proveedor calib.]]),2,FALSE)</f>
        <v>99300</v>
      </c>
      <c r="K159" s="9">
        <f ca="1">Tabla1[[#This Row],[ Valor calibración]]*1.19</f>
        <v>118167</v>
      </c>
      <c r="L159" s="8" t="s">
        <v>492</v>
      </c>
      <c r="M159" s="16" t="s">
        <v>492</v>
      </c>
      <c r="N159" s="8" t="s">
        <v>492</v>
      </c>
      <c r="O159" s="8"/>
      <c r="P159" s="9">
        <f ca="1">VLOOKUP(Tabla1[[#This Row],[Nombre Equipo]],INDIRECT(Tabla1[[#This Row],[Proveedor prev.]]),2,FALSE)</f>
        <v>0</v>
      </c>
      <c r="Q159" s="9">
        <f ca="1">Tabla1[[#This Row],[Valor prev.]]*1.19</f>
        <v>0</v>
      </c>
      <c r="S159" s="8"/>
      <c r="T159" s="9"/>
      <c r="U159" s="9"/>
      <c r="V159" s="9"/>
    </row>
    <row r="160" spans="1:22" x14ac:dyDescent="0.3">
      <c r="A160" s="8" t="s">
        <v>30</v>
      </c>
      <c r="B160" s="8" t="str">
        <f>IFERROR(VLOOKUP(Tabla1[[#This Row],[Sede ]],Tabla2[[#All],[Sede]:[Departamento]],2,FALSE),"")</f>
        <v>Medellín</v>
      </c>
      <c r="C160" s="8" t="str">
        <f>IFERROR(VLOOKUP(Tabla1[[#This Row],[Sede ]],Tabla2[[#All],[Sede]:[Departamento]],3,FALSE),"")</f>
        <v>Antioquia</v>
      </c>
      <c r="D160" s="8" t="s">
        <v>170</v>
      </c>
      <c r="E160" s="13" t="s">
        <v>168</v>
      </c>
      <c r="F160" s="16">
        <v>45006</v>
      </c>
      <c r="G160" s="8" t="s">
        <v>62</v>
      </c>
      <c r="H160" s="8" t="s">
        <v>113</v>
      </c>
      <c r="I160" s="8" t="s">
        <v>169</v>
      </c>
      <c r="J160" s="9">
        <f ca="1">VLOOKUP(Tabla1[[#This Row],[Nombre Equipo]],INDIRECT(Tabla1[[#This Row],[Proveedor calib.]]),2,FALSE)</f>
        <v>105300</v>
      </c>
      <c r="K160" s="9">
        <f ca="1">Tabla1[[#This Row],[ Valor calibración]]*1.19</f>
        <v>125307</v>
      </c>
      <c r="L160" s="8" t="s">
        <v>492</v>
      </c>
      <c r="M160" s="16" t="s">
        <v>492</v>
      </c>
      <c r="N160" s="8" t="s">
        <v>492</v>
      </c>
      <c r="O160" s="8"/>
      <c r="P160" s="9">
        <f ca="1">VLOOKUP(Tabla1[[#This Row],[Nombre Equipo]],INDIRECT(Tabla1[[#This Row],[Proveedor prev.]]),2,FALSE)</f>
        <v>0</v>
      </c>
      <c r="Q160" s="9">
        <f ca="1">Tabla1[[#This Row],[Valor prev.]]*1.19</f>
        <v>0</v>
      </c>
      <c r="S160" s="8"/>
      <c r="T160" s="9"/>
      <c r="U160" s="9"/>
      <c r="V160" s="9"/>
    </row>
    <row r="161" spans="1:22" x14ac:dyDescent="0.3">
      <c r="A161" s="8" t="s">
        <v>30</v>
      </c>
      <c r="B161" s="8" t="str">
        <f>IFERROR(VLOOKUP(Tabla1[[#This Row],[Sede ]],Tabla2[[#All],[Sede]:[Departamento]],2,FALSE),"")</f>
        <v>Medellín</v>
      </c>
      <c r="C161" s="8" t="str">
        <f>IFERROR(VLOOKUP(Tabla1[[#This Row],[Sede ]],Tabla2[[#All],[Sede]:[Departamento]],3,FALSE),"")</f>
        <v>Antioquia</v>
      </c>
      <c r="D161" s="8" t="s">
        <v>170</v>
      </c>
      <c r="E161" s="13" t="s">
        <v>171</v>
      </c>
      <c r="F161" s="16">
        <v>45006</v>
      </c>
      <c r="G161" s="8" t="s">
        <v>62</v>
      </c>
      <c r="H161" s="8" t="s">
        <v>113</v>
      </c>
      <c r="I161" s="8" t="s">
        <v>172</v>
      </c>
      <c r="J161" s="9">
        <f ca="1">VLOOKUP(Tabla1[[#This Row],[Nombre Equipo]],INDIRECT(Tabla1[[#This Row],[Proveedor calib.]]),2,FALSE)</f>
        <v>105300</v>
      </c>
      <c r="K161" s="9">
        <f ca="1">Tabla1[[#This Row],[ Valor calibración]]*1.19</f>
        <v>125307</v>
      </c>
      <c r="L161" s="8" t="s">
        <v>492</v>
      </c>
      <c r="M161" s="16" t="s">
        <v>492</v>
      </c>
      <c r="N161" s="8" t="s">
        <v>492</v>
      </c>
      <c r="O161" s="8"/>
      <c r="P161" s="9">
        <f ca="1">VLOOKUP(Tabla1[[#This Row],[Nombre Equipo]],INDIRECT(Tabla1[[#This Row],[Proveedor prev.]]),2,FALSE)</f>
        <v>0</v>
      </c>
      <c r="Q161" s="9">
        <f ca="1">Tabla1[[#This Row],[Valor prev.]]*1.19</f>
        <v>0</v>
      </c>
      <c r="S161" s="8"/>
      <c r="T161" s="9"/>
      <c r="U161" s="9"/>
      <c r="V161" s="9"/>
    </row>
    <row r="162" spans="1:22" x14ac:dyDescent="0.3">
      <c r="A162" s="8" t="s">
        <v>30</v>
      </c>
      <c r="B162" s="8" t="str">
        <f>IFERROR(VLOOKUP(Tabla1[[#This Row],[Sede ]],Tabla2[[#All],[Sede]:[Departamento]],2,FALSE),"")</f>
        <v>Medellín</v>
      </c>
      <c r="C162" s="8" t="str">
        <f>IFERROR(VLOOKUP(Tabla1[[#This Row],[Sede ]],Tabla2[[#All],[Sede]:[Departamento]],3,FALSE),"")</f>
        <v>Antioquia</v>
      </c>
      <c r="D162" s="8" t="s">
        <v>170</v>
      </c>
      <c r="E162" s="13" t="s">
        <v>173</v>
      </c>
      <c r="F162" s="16">
        <v>45006</v>
      </c>
      <c r="G162" s="8" t="s">
        <v>62</v>
      </c>
      <c r="H162" s="8" t="s">
        <v>113</v>
      </c>
      <c r="I162" s="8" t="s">
        <v>174</v>
      </c>
      <c r="J162" s="9">
        <f ca="1">VLOOKUP(Tabla1[[#This Row],[Nombre Equipo]],INDIRECT(Tabla1[[#This Row],[Proveedor calib.]]),2,FALSE)</f>
        <v>105300</v>
      </c>
      <c r="K162" s="9">
        <f ca="1">Tabla1[[#This Row],[ Valor calibración]]*1.19</f>
        <v>125307</v>
      </c>
      <c r="L162" s="8" t="s">
        <v>492</v>
      </c>
      <c r="M162" s="16" t="s">
        <v>492</v>
      </c>
      <c r="N162" s="8" t="s">
        <v>492</v>
      </c>
      <c r="O162" s="8"/>
      <c r="P162" s="9">
        <f ca="1">VLOOKUP(Tabla1[[#This Row],[Nombre Equipo]],INDIRECT(Tabla1[[#This Row],[Proveedor prev.]]),2,FALSE)</f>
        <v>0</v>
      </c>
      <c r="Q162" s="9">
        <f ca="1">Tabla1[[#This Row],[Valor prev.]]*1.19</f>
        <v>0</v>
      </c>
      <c r="S162" s="8"/>
      <c r="T162" s="9"/>
      <c r="U162" s="9"/>
      <c r="V162" s="9"/>
    </row>
    <row r="163" spans="1:22" x14ac:dyDescent="0.3">
      <c r="A163" s="8" t="s">
        <v>30</v>
      </c>
      <c r="B163" s="8" t="str">
        <f>IFERROR(VLOOKUP(Tabla1[[#This Row],[Sede ]],Tabla2[[#All],[Sede]:[Departamento]],2,FALSE),"")</f>
        <v>Medellín</v>
      </c>
      <c r="C163" s="8" t="str">
        <f>IFERROR(VLOOKUP(Tabla1[[#This Row],[Sede ]],Tabla2[[#All],[Sede]:[Departamento]],3,FALSE),"")</f>
        <v>Antioquia</v>
      </c>
      <c r="D163" s="8" t="s">
        <v>75</v>
      </c>
      <c r="E163" s="13" t="s">
        <v>175</v>
      </c>
      <c r="F163" s="16">
        <v>45010</v>
      </c>
      <c r="G163" s="8" t="s">
        <v>62</v>
      </c>
      <c r="H163" s="8" t="s">
        <v>113</v>
      </c>
      <c r="I163" s="8" t="s">
        <v>176</v>
      </c>
      <c r="J163" s="9">
        <f ca="1">VLOOKUP(Tabla1[[#This Row],[Nombre Equipo]],INDIRECT(Tabla1[[#This Row],[Proveedor calib.]]),2,FALSE)</f>
        <v>140200</v>
      </c>
      <c r="K163" s="9">
        <f ca="1">Tabla1[[#This Row],[ Valor calibración]]*1.19</f>
        <v>166838</v>
      </c>
      <c r="L163" s="8" t="s">
        <v>492</v>
      </c>
      <c r="M163" s="16" t="s">
        <v>492</v>
      </c>
      <c r="N163" s="8" t="s">
        <v>492</v>
      </c>
      <c r="O163" s="8"/>
      <c r="P163" s="9">
        <f ca="1">VLOOKUP(Tabla1[[#This Row],[Nombre Equipo]],INDIRECT(Tabla1[[#This Row],[Proveedor prev.]]),2,FALSE)</f>
        <v>0</v>
      </c>
      <c r="Q163" s="9">
        <f ca="1">Tabla1[[#This Row],[Valor prev.]]*1.19</f>
        <v>0</v>
      </c>
      <c r="S163" s="8"/>
      <c r="T163" s="9"/>
      <c r="U163" s="9"/>
      <c r="V163" s="9"/>
    </row>
    <row r="164" spans="1:22" x14ac:dyDescent="0.3">
      <c r="A164" s="8" t="s">
        <v>30</v>
      </c>
      <c r="B164" s="8" t="str">
        <f>IFERROR(VLOOKUP(Tabla1[[#This Row],[Sede ]],Tabla2[[#All],[Sede]:[Departamento]],2,FALSE),"")</f>
        <v>Medellín</v>
      </c>
      <c r="C164" s="8" t="str">
        <f>IFERROR(VLOOKUP(Tabla1[[#This Row],[Sede ]],Tabla2[[#All],[Sede]:[Departamento]],3,FALSE),"")</f>
        <v>Antioquia</v>
      </c>
      <c r="D164" s="8" t="s">
        <v>75</v>
      </c>
      <c r="E164" s="13" t="s">
        <v>177</v>
      </c>
      <c r="F164" s="16">
        <v>45010</v>
      </c>
      <c r="G164" s="8" t="s">
        <v>62</v>
      </c>
      <c r="H164" s="8" t="s">
        <v>113</v>
      </c>
      <c r="I164" s="8" t="s">
        <v>178</v>
      </c>
      <c r="J164" s="9">
        <f ca="1">VLOOKUP(Tabla1[[#This Row],[Nombre Equipo]],INDIRECT(Tabla1[[#This Row],[Proveedor calib.]]),2,FALSE)</f>
        <v>140200</v>
      </c>
      <c r="K164" s="9">
        <f ca="1">Tabla1[[#This Row],[ Valor calibración]]*1.19</f>
        <v>166838</v>
      </c>
      <c r="L164" s="8" t="s">
        <v>492</v>
      </c>
      <c r="M164" s="16" t="s">
        <v>492</v>
      </c>
      <c r="N164" s="8" t="s">
        <v>492</v>
      </c>
      <c r="O164" s="8"/>
      <c r="P164" s="9">
        <f ca="1">VLOOKUP(Tabla1[[#This Row],[Nombre Equipo]],INDIRECT(Tabla1[[#This Row],[Proveedor prev.]]),2,FALSE)</f>
        <v>0</v>
      </c>
      <c r="Q164" s="9">
        <f ca="1">Tabla1[[#This Row],[Valor prev.]]*1.19</f>
        <v>0</v>
      </c>
      <c r="S164" s="8"/>
      <c r="T164" s="9"/>
      <c r="U164" s="9"/>
      <c r="V164" s="9"/>
    </row>
    <row r="165" spans="1:22" x14ac:dyDescent="0.3">
      <c r="A165" s="8" t="s">
        <v>30</v>
      </c>
      <c r="B165" s="8" t="str">
        <f>IFERROR(VLOOKUP(Tabla1[[#This Row],[Sede ]],Tabla2[[#All],[Sede]:[Departamento]],2,FALSE),"")</f>
        <v>Medellín</v>
      </c>
      <c r="C165" s="8" t="str">
        <f>IFERROR(VLOOKUP(Tabla1[[#This Row],[Sede ]],Tabla2[[#All],[Sede]:[Departamento]],3,FALSE),"")</f>
        <v>Antioquia</v>
      </c>
      <c r="D165" s="8" t="s">
        <v>75</v>
      </c>
      <c r="E165" s="13" t="s">
        <v>179</v>
      </c>
      <c r="F165" s="16">
        <v>45010</v>
      </c>
      <c r="G165" s="8" t="s">
        <v>62</v>
      </c>
      <c r="H165" s="8" t="s">
        <v>113</v>
      </c>
      <c r="I165" s="8" t="s">
        <v>180</v>
      </c>
      <c r="J165" s="9">
        <f ca="1">VLOOKUP(Tabla1[[#This Row],[Nombre Equipo]],INDIRECT(Tabla1[[#This Row],[Proveedor calib.]]),2,FALSE)</f>
        <v>140200</v>
      </c>
      <c r="K165" s="9">
        <f ca="1">Tabla1[[#This Row],[ Valor calibración]]*1.19</f>
        <v>166838</v>
      </c>
      <c r="L165" s="8" t="s">
        <v>492</v>
      </c>
      <c r="M165" s="16" t="s">
        <v>492</v>
      </c>
      <c r="N165" s="8" t="s">
        <v>492</v>
      </c>
      <c r="O165" s="8"/>
      <c r="P165" s="9">
        <f ca="1">VLOOKUP(Tabla1[[#This Row],[Nombre Equipo]],INDIRECT(Tabla1[[#This Row],[Proveedor prev.]]),2,FALSE)</f>
        <v>0</v>
      </c>
      <c r="Q165" s="9">
        <f ca="1">Tabla1[[#This Row],[Valor prev.]]*1.19</f>
        <v>0</v>
      </c>
      <c r="S165" s="8"/>
      <c r="T165" s="9"/>
      <c r="U165" s="9"/>
      <c r="V165" s="9"/>
    </row>
    <row r="166" spans="1:22" x14ac:dyDescent="0.3">
      <c r="A166" s="8" t="s">
        <v>30</v>
      </c>
      <c r="B166" s="8" t="str">
        <f>IFERROR(VLOOKUP(Tabla1[[#This Row],[Sede ]],Tabla2[[#All],[Sede]:[Departamento]],2,FALSE),"")</f>
        <v>Medellín</v>
      </c>
      <c r="C166" s="8" t="str">
        <f>IFERROR(VLOOKUP(Tabla1[[#This Row],[Sede ]],Tabla2[[#All],[Sede]:[Departamento]],3,FALSE),"")</f>
        <v>Antioquia</v>
      </c>
      <c r="D166" s="8" t="s">
        <v>75</v>
      </c>
      <c r="E166" s="13" t="s">
        <v>181</v>
      </c>
      <c r="F166" s="16">
        <v>45010</v>
      </c>
      <c r="G166" s="8" t="s">
        <v>62</v>
      </c>
      <c r="H166" s="8" t="s">
        <v>113</v>
      </c>
      <c r="I166" s="8" t="s">
        <v>182</v>
      </c>
      <c r="J166" s="9">
        <f ca="1">VLOOKUP(Tabla1[[#This Row],[Nombre Equipo]],INDIRECT(Tabla1[[#This Row],[Proveedor calib.]]),2,FALSE)</f>
        <v>140200</v>
      </c>
      <c r="K166" s="9">
        <f ca="1">Tabla1[[#This Row],[ Valor calibración]]*1.19</f>
        <v>166838</v>
      </c>
      <c r="L166" s="8" t="s">
        <v>492</v>
      </c>
      <c r="M166" s="16" t="s">
        <v>492</v>
      </c>
      <c r="N166" s="8" t="s">
        <v>492</v>
      </c>
      <c r="O166" s="8"/>
      <c r="P166" s="9">
        <f ca="1">VLOOKUP(Tabla1[[#This Row],[Nombre Equipo]],INDIRECT(Tabla1[[#This Row],[Proveedor prev.]]),2,FALSE)</f>
        <v>0</v>
      </c>
      <c r="Q166" s="9">
        <f ca="1">Tabla1[[#This Row],[Valor prev.]]*1.19</f>
        <v>0</v>
      </c>
      <c r="S166" s="8"/>
      <c r="T166" s="9"/>
      <c r="U166" s="9"/>
      <c r="V166" s="9"/>
    </row>
    <row r="167" spans="1:22" x14ac:dyDescent="0.3">
      <c r="A167" s="8" t="s">
        <v>30</v>
      </c>
      <c r="B167" s="8" t="str">
        <f>IFERROR(VLOOKUP(Tabla1[[#This Row],[Sede ]],Tabla2[[#All],[Sede]:[Departamento]],2,FALSE),"")</f>
        <v>Medellín</v>
      </c>
      <c r="C167" s="8" t="str">
        <f>IFERROR(VLOOKUP(Tabla1[[#This Row],[Sede ]],Tabla2[[#All],[Sede]:[Departamento]],3,FALSE),"")</f>
        <v>Antioquia</v>
      </c>
      <c r="D167" s="8" t="s">
        <v>75</v>
      </c>
      <c r="E167" s="13" t="s">
        <v>183</v>
      </c>
      <c r="F167" s="16">
        <v>45010</v>
      </c>
      <c r="G167" s="8" t="s">
        <v>62</v>
      </c>
      <c r="H167" s="8" t="s">
        <v>113</v>
      </c>
      <c r="I167" s="8" t="s">
        <v>184</v>
      </c>
      <c r="J167" s="9">
        <f ca="1">VLOOKUP(Tabla1[[#This Row],[Nombre Equipo]],INDIRECT(Tabla1[[#This Row],[Proveedor calib.]]),2,FALSE)</f>
        <v>140200</v>
      </c>
      <c r="K167" s="9">
        <f ca="1">Tabla1[[#This Row],[ Valor calibración]]*1.19</f>
        <v>166838</v>
      </c>
      <c r="L167" s="8" t="s">
        <v>492</v>
      </c>
      <c r="M167" s="16" t="s">
        <v>492</v>
      </c>
      <c r="N167" s="8" t="s">
        <v>492</v>
      </c>
      <c r="O167" s="8"/>
      <c r="P167" s="9">
        <f ca="1">VLOOKUP(Tabla1[[#This Row],[Nombre Equipo]],INDIRECT(Tabla1[[#This Row],[Proveedor prev.]]),2,FALSE)</f>
        <v>0</v>
      </c>
      <c r="Q167" s="9">
        <f ca="1">Tabla1[[#This Row],[Valor prev.]]*1.19</f>
        <v>0</v>
      </c>
      <c r="S167" s="8"/>
      <c r="T167" s="9"/>
      <c r="U167" s="9"/>
      <c r="V167" s="9"/>
    </row>
    <row r="168" spans="1:22" x14ac:dyDescent="0.3">
      <c r="A168" s="8" t="s">
        <v>30</v>
      </c>
      <c r="B168" s="8" t="str">
        <f>IFERROR(VLOOKUP(Tabla1[[#This Row],[Sede ]],Tabla2[[#All],[Sede]:[Departamento]],2,FALSE),"")</f>
        <v>Medellín</v>
      </c>
      <c r="C168" s="8" t="str">
        <f>IFERROR(VLOOKUP(Tabla1[[#This Row],[Sede ]],Tabla2[[#All],[Sede]:[Departamento]],3,FALSE),"")</f>
        <v>Antioquia</v>
      </c>
      <c r="D168" s="8" t="s">
        <v>75</v>
      </c>
      <c r="E168" s="13" t="s">
        <v>185</v>
      </c>
      <c r="F168" s="16">
        <v>45010</v>
      </c>
      <c r="G168" s="8" t="s">
        <v>62</v>
      </c>
      <c r="H168" s="8" t="s">
        <v>113</v>
      </c>
      <c r="I168" s="8" t="s">
        <v>186</v>
      </c>
      <c r="J168" s="9">
        <f ca="1">VLOOKUP(Tabla1[[#This Row],[Nombre Equipo]],INDIRECT(Tabla1[[#This Row],[Proveedor calib.]]),2,FALSE)</f>
        <v>140200</v>
      </c>
      <c r="K168" s="9">
        <f ca="1">Tabla1[[#This Row],[ Valor calibración]]*1.19</f>
        <v>166838</v>
      </c>
      <c r="L168" s="8" t="s">
        <v>492</v>
      </c>
      <c r="M168" s="16" t="s">
        <v>492</v>
      </c>
      <c r="N168" s="8" t="s">
        <v>492</v>
      </c>
      <c r="O168" s="8"/>
      <c r="P168" s="9">
        <f ca="1">VLOOKUP(Tabla1[[#This Row],[Nombre Equipo]],INDIRECT(Tabla1[[#This Row],[Proveedor prev.]]),2,FALSE)</f>
        <v>0</v>
      </c>
      <c r="Q168" s="9">
        <f ca="1">Tabla1[[#This Row],[Valor prev.]]*1.19</f>
        <v>0</v>
      </c>
      <c r="S168" s="8"/>
      <c r="T168" s="9"/>
      <c r="U168" s="9"/>
      <c r="V168" s="9"/>
    </row>
    <row r="169" spans="1:22" x14ac:dyDescent="0.3">
      <c r="A169" s="8" t="s">
        <v>30</v>
      </c>
      <c r="B169" s="8" t="str">
        <f>IFERROR(VLOOKUP(Tabla1[[#This Row],[Sede ]],Tabla2[[#All],[Sede]:[Departamento]],2,FALSE),"")</f>
        <v>Medellín</v>
      </c>
      <c r="C169" s="8" t="str">
        <f>IFERROR(VLOOKUP(Tabla1[[#This Row],[Sede ]],Tabla2[[#All],[Sede]:[Departamento]],3,FALSE),"")</f>
        <v>Antioquia</v>
      </c>
      <c r="D169" s="8" t="s">
        <v>75</v>
      </c>
      <c r="E169" s="13" t="s">
        <v>187</v>
      </c>
      <c r="F169" s="16">
        <v>45010</v>
      </c>
      <c r="G169" s="8" t="s">
        <v>62</v>
      </c>
      <c r="H169" s="8" t="s">
        <v>113</v>
      </c>
      <c r="I169" s="8" t="s">
        <v>188</v>
      </c>
      <c r="J169" s="9">
        <f ca="1">VLOOKUP(Tabla1[[#This Row],[Nombre Equipo]],INDIRECT(Tabla1[[#This Row],[Proveedor calib.]]),2,FALSE)</f>
        <v>140200</v>
      </c>
      <c r="K169" s="9">
        <f ca="1">Tabla1[[#This Row],[ Valor calibración]]*1.19</f>
        <v>166838</v>
      </c>
      <c r="L169" s="8" t="s">
        <v>492</v>
      </c>
      <c r="M169" s="16" t="s">
        <v>492</v>
      </c>
      <c r="N169" s="8" t="s">
        <v>492</v>
      </c>
      <c r="O169" s="8"/>
      <c r="P169" s="9">
        <f ca="1">VLOOKUP(Tabla1[[#This Row],[Nombre Equipo]],INDIRECT(Tabla1[[#This Row],[Proveedor prev.]]),2,FALSE)</f>
        <v>0</v>
      </c>
      <c r="Q169" s="9">
        <f ca="1">Tabla1[[#This Row],[Valor prev.]]*1.19</f>
        <v>0</v>
      </c>
      <c r="S169" s="8"/>
      <c r="T169" s="9"/>
      <c r="U169" s="9"/>
      <c r="V169" s="9"/>
    </row>
    <row r="170" spans="1:22" x14ac:dyDescent="0.3">
      <c r="A170" s="8" t="s">
        <v>30</v>
      </c>
      <c r="B170" s="8" t="str">
        <f>IFERROR(VLOOKUP(Tabla1[[#This Row],[Sede ]],Tabla2[[#All],[Sede]:[Departamento]],2,FALSE),"")</f>
        <v>Medellín</v>
      </c>
      <c r="C170" s="8" t="str">
        <f>IFERROR(VLOOKUP(Tabla1[[#This Row],[Sede ]],Tabla2[[#All],[Sede]:[Departamento]],3,FALSE),"")</f>
        <v>Antioquia</v>
      </c>
      <c r="D170" s="8" t="s">
        <v>75</v>
      </c>
      <c r="E170" s="13" t="s">
        <v>189</v>
      </c>
      <c r="F170" s="16">
        <v>45010</v>
      </c>
      <c r="G170" s="8" t="s">
        <v>62</v>
      </c>
      <c r="H170" s="8" t="s">
        <v>113</v>
      </c>
      <c r="I170" s="8" t="s">
        <v>190</v>
      </c>
      <c r="J170" s="9">
        <f ca="1">VLOOKUP(Tabla1[[#This Row],[Nombre Equipo]],INDIRECT(Tabla1[[#This Row],[Proveedor calib.]]),2,FALSE)</f>
        <v>140200</v>
      </c>
      <c r="K170" s="9">
        <f ca="1">Tabla1[[#This Row],[ Valor calibración]]*1.19</f>
        <v>166838</v>
      </c>
      <c r="L170" s="8" t="s">
        <v>492</v>
      </c>
      <c r="M170" s="16" t="s">
        <v>492</v>
      </c>
      <c r="N170" s="8" t="s">
        <v>492</v>
      </c>
      <c r="O170" s="8"/>
      <c r="P170" s="9">
        <f ca="1">VLOOKUP(Tabla1[[#This Row],[Nombre Equipo]],INDIRECT(Tabla1[[#This Row],[Proveedor prev.]]),2,FALSE)</f>
        <v>0</v>
      </c>
      <c r="Q170" s="9">
        <f ca="1">Tabla1[[#This Row],[Valor prev.]]*1.19</f>
        <v>0</v>
      </c>
    </row>
    <row r="171" spans="1:22" x14ac:dyDescent="0.3">
      <c r="A171" s="8" t="s">
        <v>30</v>
      </c>
      <c r="B171" s="8" t="str">
        <f>IFERROR(VLOOKUP(Tabla1[[#This Row],[Sede ]],Tabla2[[#All],[Sede]:[Departamento]],2,FALSE),"")</f>
        <v>Medellín</v>
      </c>
      <c r="C171" s="8" t="str">
        <f>IFERROR(VLOOKUP(Tabla1[[#This Row],[Sede ]],Tabla2[[#All],[Sede]:[Departamento]],3,FALSE),"")</f>
        <v>Antioquia</v>
      </c>
      <c r="D171" s="8" t="s">
        <v>123</v>
      </c>
      <c r="E171" s="13" t="s">
        <v>342</v>
      </c>
      <c r="F171" s="16">
        <v>45013</v>
      </c>
      <c r="G171" s="8" t="s">
        <v>62</v>
      </c>
      <c r="H171" s="8" t="s">
        <v>73</v>
      </c>
      <c r="I171" s="8" t="s">
        <v>341</v>
      </c>
      <c r="J171" s="9">
        <f ca="1">VLOOKUP(Tabla1[[#This Row],[Nombre Equipo]],INDIRECT(Tabla1[[#This Row],[Proveedor calib.]]),2,FALSE)</f>
        <v>118272</v>
      </c>
      <c r="K171" s="9">
        <f ca="1">Tabla1[[#This Row],[ Valor calibración]]*1.19</f>
        <v>140743.67999999999</v>
      </c>
      <c r="L171" s="8" t="s">
        <v>65</v>
      </c>
      <c r="M171" s="16">
        <v>44989</v>
      </c>
      <c r="N171" s="8" t="s">
        <v>74</v>
      </c>
      <c r="O171" s="8">
        <v>59541</v>
      </c>
      <c r="P171" s="9">
        <f ca="1">VLOOKUP(Tabla1[[#This Row],[Nombre Equipo]],INDIRECT(Tabla1[[#This Row],[Proveedor prev.]]),2,FALSE)</f>
        <v>75000</v>
      </c>
      <c r="Q171" s="9">
        <f ca="1">Tabla1[[#This Row],[Valor prev.]]*1.19</f>
        <v>89250</v>
      </c>
    </row>
    <row r="172" spans="1:22" x14ac:dyDescent="0.3">
      <c r="A172" s="8" t="s">
        <v>30</v>
      </c>
      <c r="B172" s="8" t="str">
        <f>IFERROR(VLOOKUP(Tabla1[[#This Row],[Sede ]],Tabla2[[#All],[Sede]:[Departamento]],2,FALSE),"")</f>
        <v>Medellín</v>
      </c>
      <c r="C172" s="8" t="str">
        <f>IFERROR(VLOOKUP(Tabla1[[#This Row],[Sede ]],Tabla2[[#All],[Sede]:[Departamento]],3,FALSE),"")</f>
        <v>Antioquia</v>
      </c>
      <c r="D172" s="8" t="s">
        <v>300</v>
      </c>
      <c r="E172" s="13" t="s">
        <v>615</v>
      </c>
      <c r="F172" s="16" t="s">
        <v>492</v>
      </c>
      <c r="G172" s="8" t="s">
        <v>492</v>
      </c>
      <c r="H172" s="8" t="s">
        <v>492</v>
      </c>
      <c r="I172" s="8" t="s">
        <v>492</v>
      </c>
      <c r="J172" s="9">
        <f ca="1">VLOOKUP(Tabla1[[#This Row],[Nombre Equipo]],INDIRECT(Tabla1[[#This Row],[Proveedor calib.]]),2,FALSE)</f>
        <v>0</v>
      </c>
      <c r="K172" s="9">
        <f ca="1">Tabla1[[#This Row],[ Valor calibración]]*1.19</f>
        <v>0</v>
      </c>
      <c r="L172" s="8" t="s">
        <v>65</v>
      </c>
      <c r="M172" s="16">
        <v>44989</v>
      </c>
      <c r="N172" s="8" t="s">
        <v>74</v>
      </c>
      <c r="O172" s="8">
        <v>59543</v>
      </c>
      <c r="P172" s="9">
        <f ca="1">VLOOKUP(Tabla1[[#This Row],[Nombre Equipo]],INDIRECT(Tabla1[[#This Row],[Proveedor prev.]]),2,FALSE)</f>
        <v>100000</v>
      </c>
      <c r="Q172" s="9">
        <f ca="1">Tabla1[[#This Row],[Valor prev.]]*1.19</f>
        <v>119000</v>
      </c>
    </row>
    <row r="173" spans="1:22" x14ac:dyDescent="0.3">
      <c r="A173" s="8" t="s">
        <v>30</v>
      </c>
      <c r="B173" s="8" t="str">
        <f>IFERROR(VLOOKUP(Tabla1[[#This Row],[Sede ]],Tabla2[[#All],[Sede]:[Departamento]],2,FALSE),"")</f>
        <v>Medellín</v>
      </c>
      <c r="C173" s="8" t="str">
        <f>IFERROR(VLOOKUP(Tabla1[[#This Row],[Sede ]],Tabla2[[#All],[Sede]:[Departamento]],3,FALSE),"")</f>
        <v>Antioquia</v>
      </c>
      <c r="D173" s="8" t="s">
        <v>300</v>
      </c>
      <c r="E173" s="13" t="s">
        <v>614</v>
      </c>
      <c r="F173" s="16" t="s">
        <v>492</v>
      </c>
      <c r="G173" s="8" t="s">
        <v>492</v>
      </c>
      <c r="H173" s="8" t="s">
        <v>492</v>
      </c>
      <c r="I173" s="8" t="s">
        <v>492</v>
      </c>
      <c r="J173" s="9">
        <f ca="1">VLOOKUP(Tabla1[[#This Row],[Nombre Equipo]],INDIRECT(Tabla1[[#This Row],[Proveedor calib.]]),2,FALSE)</f>
        <v>0</v>
      </c>
      <c r="K173" s="9">
        <f ca="1">Tabla1[[#This Row],[ Valor calibración]]*1.19</f>
        <v>0</v>
      </c>
      <c r="L173" s="8" t="s">
        <v>65</v>
      </c>
      <c r="M173" s="16">
        <v>44990</v>
      </c>
      <c r="N173" s="8" t="s">
        <v>74</v>
      </c>
      <c r="O173" s="8">
        <v>59544</v>
      </c>
      <c r="P173" s="9">
        <f ca="1">VLOOKUP(Tabla1[[#This Row],[Nombre Equipo]],INDIRECT(Tabla1[[#This Row],[Proveedor prev.]]),2,FALSE)</f>
        <v>100000</v>
      </c>
      <c r="Q173" s="9">
        <f ca="1">Tabla1[[#This Row],[Valor prev.]]*1.19</f>
        <v>119000</v>
      </c>
    </row>
    <row r="174" spans="1:22" x14ac:dyDescent="0.3">
      <c r="A174" s="8" t="s">
        <v>30</v>
      </c>
      <c r="B174" s="8" t="str">
        <f>IFERROR(VLOOKUP(Tabla1[[#This Row],[Sede ]],Tabla2[[#All],[Sede]:[Departamento]],2,FALSE),"")</f>
        <v>Medellín</v>
      </c>
      <c r="C174" s="8" t="str">
        <f>IFERROR(VLOOKUP(Tabla1[[#This Row],[Sede ]],Tabla2[[#All],[Sede]:[Departamento]],3,FALSE),"")</f>
        <v>Antioquia</v>
      </c>
      <c r="D174" s="8" t="s">
        <v>300</v>
      </c>
      <c r="E174" s="13" t="s">
        <v>616</v>
      </c>
      <c r="F174" s="16" t="s">
        <v>492</v>
      </c>
      <c r="G174" s="8" t="s">
        <v>492</v>
      </c>
      <c r="H174" s="8" t="s">
        <v>492</v>
      </c>
      <c r="I174" s="8" t="s">
        <v>492</v>
      </c>
      <c r="J174" s="9">
        <f ca="1">VLOOKUP(Tabla1[[#This Row],[Nombre Equipo]],INDIRECT(Tabla1[[#This Row],[Proveedor calib.]]),2,FALSE)</f>
        <v>0</v>
      </c>
      <c r="K174" s="9">
        <f ca="1">Tabla1[[#This Row],[ Valor calibración]]*1.19</f>
        <v>0</v>
      </c>
      <c r="L174" s="8" t="s">
        <v>65</v>
      </c>
      <c r="M174" s="16">
        <v>44991</v>
      </c>
      <c r="N174" s="8" t="s">
        <v>74</v>
      </c>
      <c r="O174" s="8">
        <v>59545</v>
      </c>
      <c r="P174" s="9">
        <f ca="1">VLOOKUP(Tabla1[[#This Row],[Nombre Equipo]],INDIRECT(Tabla1[[#This Row],[Proveedor prev.]]),2,FALSE)</f>
        <v>100000</v>
      </c>
      <c r="Q174" s="9">
        <f ca="1">Tabla1[[#This Row],[Valor prev.]]*1.19</f>
        <v>119000</v>
      </c>
    </row>
    <row r="175" spans="1:22" x14ac:dyDescent="0.3">
      <c r="A175" s="8" t="s">
        <v>30</v>
      </c>
      <c r="B175" s="8" t="str">
        <f>IFERROR(VLOOKUP(Tabla1[[#This Row],[Sede ]],Tabla2[[#All],[Sede]:[Departamento]],2,FALSE),"")</f>
        <v>Medellín</v>
      </c>
      <c r="C175" s="8" t="str">
        <f>IFERROR(VLOOKUP(Tabla1[[#This Row],[Sede ]],Tabla2[[#All],[Sede]:[Departamento]],3,FALSE),"")</f>
        <v>Antioquia</v>
      </c>
      <c r="D175" s="8" t="s">
        <v>300</v>
      </c>
      <c r="E175" s="13" t="s">
        <v>617</v>
      </c>
      <c r="F175" s="16" t="s">
        <v>492</v>
      </c>
      <c r="G175" s="8" t="s">
        <v>492</v>
      </c>
      <c r="H175" s="8" t="s">
        <v>492</v>
      </c>
      <c r="I175" s="8" t="s">
        <v>492</v>
      </c>
      <c r="J175" s="9">
        <f ca="1">VLOOKUP(Tabla1[[#This Row],[Nombre Equipo]],INDIRECT(Tabla1[[#This Row],[Proveedor calib.]]),2,FALSE)</f>
        <v>0</v>
      </c>
      <c r="K175" s="9">
        <f ca="1">Tabla1[[#This Row],[ Valor calibración]]*1.19</f>
        <v>0</v>
      </c>
      <c r="L175" s="8" t="s">
        <v>65</v>
      </c>
      <c r="M175" s="16">
        <v>44992</v>
      </c>
      <c r="N175" s="8" t="s">
        <v>74</v>
      </c>
      <c r="O175" s="8">
        <v>59558</v>
      </c>
      <c r="P175" s="9">
        <f ca="1">VLOOKUP(Tabla1[[#This Row],[Nombre Equipo]],INDIRECT(Tabla1[[#This Row],[Proveedor prev.]]),2,FALSE)</f>
        <v>100000</v>
      </c>
      <c r="Q175" s="9">
        <f ca="1">Tabla1[[#This Row],[Valor prev.]]*1.19</f>
        <v>119000</v>
      </c>
    </row>
    <row r="176" spans="1:22" x14ac:dyDescent="0.3">
      <c r="A176" s="8" t="s">
        <v>30</v>
      </c>
      <c r="B176" s="8" t="str">
        <f>IFERROR(VLOOKUP(Tabla1[[#This Row],[Sede ]],Tabla2[[#All],[Sede]:[Departamento]],2,FALSE),"")</f>
        <v>Medellín</v>
      </c>
      <c r="C176" s="8" t="str">
        <f>IFERROR(VLOOKUP(Tabla1[[#This Row],[Sede ]],Tabla2[[#All],[Sede]:[Departamento]],3,FALSE),"")</f>
        <v>Antioquia</v>
      </c>
      <c r="D176" s="8" t="s">
        <v>300</v>
      </c>
      <c r="E176" s="13" t="s">
        <v>618</v>
      </c>
      <c r="F176" s="16" t="s">
        <v>492</v>
      </c>
      <c r="G176" s="8" t="s">
        <v>492</v>
      </c>
      <c r="H176" s="8" t="s">
        <v>492</v>
      </c>
      <c r="I176" s="8" t="s">
        <v>492</v>
      </c>
      <c r="J176" s="9">
        <f ca="1">VLOOKUP(Tabla1[[#This Row],[Nombre Equipo]],INDIRECT(Tabla1[[#This Row],[Proveedor calib.]]),2,FALSE)</f>
        <v>0</v>
      </c>
      <c r="K176" s="9">
        <f ca="1">Tabla1[[#This Row],[ Valor calibración]]*1.19</f>
        <v>0</v>
      </c>
      <c r="L176" s="8" t="s">
        <v>65</v>
      </c>
      <c r="M176" s="16">
        <v>44993</v>
      </c>
      <c r="N176" s="8" t="s">
        <v>74</v>
      </c>
      <c r="O176" s="8">
        <v>59557</v>
      </c>
      <c r="P176" s="9">
        <f ca="1">VLOOKUP(Tabla1[[#This Row],[Nombre Equipo]],INDIRECT(Tabla1[[#This Row],[Proveedor prev.]]),2,FALSE)</f>
        <v>100000</v>
      </c>
      <c r="Q176" s="9">
        <f ca="1">Tabla1[[#This Row],[Valor prev.]]*1.19</f>
        <v>119000</v>
      </c>
    </row>
    <row r="177" spans="1:17" x14ac:dyDescent="0.3">
      <c r="A177" s="8" t="s">
        <v>30</v>
      </c>
      <c r="B177" s="8" t="str">
        <f>IFERROR(VLOOKUP(Tabla1[[#This Row],[Sede ]],Tabla2[[#All],[Sede]:[Departamento]],2,FALSE),"")</f>
        <v>Medellín</v>
      </c>
      <c r="C177" s="8" t="str">
        <f>IFERROR(VLOOKUP(Tabla1[[#This Row],[Sede ]],Tabla2[[#All],[Sede]:[Departamento]],3,FALSE),"")</f>
        <v>Antioquia</v>
      </c>
      <c r="D177" s="8" t="s">
        <v>300</v>
      </c>
      <c r="E177" s="13" t="s">
        <v>619</v>
      </c>
      <c r="F177" s="16" t="s">
        <v>492</v>
      </c>
      <c r="G177" s="8" t="s">
        <v>492</v>
      </c>
      <c r="H177" s="8" t="s">
        <v>492</v>
      </c>
      <c r="I177" s="8" t="s">
        <v>492</v>
      </c>
      <c r="J177" s="9">
        <f ca="1">VLOOKUP(Tabla1[[#This Row],[Nombre Equipo]],INDIRECT(Tabla1[[#This Row],[Proveedor calib.]]),2,FALSE)</f>
        <v>0</v>
      </c>
      <c r="K177" s="9">
        <f ca="1">Tabla1[[#This Row],[ Valor calibración]]*1.19</f>
        <v>0</v>
      </c>
      <c r="L177" s="8" t="s">
        <v>65</v>
      </c>
      <c r="M177" s="16">
        <v>44994</v>
      </c>
      <c r="N177" s="8" t="s">
        <v>74</v>
      </c>
      <c r="O177" s="8">
        <v>59556</v>
      </c>
      <c r="P177" s="9">
        <f ca="1">VLOOKUP(Tabla1[[#This Row],[Nombre Equipo]],INDIRECT(Tabla1[[#This Row],[Proveedor prev.]]),2,FALSE)</f>
        <v>100000</v>
      </c>
      <c r="Q177" s="9">
        <f ca="1">Tabla1[[#This Row],[Valor prev.]]*1.19</f>
        <v>119000</v>
      </c>
    </row>
    <row r="178" spans="1:17" x14ac:dyDescent="0.3">
      <c r="A178" s="8" t="s">
        <v>30</v>
      </c>
      <c r="B178" s="8" t="str">
        <f>IFERROR(VLOOKUP(Tabla1[[#This Row],[Sede ]],Tabla2[[#All],[Sede]:[Departamento]],2,FALSE),"")</f>
        <v>Medellín</v>
      </c>
      <c r="C178" s="8" t="str">
        <f>IFERROR(VLOOKUP(Tabla1[[#This Row],[Sede ]],Tabla2[[#All],[Sede]:[Departamento]],3,FALSE),"")</f>
        <v>Antioquia</v>
      </c>
      <c r="D178" s="8" t="s">
        <v>124</v>
      </c>
      <c r="E178" s="13" t="s">
        <v>344</v>
      </c>
      <c r="F178" s="16">
        <v>45013</v>
      </c>
      <c r="G178" s="8" t="s">
        <v>62</v>
      </c>
      <c r="H178" s="8" t="s">
        <v>73</v>
      </c>
      <c r="I178" s="8" t="s">
        <v>343</v>
      </c>
      <c r="J178" s="9">
        <f ca="1">VLOOKUP(Tabla1[[#This Row],[Nombre Equipo]],INDIRECT(Tabla1[[#This Row],[Proveedor calib.]]),2,FALSE)</f>
        <v>118272</v>
      </c>
      <c r="K178" s="9">
        <f ca="1">Tabla1[[#This Row],[ Valor calibración]]*1.19</f>
        <v>140743.67999999999</v>
      </c>
      <c r="L178" s="8" t="s">
        <v>65</v>
      </c>
      <c r="M178" s="16">
        <v>44986</v>
      </c>
      <c r="N178" s="8" t="s">
        <v>74</v>
      </c>
      <c r="O178" s="8">
        <v>59494</v>
      </c>
      <c r="P178" s="9">
        <f ca="1">VLOOKUP(Tabla1[[#This Row],[Nombre Equipo]],INDIRECT(Tabla1[[#This Row],[Proveedor prev.]]),2,FALSE)</f>
        <v>80000</v>
      </c>
      <c r="Q178" s="9">
        <f ca="1">Tabla1[[#This Row],[Valor prev.]]*1.19</f>
        <v>95200</v>
      </c>
    </row>
    <row r="179" spans="1:17" x14ac:dyDescent="0.3">
      <c r="A179" s="8" t="s">
        <v>30</v>
      </c>
      <c r="B179" s="8" t="str">
        <f>IFERROR(VLOOKUP(Tabla1[[#This Row],[Sede ]],Tabla2[[#All],[Sede]:[Departamento]],2,FALSE),"")</f>
        <v>Medellín</v>
      </c>
      <c r="C179" s="8" t="str">
        <f>IFERROR(VLOOKUP(Tabla1[[#This Row],[Sede ]],Tabla2[[#All],[Sede]:[Departamento]],3,FALSE),"")</f>
        <v>Antioquia</v>
      </c>
      <c r="D179" s="8" t="s">
        <v>122</v>
      </c>
      <c r="E179" s="13" t="s">
        <v>345</v>
      </c>
      <c r="F179" s="16">
        <v>45013</v>
      </c>
      <c r="G179" s="8" t="s">
        <v>62</v>
      </c>
      <c r="H179" s="8" t="s">
        <v>73</v>
      </c>
      <c r="I179" s="8" t="s">
        <v>346</v>
      </c>
      <c r="J179" s="9">
        <f ca="1">VLOOKUP(Tabla1[[#This Row],[Nombre Equipo]],INDIRECT(Tabla1[[#This Row],[Proveedor calib.]]),2,FALSE)</f>
        <v>81984</v>
      </c>
      <c r="K179" s="9">
        <f ca="1">Tabla1[[#This Row],[ Valor calibración]]*1.19</f>
        <v>97560.959999999992</v>
      </c>
      <c r="L179" s="8" t="s">
        <v>65</v>
      </c>
      <c r="M179" s="16">
        <v>45030</v>
      </c>
      <c r="N179" s="8" t="s">
        <v>74</v>
      </c>
      <c r="O179" s="17">
        <v>59855</v>
      </c>
      <c r="P179" s="9">
        <f ca="1">VLOOKUP(Tabla1[[#This Row],[Nombre Equipo]],INDIRECT(Tabla1[[#This Row],[Proveedor prev.]]),2,FALSE)</f>
        <v>112500</v>
      </c>
      <c r="Q179" s="9">
        <f ca="1">Tabla1[[#This Row],[Valor prev.]]*1.19</f>
        <v>133875</v>
      </c>
    </row>
    <row r="180" spans="1:17" x14ac:dyDescent="0.3">
      <c r="A180" s="8" t="s">
        <v>30</v>
      </c>
      <c r="B180" s="8" t="str">
        <f>IFERROR(VLOOKUP(Tabla1[[#This Row],[Sede ]],Tabla2[[#All],[Sede]:[Departamento]],2,FALSE),"")</f>
        <v>Medellín</v>
      </c>
      <c r="C180" s="8" t="str">
        <f>IFERROR(VLOOKUP(Tabla1[[#This Row],[Sede ]],Tabla2[[#All],[Sede]:[Departamento]],3,FALSE),"")</f>
        <v>Antioquia</v>
      </c>
      <c r="D180" s="8" t="s">
        <v>124</v>
      </c>
      <c r="E180" s="13" t="s">
        <v>348</v>
      </c>
      <c r="F180" s="16">
        <v>45013</v>
      </c>
      <c r="G180" s="8" t="s">
        <v>62</v>
      </c>
      <c r="H180" s="8" t="s">
        <v>73</v>
      </c>
      <c r="I180" s="8" t="s">
        <v>347</v>
      </c>
      <c r="J180" s="9">
        <f ca="1">VLOOKUP(Tabla1[[#This Row],[Nombre Equipo]],INDIRECT(Tabla1[[#This Row],[Proveedor calib.]]),2,FALSE)</f>
        <v>118272</v>
      </c>
      <c r="K180" s="9">
        <f ca="1">Tabla1[[#This Row],[ Valor calibración]]*1.19</f>
        <v>140743.67999999999</v>
      </c>
      <c r="L180" s="8" t="s">
        <v>65</v>
      </c>
      <c r="M180" s="16">
        <v>44986</v>
      </c>
      <c r="N180" s="8" t="s">
        <v>74</v>
      </c>
      <c r="O180" s="8">
        <v>59489</v>
      </c>
      <c r="P180" s="9">
        <f ca="1">VLOOKUP(Tabla1[[#This Row],[Nombre Equipo]],INDIRECT(Tabla1[[#This Row],[Proveedor prev.]]),2,FALSE)</f>
        <v>80000</v>
      </c>
      <c r="Q180" s="9">
        <f ca="1">Tabla1[[#This Row],[Valor prev.]]*1.19</f>
        <v>95200</v>
      </c>
    </row>
    <row r="181" spans="1:17" x14ac:dyDescent="0.3">
      <c r="A181" s="8" t="s">
        <v>59</v>
      </c>
      <c r="B181" s="8" t="str">
        <f>IFERROR(VLOOKUP(Tabla1[[#This Row],[Sede ]],Tabla2[[#All],[Sede]:[Departamento]],2,FALSE),"")</f>
        <v>Medellin</v>
      </c>
      <c r="C181" s="8" t="str">
        <f>IFERROR(VLOOKUP(Tabla1[[#This Row],[Sede ]],Tabla2[[#All],[Sede]:[Departamento]],3,FALSE),"")</f>
        <v>Antioquia</v>
      </c>
      <c r="D181" s="8" t="s">
        <v>122</v>
      </c>
      <c r="E181" s="13" t="s">
        <v>350</v>
      </c>
      <c r="F181" s="16">
        <v>45012</v>
      </c>
      <c r="G181" s="8" t="s">
        <v>62</v>
      </c>
      <c r="H181" s="8" t="s">
        <v>73</v>
      </c>
      <c r="I181" s="8" t="s">
        <v>349</v>
      </c>
      <c r="J181" s="9">
        <f ca="1">VLOOKUP(Tabla1[[#This Row],[Nombre Equipo]],INDIRECT(Tabla1[[#This Row],[Proveedor calib.]]),2,FALSE)</f>
        <v>81984</v>
      </c>
      <c r="K181" s="9">
        <f ca="1">Tabla1[[#This Row],[ Valor calibración]]*1.19</f>
        <v>97560.959999999992</v>
      </c>
      <c r="L181" s="8" t="s">
        <v>65</v>
      </c>
      <c r="M181" s="16">
        <v>44965</v>
      </c>
      <c r="N181" s="8" t="s">
        <v>74</v>
      </c>
      <c r="O181" s="8">
        <v>59388</v>
      </c>
      <c r="P181" s="9">
        <f ca="1">VLOOKUP(Tabla1[[#This Row],[Nombre Equipo]],INDIRECT(Tabla1[[#This Row],[Proveedor prev.]]),2,FALSE)</f>
        <v>112500</v>
      </c>
      <c r="Q181" s="9">
        <f ca="1">Tabla1[[#This Row],[Valor prev.]]*1.19</f>
        <v>133875</v>
      </c>
    </row>
    <row r="182" spans="1:17" x14ac:dyDescent="0.3">
      <c r="A182" s="8" t="s">
        <v>59</v>
      </c>
      <c r="B182" s="8" t="str">
        <f>IFERROR(VLOOKUP(Tabla1[[#This Row],[Sede ]],Tabla2[[#All],[Sede]:[Departamento]],2,FALSE),"")</f>
        <v>Medellin</v>
      </c>
      <c r="C182" s="8" t="str">
        <f>IFERROR(VLOOKUP(Tabla1[[#This Row],[Sede ]],Tabla2[[#All],[Sede]:[Departamento]],3,FALSE),"")</f>
        <v>Antioquia</v>
      </c>
      <c r="D182" s="8" t="s">
        <v>122</v>
      </c>
      <c r="E182" s="13" t="s">
        <v>352</v>
      </c>
      <c r="F182" s="16">
        <v>45012</v>
      </c>
      <c r="G182" s="8" t="s">
        <v>62</v>
      </c>
      <c r="H182" s="8" t="s">
        <v>73</v>
      </c>
      <c r="I182" s="8" t="s">
        <v>351</v>
      </c>
      <c r="J182" s="9">
        <f ca="1">VLOOKUP(Tabla1[[#This Row],[Nombre Equipo]],INDIRECT(Tabla1[[#This Row],[Proveedor calib.]]),2,FALSE)</f>
        <v>81984</v>
      </c>
      <c r="K182" s="9">
        <f ca="1">Tabla1[[#This Row],[ Valor calibración]]*1.19</f>
        <v>97560.959999999992</v>
      </c>
      <c r="L182" s="8" t="s">
        <v>65</v>
      </c>
      <c r="M182" s="16">
        <v>44965</v>
      </c>
      <c r="N182" s="8" t="s">
        <v>74</v>
      </c>
      <c r="O182" s="8">
        <v>59389</v>
      </c>
      <c r="P182" s="9">
        <f ca="1">VLOOKUP(Tabla1[[#This Row],[Nombre Equipo]],INDIRECT(Tabla1[[#This Row],[Proveedor prev.]]),2,FALSE)</f>
        <v>112500</v>
      </c>
      <c r="Q182" s="9">
        <f ca="1">Tabla1[[#This Row],[Valor prev.]]*1.19</f>
        <v>133875</v>
      </c>
    </row>
    <row r="183" spans="1:17" x14ac:dyDescent="0.3">
      <c r="A183" s="8" t="s">
        <v>59</v>
      </c>
      <c r="B183" s="8" t="str">
        <f>IFERROR(VLOOKUP(Tabla1[[#This Row],[Sede ]],Tabla2[[#All],[Sede]:[Departamento]],2,FALSE),"")</f>
        <v>Medellin</v>
      </c>
      <c r="C183" s="8" t="str">
        <f>IFERROR(VLOOKUP(Tabla1[[#This Row],[Sede ]],Tabla2[[#All],[Sede]:[Departamento]],3,FALSE),"")</f>
        <v>Antioquia</v>
      </c>
      <c r="D183" s="8" t="s">
        <v>123</v>
      </c>
      <c r="E183" s="13" t="s">
        <v>354</v>
      </c>
      <c r="F183" s="16">
        <v>45012</v>
      </c>
      <c r="G183" s="8" t="s">
        <v>62</v>
      </c>
      <c r="H183" s="8" t="s">
        <v>73</v>
      </c>
      <c r="I183" s="8" t="s">
        <v>353</v>
      </c>
      <c r="J183" s="9">
        <f ca="1">VLOOKUP(Tabla1[[#This Row],[Nombre Equipo]],INDIRECT(Tabla1[[#This Row],[Proveedor calib.]]),2,FALSE)</f>
        <v>118272</v>
      </c>
      <c r="K183" s="9">
        <f ca="1">Tabla1[[#This Row],[ Valor calibración]]*1.19</f>
        <v>140743.67999999999</v>
      </c>
      <c r="L183" s="8" t="s">
        <v>65</v>
      </c>
      <c r="M183" s="16">
        <v>45040</v>
      </c>
      <c r="N183" s="8" t="s">
        <v>74</v>
      </c>
      <c r="O183" s="8">
        <v>59856</v>
      </c>
      <c r="P183" s="9">
        <f ca="1">VLOOKUP(Tabla1[[#This Row],[Nombre Equipo]],INDIRECT(Tabla1[[#This Row],[Proveedor prev.]]),2,FALSE)</f>
        <v>75000</v>
      </c>
      <c r="Q183" s="9">
        <f ca="1">Tabla1[[#This Row],[Valor prev.]]*1.19</f>
        <v>89250</v>
      </c>
    </row>
    <row r="184" spans="1:17" x14ac:dyDescent="0.3">
      <c r="A184" s="8" t="s">
        <v>59</v>
      </c>
      <c r="B184" s="8" t="str">
        <f>IFERROR(VLOOKUP(Tabla1[[#This Row],[Sede ]],Tabla2[[#All],[Sede]:[Departamento]],2,FALSE),"")</f>
        <v>Medellin</v>
      </c>
      <c r="C184" s="8" t="str">
        <f>IFERROR(VLOOKUP(Tabla1[[#This Row],[Sede ]],Tabla2[[#All],[Sede]:[Departamento]],3,FALSE),"")</f>
        <v>Antioquia</v>
      </c>
      <c r="D184" s="8" t="s">
        <v>124</v>
      </c>
      <c r="E184" s="13" t="s">
        <v>355</v>
      </c>
      <c r="F184" s="16">
        <v>45012</v>
      </c>
      <c r="G184" s="8" t="s">
        <v>62</v>
      </c>
      <c r="H184" s="8" t="s">
        <v>73</v>
      </c>
      <c r="I184" s="8" t="s">
        <v>356</v>
      </c>
      <c r="J184" s="9">
        <f ca="1">VLOOKUP(Tabla1[[#This Row],[Nombre Equipo]],INDIRECT(Tabla1[[#This Row],[Proveedor calib.]]),2,FALSE)</f>
        <v>118272</v>
      </c>
      <c r="K184" s="9">
        <f ca="1">Tabla1[[#This Row],[ Valor calibración]]*1.19</f>
        <v>140743.67999999999</v>
      </c>
      <c r="L184" s="8" t="s">
        <v>65</v>
      </c>
      <c r="M184" s="16">
        <v>44965</v>
      </c>
      <c r="N184" s="8" t="s">
        <v>74</v>
      </c>
      <c r="O184" s="8">
        <v>59394</v>
      </c>
      <c r="P184" s="9">
        <f ca="1">VLOOKUP(Tabla1[[#This Row],[Nombre Equipo]],INDIRECT(Tabla1[[#This Row],[Proveedor prev.]]),2,FALSE)</f>
        <v>80000</v>
      </c>
      <c r="Q184" s="9">
        <f ca="1">Tabla1[[#This Row],[Valor prev.]]*1.19</f>
        <v>95200</v>
      </c>
    </row>
    <row r="185" spans="1:17" x14ac:dyDescent="0.3">
      <c r="A185" s="8" t="s">
        <v>59</v>
      </c>
      <c r="B185" s="8" t="str">
        <f>IFERROR(VLOOKUP(Tabla1[[#This Row],[Sede ]],Tabla2[[#All],[Sede]:[Departamento]],2,FALSE),"")</f>
        <v>Medellin</v>
      </c>
      <c r="C185" s="8" t="str">
        <f>IFERROR(VLOOKUP(Tabla1[[#This Row],[Sede ]],Tabla2[[#All],[Sede]:[Departamento]],3,FALSE),"")</f>
        <v>Antioquia</v>
      </c>
      <c r="D185" s="8" t="s">
        <v>123</v>
      </c>
      <c r="E185" s="13" t="s">
        <v>358</v>
      </c>
      <c r="F185" s="16">
        <v>45012</v>
      </c>
      <c r="G185" s="8" t="s">
        <v>62</v>
      </c>
      <c r="H185" s="8" t="s">
        <v>73</v>
      </c>
      <c r="I185" s="8" t="s">
        <v>357</v>
      </c>
      <c r="J185" s="9">
        <f ca="1">VLOOKUP(Tabla1[[#This Row],[Nombre Equipo]],INDIRECT(Tabla1[[#This Row],[Proveedor calib.]]),2,FALSE)</f>
        <v>118272</v>
      </c>
      <c r="K185" s="9">
        <f ca="1">Tabla1[[#This Row],[ Valor calibración]]*1.19</f>
        <v>140743.67999999999</v>
      </c>
      <c r="L185" s="8" t="s">
        <v>65</v>
      </c>
      <c r="M185" s="16">
        <v>44968</v>
      </c>
      <c r="N185" s="8" t="s">
        <v>74</v>
      </c>
      <c r="O185" s="8">
        <v>59431</v>
      </c>
      <c r="P185" s="9">
        <f ca="1">VLOOKUP(Tabla1[[#This Row],[Nombre Equipo]],INDIRECT(Tabla1[[#This Row],[Proveedor prev.]]),2,FALSE)</f>
        <v>75000</v>
      </c>
      <c r="Q185" s="9">
        <f ca="1">Tabla1[[#This Row],[Valor prev.]]*1.19</f>
        <v>89250</v>
      </c>
    </row>
    <row r="186" spans="1:17" x14ac:dyDescent="0.3">
      <c r="A186" s="8" t="s">
        <v>43</v>
      </c>
      <c r="B186" s="8" t="str">
        <f>IFERROR(VLOOKUP(Tabla1[[#This Row],[Sede ]],Tabla2[[#All],[Sede]:[Departamento]],2,FALSE),"")</f>
        <v>Caldas</v>
      </c>
      <c r="C186" s="8" t="str">
        <f>IFERROR(VLOOKUP(Tabla1[[#This Row],[Sede ]],Tabla2[[#All],[Sede]:[Departamento]],3,FALSE),"")</f>
        <v>Antioquia</v>
      </c>
      <c r="D186" s="8" t="s">
        <v>121</v>
      </c>
      <c r="E186" s="13" t="s">
        <v>360</v>
      </c>
      <c r="F186" s="16">
        <v>45035</v>
      </c>
      <c r="G186" s="8" t="s">
        <v>62</v>
      </c>
      <c r="H186" s="8" t="s">
        <v>73</v>
      </c>
      <c r="I186" s="8" t="s">
        <v>359</v>
      </c>
      <c r="J186" s="9">
        <f ca="1">VLOOKUP(Tabla1[[#This Row],[Nombre Equipo]],INDIRECT(Tabla1[[#This Row],[Proveedor calib.]]),2,FALSE)</f>
        <v>25000</v>
      </c>
      <c r="K186" s="9">
        <f ca="1">Tabla1[[#This Row],[ Valor calibración]]*1.19</f>
        <v>29750</v>
      </c>
      <c r="L186" s="8" t="s">
        <v>492</v>
      </c>
      <c r="M186" s="16" t="s">
        <v>492</v>
      </c>
      <c r="N186" s="8" t="s">
        <v>492</v>
      </c>
      <c r="O186" s="8" t="s">
        <v>492</v>
      </c>
      <c r="P186" s="9">
        <f ca="1">VLOOKUP(Tabla1[[#This Row],[Nombre Equipo]],INDIRECT(Tabla1[[#This Row],[Proveedor prev.]]),2,FALSE)</f>
        <v>0</v>
      </c>
      <c r="Q186" s="9">
        <f ca="1">Tabla1[[#This Row],[Valor prev.]]*1.19</f>
        <v>0</v>
      </c>
    </row>
    <row r="187" spans="1:17" x14ac:dyDescent="0.3">
      <c r="A187" s="8" t="s">
        <v>30</v>
      </c>
      <c r="B187" s="8" t="str">
        <f>IFERROR(VLOOKUP(Tabla1[[#This Row],[Sede ]],Tabla2[[#All],[Sede]:[Departamento]],2,FALSE),"")</f>
        <v>Medellín</v>
      </c>
      <c r="C187" s="8" t="str">
        <f>IFERROR(VLOOKUP(Tabla1[[#This Row],[Sede ]],Tabla2[[#All],[Sede]:[Departamento]],3,FALSE),"")</f>
        <v>Antioquia</v>
      </c>
      <c r="D187" s="8" t="s">
        <v>300</v>
      </c>
      <c r="E187" s="13" t="s">
        <v>444</v>
      </c>
      <c r="F187" s="16" t="s">
        <v>492</v>
      </c>
      <c r="G187" s="8" t="s">
        <v>492</v>
      </c>
      <c r="H187" s="8" t="s">
        <v>492</v>
      </c>
      <c r="I187" s="8" t="s">
        <v>492</v>
      </c>
      <c r="J187" s="9">
        <f ca="1">VLOOKUP(Tabla1[[#This Row],[Nombre Equipo]],INDIRECT(Tabla1[[#This Row],[Proveedor calib.]]),2,FALSE)</f>
        <v>0</v>
      </c>
      <c r="K187" s="9">
        <f ca="1">Tabla1[[#This Row],[ Valor calibración]]*1.19</f>
        <v>0</v>
      </c>
      <c r="L187" s="8" t="s">
        <v>65</v>
      </c>
      <c r="M187" s="16">
        <v>44986</v>
      </c>
      <c r="N187" s="8" t="s">
        <v>74</v>
      </c>
      <c r="O187" s="8">
        <v>59488</v>
      </c>
      <c r="P187" s="9">
        <f ca="1">VLOOKUP(Tabla1[[#This Row],[Nombre Equipo]],INDIRECT(Tabla1[[#This Row],[Proveedor prev.]]),2,FALSE)</f>
        <v>100000</v>
      </c>
      <c r="Q187" s="9">
        <f ca="1">Tabla1[[#This Row],[Valor prev.]]*1.19</f>
        <v>119000</v>
      </c>
    </row>
    <row r="188" spans="1:17" x14ac:dyDescent="0.3">
      <c r="A188" s="8" t="s">
        <v>30</v>
      </c>
      <c r="B188" s="8" t="str">
        <f>IFERROR(VLOOKUP(Tabla1[[#This Row],[Sede ]],Tabla2[[#All],[Sede]:[Departamento]],2,FALSE),"")</f>
        <v>Medellín</v>
      </c>
      <c r="C188" s="8" t="str">
        <f>IFERROR(VLOOKUP(Tabla1[[#This Row],[Sede ]],Tabla2[[#All],[Sede]:[Departamento]],3,FALSE),"")</f>
        <v>Antioquia</v>
      </c>
      <c r="D188" s="8" t="s">
        <v>122</v>
      </c>
      <c r="E188" s="13" t="s">
        <v>445</v>
      </c>
      <c r="F188" s="16" t="s">
        <v>492</v>
      </c>
      <c r="G188" s="8" t="s">
        <v>492</v>
      </c>
      <c r="H188" s="8" t="s">
        <v>492</v>
      </c>
      <c r="I188" s="8" t="s">
        <v>492</v>
      </c>
      <c r="J188" s="9">
        <f ca="1">VLOOKUP(Tabla1[[#This Row],[Nombre Equipo]],INDIRECT(Tabla1[[#This Row],[Proveedor calib.]]),2,FALSE)</f>
        <v>0</v>
      </c>
      <c r="K188" s="9">
        <f ca="1">Tabla1[[#This Row],[ Valor calibración]]*1.19</f>
        <v>0</v>
      </c>
      <c r="L188" s="8" t="s">
        <v>65</v>
      </c>
      <c r="M188" s="16">
        <v>44986</v>
      </c>
      <c r="N188" s="8" t="s">
        <v>74</v>
      </c>
      <c r="O188" s="8">
        <v>59490</v>
      </c>
      <c r="P188" s="9">
        <f ca="1">VLOOKUP(Tabla1[[#This Row],[Nombre Equipo]],INDIRECT(Tabla1[[#This Row],[Proveedor prev.]]),2,FALSE)</f>
        <v>112500</v>
      </c>
      <c r="Q188" s="9">
        <f ca="1">Tabla1[[#This Row],[Valor prev.]]*1.19</f>
        <v>133875</v>
      </c>
    </row>
    <row r="189" spans="1:17" x14ac:dyDescent="0.3">
      <c r="A189" s="8" t="s">
        <v>30</v>
      </c>
      <c r="B189" s="8" t="str">
        <f>IFERROR(VLOOKUP(Tabla1[[#This Row],[Sede ]],Tabla2[[#All],[Sede]:[Departamento]],2,FALSE),"")</f>
        <v>Medellín</v>
      </c>
      <c r="C189" s="8" t="str">
        <f>IFERROR(VLOOKUP(Tabla1[[#This Row],[Sede ]],Tabla2[[#All],[Sede]:[Departamento]],3,FALSE),"")</f>
        <v>Antioquia</v>
      </c>
      <c r="D189" s="8" t="s">
        <v>389</v>
      </c>
      <c r="E189" s="13" t="s">
        <v>446</v>
      </c>
      <c r="F189" s="16" t="s">
        <v>492</v>
      </c>
      <c r="G189" s="8" t="s">
        <v>492</v>
      </c>
      <c r="H189" s="8" t="s">
        <v>492</v>
      </c>
      <c r="I189" s="8" t="s">
        <v>492</v>
      </c>
      <c r="J189" s="9">
        <f ca="1">VLOOKUP(Tabla1[[#This Row],[Nombre Equipo]],INDIRECT(Tabla1[[#This Row],[Proveedor calib.]]),2,FALSE)</f>
        <v>0</v>
      </c>
      <c r="K189" s="9">
        <f ca="1">Tabla1[[#This Row],[ Valor calibración]]*1.19</f>
        <v>0</v>
      </c>
      <c r="L189" s="8" t="s">
        <v>65</v>
      </c>
      <c r="M189" s="16">
        <v>44986</v>
      </c>
      <c r="N189" s="8" t="s">
        <v>74</v>
      </c>
      <c r="O189" s="8">
        <v>59491</v>
      </c>
      <c r="P189" s="9">
        <f ca="1">VLOOKUP(Tabla1[[#This Row],[Nombre Equipo]],INDIRECT(Tabla1[[#This Row],[Proveedor prev.]]),2,FALSE)</f>
        <v>40000</v>
      </c>
      <c r="Q189" s="9">
        <f ca="1">Tabla1[[#This Row],[Valor prev.]]*1.19</f>
        <v>47600</v>
      </c>
    </row>
    <row r="190" spans="1:17" x14ac:dyDescent="0.3">
      <c r="A190" s="8" t="s">
        <v>30</v>
      </c>
      <c r="B190" s="8" t="str">
        <f>IFERROR(VLOOKUP(Tabla1[[#This Row],[Sede ]],Tabla2[[#All],[Sede]:[Departamento]],2,FALSE),"")</f>
        <v>Medellín</v>
      </c>
      <c r="C190" s="8" t="str">
        <f>IFERROR(VLOOKUP(Tabla1[[#This Row],[Sede ]],Tabla2[[#All],[Sede]:[Departamento]],3,FALSE),"")</f>
        <v>Antioquia</v>
      </c>
      <c r="D190" s="8" t="s">
        <v>388</v>
      </c>
      <c r="E190" s="13" t="s">
        <v>447</v>
      </c>
      <c r="F190" s="16" t="s">
        <v>492</v>
      </c>
      <c r="G190" s="8" t="s">
        <v>492</v>
      </c>
      <c r="H190" s="8" t="s">
        <v>492</v>
      </c>
      <c r="I190" s="8" t="s">
        <v>492</v>
      </c>
      <c r="J190" s="9">
        <f ca="1">VLOOKUP(Tabla1[[#This Row],[Nombre Equipo]],INDIRECT(Tabla1[[#This Row],[Proveedor calib.]]),2,FALSE)</f>
        <v>0</v>
      </c>
      <c r="K190" s="9">
        <f ca="1">Tabla1[[#This Row],[ Valor calibración]]*1.19</f>
        <v>0</v>
      </c>
      <c r="L190" s="8" t="s">
        <v>65</v>
      </c>
      <c r="M190" s="16">
        <v>44986</v>
      </c>
      <c r="N190" s="8" t="s">
        <v>74</v>
      </c>
      <c r="O190" s="8">
        <v>59492</v>
      </c>
      <c r="P190" s="9">
        <f ca="1">VLOOKUP(Tabla1[[#This Row],[Nombre Equipo]],INDIRECT(Tabla1[[#This Row],[Proveedor prev.]]),2,FALSE)</f>
        <v>75000</v>
      </c>
      <c r="Q190" s="9">
        <f ca="1">Tabla1[[#This Row],[Valor prev.]]*1.19</f>
        <v>89250</v>
      </c>
    </row>
    <row r="191" spans="1:17" x14ac:dyDescent="0.3">
      <c r="A191" s="8" t="s">
        <v>30</v>
      </c>
      <c r="B191" s="8" t="str">
        <f>IFERROR(VLOOKUP(Tabla1[[#This Row],[Sede ]],Tabla2[[#All],[Sede]:[Departamento]],2,FALSE),"")</f>
        <v>Medellín</v>
      </c>
      <c r="C191" s="8" t="str">
        <f>IFERROR(VLOOKUP(Tabla1[[#This Row],[Sede ]],Tabla2[[#All],[Sede]:[Departamento]],3,FALSE),"")</f>
        <v>Antioquia</v>
      </c>
      <c r="D191" s="8" t="s">
        <v>122</v>
      </c>
      <c r="E191" s="13" t="s">
        <v>160</v>
      </c>
      <c r="F191" s="16" t="s">
        <v>492</v>
      </c>
      <c r="G191" s="8" t="s">
        <v>492</v>
      </c>
      <c r="H191" s="8" t="s">
        <v>492</v>
      </c>
      <c r="I191" s="8" t="s">
        <v>492</v>
      </c>
      <c r="J191" s="9">
        <f ca="1">VLOOKUP(Tabla1[[#This Row],[Nombre Equipo]],INDIRECT(Tabla1[[#This Row],[Proveedor calib.]]),2,FALSE)</f>
        <v>0</v>
      </c>
      <c r="K191" s="9">
        <f ca="1">Tabla1[[#This Row],[ Valor calibración]]*1.19</f>
        <v>0</v>
      </c>
      <c r="L191" s="8" t="s">
        <v>65</v>
      </c>
      <c r="M191" s="16">
        <v>44986</v>
      </c>
      <c r="N191" s="8" t="s">
        <v>74</v>
      </c>
      <c r="O191" s="8">
        <v>59493</v>
      </c>
      <c r="P191" s="9">
        <f ca="1">VLOOKUP(Tabla1[[#This Row],[Nombre Equipo]],INDIRECT(Tabla1[[#This Row],[Proveedor prev.]]),2,FALSE)</f>
        <v>112500</v>
      </c>
      <c r="Q191" s="9">
        <f ca="1">Tabla1[[#This Row],[Valor prev.]]*1.19</f>
        <v>133875</v>
      </c>
    </row>
    <row r="192" spans="1:17" x14ac:dyDescent="0.3">
      <c r="A192" s="8" t="s">
        <v>30</v>
      </c>
      <c r="B192" s="8" t="str">
        <f>IFERROR(VLOOKUP(Tabla1[[#This Row],[Sede ]],Tabla2[[#All],[Sede]:[Departamento]],2,FALSE),"")</f>
        <v>Medellín</v>
      </c>
      <c r="C192" s="8" t="str">
        <f>IFERROR(VLOOKUP(Tabla1[[#This Row],[Sede ]],Tabla2[[#All],[Sede]:[Departamento]],3,FALSE),"")</f>
        <v>Antioquia</v>
      </c>
      <c r="D192" s="8" t="s">
        <v>389</v>
      </c>
      <c r="E192" s="13" t="s">
        <v>448</v>
      </c>
      <c r="F192" s="16" t="s">
        <v>492</v>
      </c>
      <c r="G192" s="8" t="s">
        <v>492</v>
      </c>
      <c r="H192" s="8" t="s">
        <v>492</v>
      </c>
      <c r="I192" s="8" t="s">
        <v>492</v>
      </c>
      <c r="J192" s="9">
        <f ca="1">VLOOKUP(Tabla1[[#This Row],[Nombre Equipo]],INDIRECT(Tabla1[[#This Row],[Proveedor calib.]]),2,FALSE)</f>
        <v>0</v>
      </c>
      <c r="K192" s="9">
        <f ca="1">Tabla1[[#This Row],[ Valor calibración]]*1.19</f>
        <v>0</v>
      </c>
      <c r="L192" s="8" t="s">
        <v>65</v>
      </c>
      <c r="M192" s="16">
        <v>44986</v>
      </c>
      <c r="N192" s="8" t="s">
        <v>74</v>
      </c>
      <c r="O192" s="8">
        <v>59495</v>
      </c>
      <c r="P192" s="9">
        <f ca="1">VLOOKUP(Tabla1[[#This Row],[Nombre Equipo]],INDIRECT(Tabla1[[#This Row],[Proveedor prev.]]),2,FALSE)</f>
        <v>40000</v>
      </c>
      <c r="Q192" s="9">
        <f ca="1">Tabla1[[#This Row],[Valor prev.]]*1.19</f>
        <v>47600</v>
      </c>
    </row>
    <row r="193" spans="1:17" x14ac:dyDescent="0.3">
      <c r="A193" s="8" t="s">
        <v>30</v>
      </c>
      <c r="B193" s="8" t="str">
        <f>IFERROR(VLOOKUP(Tabla1[[#This Row],[Sede ]],Tabla2[[#All],[Sede]:[Departamento]],2,FALSE),"")</f>
        <v>Medellín</v>
      </c>
      <c r="C193" s="8" t="str">
        <f>IFERROR(VLOOKUP(Tabla1[[#This Row],[Sede ]],Tabla2[[#All],[Sede]:[Departamento]],3,FALSE),"")</f>
        <v>Antioquia</v>
      </c>
      <c r="D193" s="8" t="s">
        <v>124</v>
      </c>
      <c r="E193" s="13" t="s">
        <v>449</v>
      </c>
      <c r="F193" s="16" t="s">
        <v>492</v>
      </c>
      <c r="G193" s="8" t="s">
        <v>492</v>
      </c>
      <c r="H193" s="8" t="s">
        <v>492</v>
      </c>
      <c r="I193" s="8" t="s">
        <v>492</v>
      </c>
      <c r="J193" s="9">
        <f ca="1">VLOOKUP(Tabla1[[#This Row],[Nombre Equipo]],INDIRECT(Tabla1[[#This Row],[Proveedor calib.]]),2,FALSE)</f>
        <v>0</v>
      </c>
      <c r="K193" s="9">
        <f ca="1">Tabla1[[#This Row],[ Valor calibración]]*1.19</f>
        <v>0</v>
      </c>
      <c r="L193" s="8" t="s">
        <v>65</v>
      </c>
      <c r="M193" s="16">
        <v>44986</v>
      </c>
      <c r="N193" s="8" t="s">
        <v>74</v>
      </c>
      <c r="O193" s="8">
        <v>59496</v>
      </c>
      <c r="P193" s="9">
        <f ca="1">VLOOKUP(Tabla1[[#This Row],[Nombre Equipo]],INDIRECT(Tabla1[[#This Row],[Proveedor prev.]]),2,FALSE)</f>
        <v>80000</v>
      </c>
      <c r="Q193" s="9">
        <f ca="1">Tabla1[[#This Row],[Valor prev.]]*1.19</f>
        <v>95200</v>
      </c>
    </row>
    <row r="194" spans="1:17" x14ac:dyDescent="0.3">
      <c r="A194" s="8" t="s">
        <v>30</v>
      </c>
      <c r="B194" s="8" t="str">
        <f>IFERROR(VLOOKUP(Tabla1[[#This Row],[Sede ]],Tabla2[[#All],[Sede]:[Departamento]],2,FALSE),"")</f>
        <v>Medellín</v>
      </c>
      <c r="C194" s="8" t="str">
        <f>IFERROR(VLOOKUP(Tabla1[[#This Row],[Sede ]],Tabla2[[#All],[Sede]:[Departamento]],3,FALSE),"")</f>
        <v>Antioquia</v>
      </c>
      <c r="D194" s="8" t="s">
        <v>122</v>
      </c>
      <c r="E194" s="13" t="s">
        <v>450</v>
      </c>
      <c r="F194" s="16" t="s">
        <v>492</v>
      </c>
      <c r="G194" s="8" t="s">
        <v>492</v>
      </c>
      <c r="H194" s="8" t="s">
        <v>492</v>
      </c>
      <c r="I194" s="8" t="s">
        <v>492</v>
      </c>
      <c r="J194" s="9">
        <f ca="1">VLOOKUP(Tabla1[[#This Row],[Nombre Equipo]],INDIRECT(Tabla1[[#This Row],[Proveedor calib.]]),2,FALSE)</f>
        <v>0</v>
      </c>
      <c r="K194" s="9">
        <f ca="1">Tabla1[[#This Row],[ Valor calibración]]*1.19</f>
        <v>0</v>
      </c>
      <c r="L194" s="8" t="s">
        <v>65</v>
      </c>
      <c r="M194" s="16">
        <v>44986</v>
      </c>
      <c r="N194" s="8" t="s">
        <v>74</v>
      </c>
      <c r="O194" s="8">
        <v>59497</v>
      </c>
      <c r="P194" s="9">
        <f ca="1">VLOOKUP(Tabla1[[#This Row],[Nombre Equipo]],INDIRECT(Tabla1[[#This Row],[Proveedor prev.]]),2,FALSE)</f>
        <v>112500</v>
      </c>
      <c r="Q194" s="9">
        <f ca="1">Tabla1[[#This Row],[Valor prev.]]*1.19</f>
        <v>133875</v>
      </c>
    </row>
    <row r="195" spans="1:17" x14ac:dyDescent="0.3">
      <c r="A195" s="8" t="s">
        <v>30</v>
      </c>
      <c r="B195" s="8" t="str">
        <f>IFERROR(VLOOKUP(Tabla1[[#This Row],[Sede ]],Tabla2[[#All],[Sede]:[Departamento]],2,FALSE),"")</f>
        <v>Medellín</v>
      </c>
      <c r="C195" s="8" t="str">
        <f>IFERROR(VLOOKUP(Tabla1[[#This Row],[Sede ]],Tabla2[[#All],[Sede]:[Departamento]],3,FALSE),"")</f>
        <v>Antioquia</v>
      </c>
      <c r="D195" s="8" t="s">
        <v>389</v>
      </c>
      <c r="E195" s="13" t="s">
        <v>451</v>
      </c>
      <c r="F195" s="16" t="s">
        <v>492</v>
      </c>
      <c r="G195" s="8" t="s">
        <v>492</v>
      </c>
      <c r="H195" s="8" t="s">
        <v>492</v>
      </c>
      <c r="I195" s="8" t="s">
        <v>492</v>
      </c>
      <c r="J195" s="9">
        <f ca="1">VLOOKUP(Tabla1[[#This Row],[Nombre Equipo]],INDIRECT(Tabla1[[#This Row],[Proveedor calib.]]),2,FALSE)</f>
        <v>0</v>
      </c>
      <c r="K195" s="9">
        <f ca="1">Tabla1[[#This Row],[ Valor calibración]]*1.19</f>
        <v>0</v>
      </c>
      <c r="L195" s="8" t="s">
        <v>65</v>
      </c>
      <c r="M195" s="16">
        <v>44986</v>
      </c>
      <c r="N195" s="8" t="s">
        <v>74</v>
      </c>
      <c r="O195" s="8">
        <v>59498</v>
      </c>
      <c r="P195" s="9">
        <f ca="1">VLOOKUP(Tabla1[[#This Row],[Nombre Equipo]],INDIRECT(Tabla1[[#This Row],[Proveedor prev.]]),2,FALSE)</f>
        <v>40000</v>
      </c>
      <c r="Q195" s="9">
        <f ca="1">Tabla1[[#This Row],[Valor prev.]]*1.19</f>
        <v>47600</v>
      </c>
    </row>
    <row r="196" spans="1:17" x14ac:dyDescent="0.3">
      <c r="A196" s="8" t="s">
        <v>30</v>
      </c>
      <c r="B196" s="8" t="str">
        <f>IFERROR(VLOOKUP(Tabla1[[#This Row],[Sede ]],Tabla2[[#All],[Sede]:[Departamento]],2,FALSE),"")</f>
        <v>Medellín</v>
      </c>
      <c r="C196" s="8" t="str">
        <f>IFERROR(VLOOKUP(Tabla1[[#This Row],[Sede ]],Tabla2[[#All],[Sede]:[Departamento]],3,FALSE),"")</f>
        <v>Antioquia</v>
      </c>
      <c r="D196" s="8" t="s">
        <v>300</v>
      </c>
      <c r="E196" s="13" t="s">
        <v>452</v>
      </c>
      <c r="F196" s="16" t="s">
        <v>492</v>
      </c>
      <c r="G196" s="8" t="s">
        <v>492</v>
      </c>
      <c r="H196" s="8" t="s">
        <v>492</v>
      </c>
      <c r="I196" s="8" t="s">
        <v>492</v>
      </c>
      <c r="J196" s="9">
        <f ca="1">VLOOKUP(Tabla1[[#This Row],[Nombre Equipo]],INDIRECT(Tabla1[[#This Row],[Proveedor calib.]]),2,FALSE)</f>
        <v>0</v>
      </c>
      <c r="K196" s="9">
        <f ca="1">Tabla1[[#This Row],[ Valor calibración]]*1.19</f>
        <v>0</v>
      </c>
      <c r="L196" s="8" t="s">
        <v>65</v>
      </c>
      <c r="M196" s="16">
        <v>44986</v>
      </c>
      <c r="N196" s="8" t="s">
        <v>74</v>
      </c>
      <c r="O196" s="8">
        <v>59499</v>
      </c>
      <c r="P196" s="9">
        <f ca="1">VLOOKUP(Tabla1[[#This Row],[Nombre Equipo]],INDIRECT(Tabla1[[#This Row],[Proveedor prev.]]),2,FALSE)</f>
        <v>100000</v>
      </c>
      <c r="Q196" s="9">
        <f ca="1">Tabla1[[#This Row],[Valor prev.]]*1.19</f>
        <v>119000</v>
      </c>
    </row>
    <row r="197" spans="1:17" x14ac:dyDescent="0.3">
      <c r="A197" s="8" t="s">
        <v>30</v>
      </c>
      <c r="B197" s="8" t="str">
        <f>IFERROR(VLOOKUP(Tabla1[[#This Row],[Sede ]],Tabla2[[#All],[Sede]:[Departamento]],2,FALSE),"")</f>
        <v>Medellín</v>
      </c>
      <c r="C197" s="8" t="str">
        <f>IFERROR(VLOOKUP(Tabla1[[#This Row],[Sede ]],Tabla2[[#All],[Sede]:[Departamento]],3,FALSE),"")</f>
        <v>Antioquia</v>
      </c>
      <c r="D197" s="8" t="s">
        <v>390</v>
      </c>
      <c r="E197" s="13" t="s">
        <v>453</v>
      </c>
      <c r="F197" s="16" t="s">
        <v>492</v>
      </c>
      <c r="G197" s="8" t="s">
        <v>492</v>
      </c>
      <c r="H197" s="8" t="s">
        <v>492</v>
      </c>
      <c r="I197" s="8" t="s">
        <v>492</v>
      </c>
      <c r="J197" s="9">
        <f ca="1">VLOOKUP(Tabla1[[#This Row],[Nombre Equipo]],INDIRECT(Tabla1[[#This Row],[Proveedor calib.]]),2,FALSE)</f>
        <v>0</v>
      </c>
      <c r="K197" s="9">
        <f ca="1">Tabla1[[#This Row],[ Valor calibración]]*1.19</f>
        <v>0</v>
      </c>
      <c r="L197" s="8" t="s">
        <v>65</v>
      </c>
      <c r="M197" s="16">
        <v>44986</v>
      </c>
      <c r="N197" s="8" t="s">
        <v>74</v>
      </c>
      <c r="O197" s="8">
        <v>59500</v>
      </c>
      <c r="P197" s="9">
        <f ca="1">VLOOKUP(Tabla1[[#This Row],[Nombre Equipo]],INDIRECT(Tabla1[[#This Row],[Proveedor prev.]]),2,FALSE)</f>
        <v>40000</v>
      </c>
      <c r="Q197" s="9">
        <f ca="1">Tabla1[[#This Row],[Valor prev.]]*1.19</f>
        <v>47600</v>
      </c>
    </row>
    <row r="198" spans="1:17" x14ac:dyDescent="0.3">
      <c r="A198" s="8" t="s">
        <v>30</v>
      </c>
      <c r="B198" s="8" t="str">
        <f>IFERROR(VLOOKUP(Tabla1[[#This Row],[Sede ]],Tabla2[[#All],[Sede]:[Departamento]],2,FALSE),"")</f>
        <v>Medellín</v>
      </c>
      <c r="C198" s="8" t="str">
        <f>IFERROR(VLOOKUP(Tabla1[[#This Row],[Sede ]],Tabla2[[#All],[Sede]:[Departamento]],3,FALSE),"")</f>
        <v>Antioquia</v>
      </c>
      <c r="D198" s="8" t="s">
        <v>300</v>
      </c>
      <c r="E198" s="13" t="s">
        <v>454</v>
      </c>
      <c r="F198" s="16" t="s">
        <v>492</v>
      </c>
      <c r="G198" s="8" t="s">
        <v>492</v>
      </c>
      <c r="H198" s="8" t="s">
        <v>492</v>
      </c>
      <c r="I198" s="8" t="s">
        <v>492</v>
      </c>
      <c r="J198" s="9">
        <f ca="1">VLOOKUP(Tabla1[[#This Row],[Nombre Equipo]],INDIRECT(Tabla1[[#This Row],[Proveedor calib.]]),2,FALSE)</f>
        <v>0</v>
      </c>
      <c r="K198" s="9">
        <f ca="1">Tabla1[[#This Row],[ Valor calibración]]*1.19</f>
        <v>0</v>
      </c>
      <c r="L198" s="8" t="s">
        <v>65</v>
      </c>
      <c r="M198" s="16">
        <v>44986</v>
      </c>
      <c r="N198" s="8" t="s">
        <v>74</v>
      </c>
      <c r="O198" s="8">
        <v>59501</v>
      </c>
      <c r="P198" s="9">
        <f ca="1">VLOOKUP(Tabla1[[#This Row],[Nombre Equipo]],INDIRECT(Tabla1[[#This Row],[Proveedor prev.]]),2,FALSE)</f>
        <v>100000</v>
      </c>
      <c r="Q198" s="9">
        <f ca="1">Tabla1[[#This Row],[Valor prev.]]*1.19</f>
        <v>119000</v>
      </c>
    </row>
    <row r="199" spans="1:17" x14ac:dyDescent="0.3">
      <c r="A199" s="8" t="s">
        <v>30</v>
      </c>
      <c r="B199" s="8" t="str">
        <f>IFERROR(VLOOKUP(Tabla1[[#This Row],[Sede ]],Tabla2[[#All],[Sede]:[Departamento]],2,FALSE),"")</f>
        <v>Medellín</v>
      </c>
      <c r="C199" s="8" t="str">
        <f>IFERROR(VLOOKUP(Tabla1[[#This Row],[Sede ]],Tabla2[[#All],[Sede]:[Departamento]],3,FALSE),"")</f>
        <v>Antioquia</v>
      </c>
      <c r="D199" s="8" t="s">
        <v>294</v>
      </c>
      <c r="E199" s="13" t="s">
        <v>455</v>
      </c>
      <c r="F199" s="16" t="s">
        <v>492</v>
      </c>
      <c r="G199" s="8" t="s">
        <v>492</v>
      </c>
      <c r="H199" s="8" t="s">
        <v>492</v>
      </c>
      <c r="I199" s="8" t="s">
        <v>492</v>
      </c>
      <c r="J199" s="9">
        <f ca="1">VLOOKUP(Tabla1[[#This Row],[Nombre Equipo]],INDIRECT(Tabla1[[#This Row],[Proveedor calib.]]),2,FALSE)</f>
        <v>0</v>
      </c>
      <c r="K199" s="9">
        <f ca="1">Tabla1[[#This Row],[ Valor calibración]]*1.19</f>
        <v>0</v>
      </c>
      <c r="L199" s="8" t="s">
        <v>65</v>
      </c>
      <c r="M199" s="16">
        <v>44986</v>
      </c>
      <c r="N199" s="8" t="s">
        <v>74</v>
      </c>
      <c r="O199" s="8">
        <v>59502</v>
      </c>
      <c r="P199" s="9">
        <f ca="1">VLOOKUP(Tabla1[[#This Row],[Nombre Equipo]],INDIRECT(Tabla1[[#This Row],[Proveedor prev.]]),2,FALSE)</f>
        <v>65000</v>
      </c>
      <c r="Q199" s="9">
        <f ca="1">Tabla1[[#This Row],[Valor prev.]]*1.19</f>
        <v>77350</v>
      </c>
    </row>
    <row r="200" spans="1:17" x14ac:dyDescent="0.3">
      <c r="A200" s="8" t="s">
        <v>30</v>
      </c>
      <c r="B200" s="8" t="str">
        <f>IFERROR(VLOOKUP(Tabla1[[#This Row],[Sede ]],Tabla2[[#All],[Sede]:[Departamento]],2,FALSE),"")</f>
        <v>Medellín</v>
      </c>
      <c r="C200" s="8" t="str">
        <f>IFERROR(VLOOKUP(Tabla1[[#This Row],[Sede ]],Tabla2[[#All],[Sede]:[Departamento]],3,FALSE),"")</f>
        <v>Antioquia</v>
      </c>
      <c r="D200" s="8" t="s">
        <v>122</v>
      </c>
      <c r="E200" s="13" t="s">
        <v>456</v>
      </c>
      <c r="F200" s="16" t="s">
        <v>492</v>
      </c>
      <c r="G200" s="8" t="s">
        <v>492</v>
      </c>
      <c r="H200" s="8" t="s">
        <v>492</v>
      </c>
      <c r="I200" s="8" t="s">
        <v>492</v>
      </c>
      <c r="J200" s="9">
        <f ca="1">VLOOKUP(Tabla1[[#This Row],[Nombre Equipo]],INDIRECT(Tabla1[[#This Row],[Proveedor calib.]]),2,FALSE)</f>
        <v>0</v>
      </c>
      <c r="K200" s="9">
        <f ca="1">Tabla1[[#This Row],[ Valor calibración]]*1.19</f>
        <v>0</v>
      </c>
      <c r="L200" s="8" t="s">
        <v>65</v>
      </c>
      <c r="M200" s="16">
        <v>44986</v>
      </c>
      <c r="N200" s="8" t="s">
        <v>74</v>
      </c>
      <c r="O200" s="8">
        <v>59503</v>
      </c>
      <c r="P200" s="9">
        <f ca="1">VLOOKUP(Tabla1[[#This Row],[Nombre Equipo]],INDIRECT(Tabla1[[#This Row],[Proveedor prev.]]),2,FALSE)</f>
        <v>112500</v>
      </c>
      <c r="Q200" s="9">
        <f ca="1">Tabla1[[#This Row],[Valor prev.]]*1.19</f>
        <v>133875</v>
      </c>
    </row>
    <row r="201" spans="1:17" x14ac:dyDescent="0.3">
      <c r="A201" s="8" t="s">
        <v>30</v>
      </c>
      <c r="B201" s="8" t="str">
        <f>IFERROR(VLOOKUP(Tabla1[[#This Row],[Sede ]],Tabla2[[#All],[Sede]:[Departamento]],2,FALSE),"")</f>
        <v>Medellín</v>
      </c>
      <c r="C201" s="8" t="str">
        <f>IFERROR(VLOOKUP(Tabla1[[#This Row],[Sede ]],Tabla2[[#All],[Sede]:[Departamento]],3,FALSE),"")</f>
        <v>Antioquia</v>
      </c>
      <c r="D201" s="8" t="s">
        <v>122</v>
      </c>
      <c r="E201" s="13" t="s">
        <v>457</v>
      </c>
      <c r="F201" s="16" t="s">
        <v>492</v>
      </c>
      <c r="G201" s="8" t="s">
        <v>492</v>
      </c>
      <c r="H201" s="8" t="s">
        <v>492</v>
      </c>
      <c r="I201" s="8" t="s">
        <v>492</v>
      </c>
      <c r="J201" s="9">
        <f ca="1">VLOOKUP(Tabla1[[#This Row],[Nombre Equipo]],INDIRECT(Tabla1[[#This Row],[Proveedor calib.]]),2,FALSE)</f>
        <v>0</v>
      </c>
      <c r="K201" s="9">
        <f ca="1">Tabla1[[#This Row],[ Valor calibración]]*1.19</f>
        <v>0</v>
      </c>
      <c r="L201" s="8" t="s">
        <v>65</v>
      </c>
      <c r="M201" s="16">
        <v>44986</v>
      </c>
      <c r="N201" s="8" t="s">
        <v>74</v>
      </c>
      <c r="O201" s="8">
        <v>59504</v>
      </c>
      <c r="P201" s="9">
        <f ca="1">VLOOKUP(Tabla1[[#This Row],[Nombre Equipo]],INDIRECT(Tabla1[[#This Row],[Proveedor prev.]]),2,FALSE)</f>
        <v>112500</v>
      </c>
      <c r="Q201" s="9">
        <f ca="1">Tabla1[[#This Row],[Valor prev.]]*1.19</f>
        <v>133875</v>
      </c>
    </row>
    <row r="202" spans="1:17" x14ac:dyDescent="0.3">
      <c r="A202" s="8" t="s">
        <v>30</v>
      </c>
      <c r="B202" s="8" t="str">
        <f>IFERROR(VLOOKUP(Tabla1[[#This Row],[Sede ]],Tabla2[[#All],[Sede]:[Departamento]],2,FALSE),"")</f>
        <v>Medellín</v>
      </c>
      <c r="C202" s="8" t="str">
        <f>IFERROR(VLOOKUP(Tabla1[[#This Row],[Sede ]],Tabla2[[#All],[Sede]:[Departamento]],3,FALSE),"")</f>
        <v>Antioquia</v>
      </c>
      <c r="D202" s="8" t="s">
        <v>122</v>
      </c>
      <c r="E202" s="13" t="s">
        <v>458</v>
      </c>
      <c r="F202" s="16" t="s">
        <v>492</v>
      </c>
      <c r="G202" s="8" t="s">
        <v>492</v>
      </c>
      <c r="H202" s="8" t="s">
        <v>492</v>
      </c>
      <c r="I202" s="8" t="s">
        <v>492</v>
      </c>
      <c r="J202" s="9">
        <f ca="1">VLOOKUP(Tabla1[[#This Row],[Nombre Equipo]],INDIRECT(Tabla1[[#This Row],[Proveedor calib.]]),2,FALSE)</f>
        <v>0</v>
      </c>
      <c r="K202" s="9">
        <f ca="1">Tabla1[[#This Row],[ Valor calibración]]*1.19</f>
        <v>0</v>
      </c>
      <c r="L202" s="8" t="s">
        <v>65</v>
      </c>
      <c r="M202" s="16">
        <v>44986</v>
      </c>
      <c r="N202" s="8" t="s">
        <v>74</v>
      </c>
      <c r="O202" s="8">
        <v>59505</v>
      </c>
      <c r="P202" s="9">
        <f ca="1">VLOOKUP(Tabla1[[#This Row],[Nombre Equipo]],INDIRECT(Tabla1[[#This Row],[Proveedor prev.]]),2,FALSE)</f>
        <v>112500</v>
      </c>
      <c r="Q202" s="9">
        <f ca="1">Tabla1[[#This Row],[Valor prev.]]*1.19</f>
        <v>133875</v>
      </c>
    </row>
    <row r="203" spans="1:17" x14ac:dyDescent="0.3">
      <c r="A203" s="8" t="s">
        <v>30</v>
      </c>
      <c r="B203" s="8" t="str">
        <f>IFERROR(VLOOKUP(Tabla1[[#This Row],[Sede ]],Tabla2[[#All],[Sede]:[Departamento]],2,FALSE),"")</f>
        <v>Medellín</v>
      </c>
      <c r="C203" s="8" t="str">
        <f>IFERROR(VLOOKUP(Tabla1[[#This Row],[Sede ]],Tabla2[[#All],[Sede]:[Departamento]],3,FALSE),"")</f>
        <v>Antioquia</v>
      </c>
      <c r="D203" s="8" t="s">
        <v>300</v>
      </c>
      <c r="E203" s="13" t="s">
        <v>459</v>
      </c>
      <c r="F203" s="16" t="s">
        <v>492</v>
      </c>
      <c r="G203" s="8" t="s">
        <v>492</v>
      </c>
      <c r="H203" s="8" t="s">
        <v>492</v>
      </c>
      <c r="I203" s="8" t="s">
        <v>492</v>
      </c>
      <c r="J203" s="9">
        <f ca="1">VLOOKUP(Tabla1[[#This Row],[Nombre Equipo]],INDIRECT(Tabla1[[#This Row],[Proveedor calib.]]),2,FALSE)</f>
        <v>0</v>
      </c>
      <c r="K203" s="9">
        <f ca="1">Tabla1[[#This Row],[ Valor calibración]]*1.19</f>
        <v>0</v>
      </c>
      <c r="L203" s="8" t="s">
        <v>65</v>
      </c>
      <c r="M203" s="16">
        <v>44989</v>
      </c>
      <c r="N203" s="8" t="s">
        <v>74</v>
      </c>
      <c r="O203" s="8">
        <v>59535</v>
      </c>
      <c r="P203" s="9">
        <f ca="1">VLOOKUP(Tabla1[[#This Row],[Nombre Equipo]],INDIRECT(Tabla1[[#This Row],[Proveedor prev.]]),2,FALSE)</f>
        <v>100000</v>
      </c>
      <c r="Q203" s="9">
        <f ca="1">Tabla1[[#This Row],[Valor prev.]]*1.19</f>
        <v>119000</v>
      </c>
    </row>
    <row r="204" spans="1:17" x14ac:dyDescent="0.3">
      <c r="A204" s="8" t="s">
        <v>30</v>
      </c>
      <c r="B204" s="8" t="str">
        <f>IFERROR(VLOOKUP(Tabla1[[#This Row],[Sede ]],Tabla2[[#All],[Sede]:[Departamento]],2,FALSE),"")</f>
        <v>Medellín</v>
      </c>
      <c r="C204" s="8" t="str">
        <f>IFERROR(VLOOKUP(Tabla1[[#This Row],[Sede ]],Tabla2[[#All],[Sede]:[Departamento]],3,FALSE),"")</f>
        <v>Antioquia</v>
      </c>
      <c r="D204" s="8" t="s">
        <v>300</v>
      </c>
      <c r="E204" s="13" t="s">
        <v>460</v>
      </c>
      <c r="F204" s="16" t="s">
        <v>492</v>
      </c>
      <c r="G204" s="8" t="s">
        <v>492</v>
      </c>
      <c r="H204" s="8" t="s">
        <v>492</v>
      </c>
      <c r="I204" s="8" t="s">
        <v>492</v>
      </c>
      <c r="J204" s="9">
        <f ca="1">VLOOKUP(Tabla1[[#This Row],[Nombre Equipo]],INDIRECT(Tabla1[[#This Row],[Proveedor calib.]]),2,FALSE)</f>
        <v>0</v>
      </c>
      <c r="K204" s="9">
        <f ca="1">Tabla1[[#This Row],[ Valor calibración]]*1.19</f>
        <v>0</v>
      </c>
      <c r="L204" s="8" t="s">
        <v>65</v>
      </c>
      <c r="M204" s="16">
        <v>44989</v>
      </c>
      <c r="N204" s="8" t="s">
        <v>74</v>
      </c>
      <c r="O204" s="8">
        <v>59536</v>
      </c>
      <c r="P204" s="9">
        <f ca="1">VLOOKUP(Tabla1[[#This Row],[Nombre Equipo]],INDIRECT(Tabla1[[#This Row],[Proveedor prev.]]),2,FALSE)</f>
        <v>100000</v>
      </c>
      <c r="Q204" s="9">
        <f ca="1">Tabla1[[#This Row],[Valor prev.]]*1.19</f>
        <v>119000</v>
      </c>
    </row>
    <row r="205" spans="1:17" x14ac:dyDescent="0.3">
      <c r="A205" s="8" t="s">
        <v>30</v>
      </c>
      <c r="B205" s="8" t="str">
        <f>IFERROR(VLOOKUP(Tabla1[[#This Row],[Sede ]],Tabla2[[#All],[Sede]:[Departamento]],2,FALSE),"")</f>
        <v>Medellín</v>
      </c>
      <c r="C205" s="8" t="str">
        <f>IFERROR(VLOOKUP(Tabla1[[#This Row],[Sede ]],Tabla2[[#All],[Sede]:[Departamento]],3,FALSE),"")</f>
        <v>Antioquia</v>
      </c>
      <c r="D205" s="8" t="s">
        <v>390</v>
      </c>
      <c r="E205" s="13" t="s">
        <v>461</v>
      </c>
      <c r="F205" s="16" t="s">
        <v>492</v>
      </c>
      <c r="G205" s="8" t="s">
        <v>492</v>
      </c>
      <c r="H205" s="8" t="s">
        <v>492</v>
      </c>
      <c r="I205" s="8" t="s">
        <v>492</v>
      </c>
      <c r="J205" s="9">
        <f ca="1">VLOOKUP(Tabla1[[#This Row],[Nombre Equipo]],INDIRECT(Tabla1[[#This Row],[Proveedor calib.]]),2,FALSE)</f>
        <v>0</v>
      </c>
      <c r="K205" s="9">
        <f ca="1">Tabla1[[#This Row],[ Valor calibración]]*1.19</f>
        <v>0</v>
      </c>
      <c r="L205" s="8" t="s">
        <v>65</v>
      </c>
      <c r="M205" s="16">
        <v>44989</v>
      </c>
      <c r="N205" s="8" t="s">
        <v>74</v>
      </c>
      <c r="O205" s="8">
        <v>59537</v>
      </c>
      <c r="P205" s="9">
        <f ca="1">VLOOKUP(Tabla1[[#This Row],[Nombre Equipo]],INDIRECT(Tabla1[[#This Row],[Proveedor prev.]]),2,FALSE)</f>
        <v>40000</v>
      </c>
      <c r="Q205" s="9">
        <f ca="1">Tabla1[[#This Row],[Valor prev.]]*1.19</f>
        <v>47600</v>
      </c>
    </row>
    <row r="206" spans="1:17" x14ac:dyDescent="0.3">
      <c r="A206" s="8" t="s">
        <v>30</v>
      </c>
      <c r="B206" s="8" t="str">
        <f>IFERROR(VLOOKUP(Tabla1[[#This Row],[Sede ]],Tabla2[[#All],[Sede]:[Departamento]],2,FALSE),"")</f>
        <v>Medellín</v>
      </c>
      <c r="C206" s="8" t="str">
        <f>IFERROR(VLOOKUP(Tabla1[[#This Row],[Sede ]],Tabla2[[#All],[Sede]:[Departamento]],3,FALSE),"")</f>
        <v>Antioquia</v>
      </c>
      <c r="D206" s="8" t="s">
        <v>390</v>
      </c>
      <c r="E206" s="13" t="s">
        <v>462</v>
      </c>
      <c r="F206" s="16" t="s">
        <v>492</v>
      </c>
      <c r="G206" s="8" t="s">
        <v>492</v>
      </c>
      <c r="H206" s="8" t="s">
        <v>492</v>
      </c>
      <c r="I206" s="8" t="s">
        <v>492</v>
      </c>
      <c r="J206" s="9">
        <f ca="1">VLOOKUP(Tabla1[[#This Row],[Nombre Equipo]],INDIRECT(Tabla1[[#This Row],[Proveedor calib.]]),2,FALSE)</f>
        <v>0</v>
      </c>
      <c r="K206" s="9">
        <f ca="1">Tabla1[[#This Row],[ Valor calibración]]*1.19</f>
        <v>0</v>
      </c>
      <c r="L206" s="8" t="s">
        <v>65</v>
      </c>
      <c r="M206" s="16">
        <v>44989</v>
      </c>
      <c r="N206" s="8" t="s">
        <v>74</v>
      </c>
      <c r="O206" s="8">
        <v>59538</v>
      </c>
      <c r="P206" s="9">
        <f ca="1">VLOOKUP(Tabla1[[#This Row],[Nombre Equipo]],INDIRECT(Tabla1[[#This Row],[Proveedor prev.]]),2,FALSE)</f>
        <v>40000</v>
      </c>
      <c r="Q206" s="9">
        <f ca="1">Tabla1[[#This Row],[Valor prev.]]*1.19</f>
        <v>47600</v>
      </c>
    </row>
    <row r="207" spans="1:17" x14ac:dyDescent="0.3">
      <c r="A207" s="8" t="s">
        <v>30</v>
      </c>
      <c r="B207" s="8" t="str">
        <f>IFERROR(VLOOKUP(Tabla1[[#This Row],[Sede ]],Tabla2[[#All],[Sede]:[Departamento]],2,FALSE),"")</f>
        <v>Medellín</v>
      </c>
      <c r="C207" s="8" t="str">
        <f>IFERROR(VLOOKUP(Tabla1[[#This Row],[Sede ]],Tabla2[[#All],[Sede]:[Departamento]],3,FALSE),"")</f>
        <v>Antioquia</v>
      </c>
      <c r="D207" s="8" t="s">
        <v>122</v>
      </c>
      <c r="E207" s="13" t="s">
        <v>463</v>
      </c>
      <c r="F207" s="16" t="s">
        <v>492</v>
      </c>
      <c r="G207" s="8" t="s">
        <v>492</v>
      </c>
      <c r="H207" s="8" t="s">
        <v>492</v>
      </c>
      <c r="I207" s="8" t="s">
        <v>492</v>
      </c>
      <c r="J207" s="9">
        <f ca="1">VLOOKUP(Tabla1[[#This Row],[Nombre Equipo]],INDIRECT(Tabla1[[#This Row],[Proveedor calib.]]),2,FALSE)</f>
        <v>0</v>
      </c>
      <c r="K207" s="9">
        <f ca="1">Tabla1[[#This Row],[ Valor calibración]]*1.19</f>
        <v>0</v>
      </c>
      <c r="L207" s="8" t="s">
        <v>65</v>
      </c>
      <c r="M207" s="16">
        <v>44989</v>
      </c>
      <c r="N207" s="8" t="s">
        <v>74</v>
      </c>
      <c r="O207" s="8">
        <v>59539</v>
      </c>
      <c r="P207" s="9">
        <f ca="1">VLOOKUP(Tabla1[[#This Row],[Nombre Equipo]],INDIRECT(Tabla1[[#This Row],[Proveedor prev.]]),2,FALSE)</f>
        <v>112500</v>
      </c>
      <c r="Q207" s="9">
        <f ca="1">Tabla1[[#This Row],[Valor prev.]]*1.19</f>
        <v>133875</v>
      </c>
    </row>
    <row r="208" spans="1:17" x14ac:dyDescent="0.3">
      <c r="A208" s="8" t="s">
        <v>30</v>
      </c>
      <c r="B208" s="8" t="str">
        <f>IFERROR(VLOOKUP(Tabla1[[#This Row],[Sede ]],Tabla2[[#All],[Sede]:[Departamento]],2,FALSE),"")</f>
        <v>Medellín</v>
      </c>
      <c r="C208" s="8" t="str">
        <f>IFERROR(VLOOKUP(Tabla1[[#This Row],[Sede ]],Tabla2[[#All],[Sede]:[Departamento]],3,FALSE),"")</f>
        <v>Antioquia</v>
      </c>
      <c r="D208" s="8" t="s">
        <v>122</v>
      </c>
      <c r="E208" s="13" t="s">
        <v>464</v>
      </c>
      <c r="F208" s="16" t="s">
        <v>492</v>
      </c>
      <c r="G208" s="8" t="s">
        <v>492</v>
      </c>
      <c r="H208" s="8" t="s">
        <v>492</v>
      </c>
      <c r="I208" s="8" t="s">
        <v>492</v>
      </c>
      <c r="J208" s="9">
        <f ca="1">VLOOKUP(Tabla1[[#This Row],[Nombre Equipo]],INDIRECT(Tabla1[[#This Row],[Proveedor calib.]]),2,FALSE)</f>
        <v>0</v>
      </c>
      <c r="K208" s="9">
        <f ca="1">Tabla1[[#This Row],[ Valor calibración]]*1.19</f>
        <v>0</v>
      </c>
      <c r="L208" s="8" t="s">
        <v>65</v>
      </c>
      <c r="M208" s="16">
        <v>44989</v>
      </c>
      <c r="N208" s="8" t="s">
        <v>74</v>
      </c>
      <c r="O208" s="8">
        <v>59540</v>
      </c>
      <c r="P208" s="9">
        <f ca="1">VLOOKUP(Tabla1[[#This Row],[Nombre Equipo]],INDIRECT(Tabla1[[#This Row],[Proveedor prev.]]),2,FALSE)</f>
        <v>112500</v>
      </c>
      <c r="Q208" s="9">
        <f ca="1">Tabla1[[#This Row],[Valor prev.]]*1.19</f>
        <v>133875</v>
      </c>
    </row>
    <row r="209" spans="1:17" x14ac:dyDescent="0.3">
      <c r="A209" s="8" t="s">
        <v>30</v>
      </c>
      <c r="B209" s="8" t="str">
        <f>IFERROR(VLOOKUP(Tabla1[[#This Row],[Sede ]],Tabla2[[#All],[Sede]:[Departamento]],2,FALSE),"")</f>
        <v>Medellín</v>
      </c>
      <c r="C209" s="8" t="str">
        <f>IFERROR(VLOOKUP(Tabla1[[#This Row],[Sede ]],Tabla2[[#All],[Sede]:[Departamento]],3,FALSE),"")</f>
        <v>Antioquia</v>
      </c>
      <c r="D209" s="8" t="s">
        <v>300</v>
      </c>
      <c r="E209" s="13" t="s">
        <v>465</v>
      </c>
      <c r="F209" s="16" t="s">
        <v>492</v>
      </c>
      <c r="G209" s="8" t="s">
        <v>492</v>
      </c>
      <c r="H209" s="8" t="s">
        <v>492</v>
      </c>
      <c r="I209" s="8" t="s">
        <v>492</v>
      </c>
      <c r="J209" s="9">
        <f ca="1">VLOOKUP(Tabla1[[#This Row],[Nombre Equipo]],INDIRECT(Tabla1[[#This Row],[Proveedor calib.]]),2,FALSE)</f>
        <v>0</v>
      </c>
      <c r="K209" s="9">
        <f ca="1">Tabla1[[#This Row],[ Valor calibración]]*1.19</f>
        <v>0</v>
      </c>
      <c r="L209" s="8" t="s">
        <v>65</v>
      </c>
      <c r="M209" s="16">
        <v>44989</v>
      </c>
      <c r="N209" s="8" t="s">
        <v>74</v>
      </c>
      <c r="O209" s="8">
        <v>59542</v>
      </c>
      <c r="P209" s="9">
        <f ca="1">VLOOKUP(Tabla1[[#This Row],[Nombre Equipo]],INDIRECT(Tabla1[[#This Row],[Proveedor prev.]]),2,FALSE)</f>
        <v>100000</v>
      </c>
      <c r="Q209" s="9">
        <f ca="1">Tabla1[[#This Row],[Valor prev.]]*1.19</f>
        <v>119000</v>
      </c>
    </row>
    <row r="210" spans="1:17" x14ac:dyDescent="0.3">
      <c r="A210" s="8" t="s">
        <v>37</v>
      </c>
      <c r="B210" s="8" t="str">
        <f>IFERROR(VLOOKUP(Tabla1[[#This Row],[Sede ]],Tabla2[[#All],[Sede]:[Departamento]],2,FALSE),"")</f>
        <v>Montería</v>
      </c>
      <c r="C210" s="8" t="str">
        <f>IFERROR(VLOOKUP(Tabla1[[#This Row],[Sede ]],Tabla2[[#All],[Sede]:[Departamento]],3,FALSE),"")</f>
        <v>Córdoba</v>
      </c>
      <c r="D210" s="8" t="s">
        <v>122</v>
      </c>
      <c r="E210" s="13" t="s">
        <v>466</v>
      </c>
      <c r="F210" s="16" t="s">
        <v>492</v>
      </c>
      <c r="G210" s="8" t="s">
        <v>492</v>
      </c>
      <c r="H210" s="8" t="s">
        <v>492</v>
      </c>
      <c r="I210" s="8" t="s">
        <v>492</v>
      </c>
      <c r="J210" s="12">
        <f ca="1">VLOOKUP(Tabla1[[#This Row],[Nombre Equipo]],INDIRECT(Tabla1[[#This Row],[Proveedor calib.]]),2,FALSE)</f>
        <v>0</v>
      </c>
      <c r="K210" s="12">
        <f ca="1">Tabla1[[#This Row],[ Valor calibración]]*1.19</f>
        <v>0</v>
      </c>
      <c r="L210" s="8" t="s">
        <v>65</v>
      </c>
      <c r="M210" s="16">
        <v>44993</v>
      </c>
      <c r="N210" s="8" t="s">
        <v>74</v>
      </c>
      <c r="O210" s="8">
        <v>59559</v>
      </c>
      <c r="P210" s="12">
        <f ca="1">VLOOKUP(Tabla1[[#This Row],[Nombre Equipo]],INDIRECT(Tabla1[[#This Row],[Proveedor prev.]]),2,FALSE)</f>
        <v>112500</v>
      </c>
      <c r="Q210" s="12">
        <f ca="1">Tabla1[[#This Row],[Valor prev.]]*1.19</f>
        <v>133875</v>
      </c>
    </row>
    <row r="211" spans="1:17" x14ac:dyDescent="0.3">
      <c r="A211" s="8" t="s">
        <v>30</v>
      </c>
      <c r="B211" s="8" t="str">
        <f>IFERROR(VLOOKUP(Tabla1[[#This Row],[Sede ]],Tabla2[[#All],[Sede]:[Departamento]],2,FALSE),"")</f>
        <v>Medellín</v>
      </c>
      <c r="C211" s="8" t="str">
        <f>IFERROR(VLOOKUP(Tabla1[[#This Row],[Sede ]],Tabla2[[#All],[Sede]:[Departamento]],3,FALSE),"")</f>
        <v>Antioquia</v>
      </c>
      <c r="D211" s="8" t="s">
        <v>122</v>
      </c>
      <c r="E211" s="13" t="s">
        <v>467</v>
      </c>
      <c r="F211" s="16" t="s">
        <v>492</v>
      </c>
      <c r="G211" s="8" t="s">
        <v>492</v>
      </c>
      <c r="H211" s="8" t="s">
        <v>492</v>
      </c>
      <c r="I211" s="8" t="s">
        <v>492</v>
      </c>
      <c r="J211" s="9">
        <f ca="1">VLOOKUP(Tabla1[[#This Row],[Nombre Equipo]],INDIRECT(Tabla1[[#This Row],[Proveedor calib.]]),2,FALSE)</f>
        <v>0</v>
      </c>
      <c r="K211" s="9">
        <f ca="1">Tabla1[[#This Row],[ Valor calibración]]*1.19</f>
        <v>0</v>
      </c>
      <c r="L211" s="8" t="s">
        <v>65</v>
      </c>
      <c r="M211" s="16">
        <v>44993</v>
      </c>
      <c r="N211" s="8" t="s">
        <v>74</v>
      </c>
      <c r="O211" s="8">
        <v>59560</v>
      </c>
      <c r="P211" s="9">
        <f ca="1">VLOOKUP(Tabla1[[#This Row],[Nombre Equipo]],INDIRECT(Tabla1[[#This Row],[Proveedor prev.]]),2,FALSE)</f>
        <v>112500</v>
      </c>
      <c r="Q211" s="9">
        <f ca="1">Tabla1[[#This Row],[Valor prev.]]*1.19</f>
        <v>133875</v>
      </c>
    </row>
    <row r="212" spans="1:17" x14ac:dyDescent="0.3">
      <c r="A212" s="8" t="s">
        <v>30</v>
      </c>
      <c r="B212" s="8" t="str">
        <f>IFERROR(VLOOKUP(Tabla1[[#This Row],[Sede ]],Tabla2[[#All],[Sede]:[Departamento]],2,FALSE),"")</f>
        <v>Medellín</v>
      </c>
      <c r="C212" s="8" t="str">
        <f>IFERROR(VLOOKUP(Tabla1[[#This Row],[Sede ]],Tabla2[[#All],[Sede]:[Departamento]],3,FALSE),"")</f>
        <v>Antioquia</v>
      </c>
      <c r="D212" s="8" t="s">
        <v>122</v>
      </c>
      <c r="E212" s="13" t="s">
        <v>468</v>
      </c>
      <c r="F212" s="16" t="s">
        <v>492</v>
      </c>
      <c r="G212" s="8" t="s">
        <v>492</v>
      </c>
      <c r="H212" s="8" t="s">
        <v>492</v>
      </c>
      <c r="I212" s="8" t="s">
        <v>492</v>
      </c>
      <c r="J212" s="9">
        <f ca="1">VLOOKUP(Tabla1[[#This Row],[Nombre Equipo]],INDIRECT(Tabla1[[#This Row],[Proveedor calib.]]),2,FALSE)</f>
        <v>0</v>
      </c>
      <c r="K212" s="9">
        <f ca="1">Tabla1[[#This Row],[ Valor calibración]]*1.19</f>
        <v>0</v>
      </c>
      <c r="L212" s="8" t="s">
        <v>65</v>
      </c>
      <c r="M212" s="16">
        <v>44993</v>
      </c>
      <c r="N212" s="8" t="s">
        <v>74</v>
      </c>
      <c r="O212" s="8">
        <v>59561</v>
      </c>
      <c r="P212" s="9">
        <f ca="1">VLOOKUP(Tabla1[[#This Row],[Nombre Equipo]],INDIRECT(Tabla1[[#This Row],[Proveedor prev.]]),2,FALSE)</f>
        <v>112500</v>
      </c>
      <c r="Q212" s="9">
        <f ca="1">Tabla1[[#This Row],[Valor prev.]]*1.19</f>
        <v>133875</v>
      </c>
    </row>
    <row r="213" spans="1:17" x14ac:dyDescent="0.3">
      <c r="A213" s="8" t="s">
        <v>30</v>
      </c>
      <c r="B213" s="8" t="str">
        <f>IFERROR(VLOOKUP(Tabla1[[#This Row],[Sede ]],Tabla2[[#All],[Sede]:[Departamento]],2,FALSE),"")</f>
        <v>Medellín</v>
      </c>
      <c r="C213" s="8" t="str">
        <f>IFERROR(VLOOKUP(Tabla1[[#This Row],[Sede ]],Tabla2[[#All],[Sede]:[Departamento]],3,FALSE),"")</f>
        <v>Antioquia</v>
      </c>
      <c r="D213" s="8" t="s">
        <v>389</v>
      </c>
      <c r="E213" s="13" t="s">
        <v>469</v>
      </c>
      <c r="F213" s="16" t="s">
        <v>492</v>
      </c>
      <c r="G213" s="8" t="s">
        <v>492</v>
      </c>
      <c r="H213" s="8" t="s">
        <v>492</v>
      </c>
      <c r="I213" s="8" t="s">
        <v>492</v>
      </c>
      <c r="J213" s="9">
        <f ca="1">VLOOKUP(Tabla1[[#This Row],[Nombre Equipo]],INDIRECT(Tabla1[[#This Row],[Proveedor calib.]]),2,FALSE)</f>
        <v>0</v>
      </c>
      <c r="K213" s="9">
        <f ca="1">Tabla1[[#This Row],[ Valor calibración]]*1.19</f>
        <v>0</v>
      </c>
      <c r="L213" s="8" t="s">
        <v>65</v>
      </c>
      <c r="M213" s="16">
        <v>44993</v>
      </c>
      <c r="N213" s="8" t="s">
        <v>74</v>
      </c>
      <c r="O213" s="8">
        <v>59562</v>
      </c>
      <c r="P213" s="9">
        <f ca="1">VLOOKUP(Tabla1[[#This Row],[Nombre Equipo]],INDIRECT(Tabla1[[#This Row],[Proveedor prev.]]),2,FALSE)</f>
        <v>40000</v>
      </c>
      <c r="Q213" s="9">
        <f ca="1">Tabla1[[#This Row],[Valor prev.]]*1.19</f>
        <v>47600</v>
      </c>
    </row>
    <row r="214" spans="1:17" x14ac:dyDescent="0.3">
      <c r="A214" s="8" t="s">
        <v>19</v>
      </c>
      <c r="B214" s="8" t="str">
        <f>IFERROR(VLOOKUP(Tabla1[[#This Row],[Sede ]],Tabla2[[#All],[Sede]:[Departamento]],2,FALSE),"")</f>
        <v>Medellín</v>
      </c>
      <c r="C214" s="8" t="str">
        <f>IFERROR(VLOOKUP(Tabla1[[#This Row],[Sede ]],Tabla2[[#All],[Sede]:[Departamento]],3,FALSE),"")</f>
        <v>Antioquia</v>
      </c>
      <c r="D214" s="8" t="s">
        <v>125</v>
      </c>
      <c r="E214" s="13" t="s">
        <v>470</v>
      </c>
      <c r="F214" s="16" t="s">
        <v>492</v>
      </c>
      <c r="G214" s="8" t="s">
        <v>492</v>
      </c>
      <c r="H214" s="8" t="s">
        <v>492</v>
      </c>
      <c r="I214" s="8" t="s">
        <v>492</v>
      </c>
      <c r="J214" s="9">
        <f ca="1">VLOOKUP(Tabla1[[#This Row],[Nombre Equipo]],INDIRECT(Tabla1[[#This Row],[Proveedor calib.]]),2,FALSE)</f>
        <v>0</v>
      </c>
      <c r="K214" s="9">
        <f ca="1">Tabla1[[#This Row],[ Valor calibración]]*1.19</f>
        <v>0</v>
      </c>
      <c r="L214" s="8" t="s">
        <v>65</v>
      </c>
      <c r="M214" s="16">
        <v>44998</v>
      </c>
      <c r="N214" s="8" t="s">
        <v>74</v>
      </c>
      <c r="O214" s="8">
        <v>59578</v>
      </c>
      <c r="P214" s="9">
        <f ca="1">VLOOKUP(Tabla1[[#This Row],[Nombre Equipo]],INDIRECT(Tabla1[[#This Row],[Proveedor prev.]]),2,FALSE)</f>
        <v>100000</v>
      </c>
      <c r="Q214" s="9">
        <f ca="1">Tabla1[[#This Row],[Valor prev.]]*1.19</f>
        <v>119000</v>
      </c>
    </row>
    <row r="215" spans="1:17" x14ac:dyDescent="0.3">
      <c r="A215" s="8" t="s">
        <v>30</v>
      </c>
      <c r="B215" s="8" t="str">
        <f>IFERROR(VLOOKUP(Tabla1[[#This Row],[Sede ]],Tabla2[[#All],[Sede]:[Departamento]],2,FALSE),"")</f>
        <v>Medellín</v>
      </c>
      <c r="C215" s="8" t="str">
        <f>IFERROR(VLOOKUP(Tabla1[[#This Row],[Sede ]],Tabla2[[#All],[Sede]:[Departamento]],3,FALSE),"")</f>
        <v>Antioquia</v>
      </c>
      <c r="D215" s="8" t="s">
        <v>377</v>
      </c>
      <c r="E215" s="13" t="s">
        <v>471</v>
      </c>
      <c r="F215" s="16" t="s">
        <v>492</v>
      </c>
      <c r="G215" s="8" t="s">
        <v>492</v>
      </c>
      <c r="H215" s="8" t="s">
        <v>492</v>
      </c>
      <c r="I215" s="8" t="s">
        <v>492</v>
      </c>
      <c r="J215" s="9">
        <f ca="1">VLOOKUP(Tabla1[[#This Row],[Nombre Equipo]],INDIRECT(Tabla1[[#This Row],[Proveedor calib.]]),2,FALSE)</f>
        <v>0</v>
      </c>
      <c r="K215" s="9">
        <f ca="1">Tabla1[[#This Row],[ Valor calibración]]*1.19</f>
        <v>0</v>
      </c>
      <c r="L215" s="8" t="s">
        <v>65</v>
      </c>
      <c r="M215" s="16">
        <v>44996</v>
      </c>
      <c r="N215" s="8" t="s">
        <v>74</v>
      </c>
      <c r="O215" s="8">
        <v>59574</v>
      </c>
      <c r="P215" s="9">
        <f ca="1">VLOOKUP(Tabla1[[#This Row],[Nombre Equipo]],INDIRECT(Tabla1[[#This Row],[Proveedor prev.]]),2,FALSE)</f>
        <v>100000</v>
      </c>
      <c r="Q215" s="9">
        <f ca="1">Tabla1[[#This Row],[Valor prev.]]*1.19</f>
        <v>119000</v>
      </c>
    </row>
    <row r="216" spans="1:17" x14ac:dyDescent="0.3">
      <c r="A216" s="8" t="s">
        <v>30</v>
      </c>
      <c r="B216" s="8" t="str">
        <f>IFERROR(VLOOKUP(Tabla1[[#This Row],[Sede ]],Tabla2[[#All],[Sede]:[Departamento]],2,FALSE),"")</f>
        <v>Medellín</v>
      </c>
      <c r="C216" s="8" t="str">
        <f>IFERROR(VLOOKUP(Tabla1[[#This Row],[Sede ]],Tabla2[[#All],[Sede]:[Departamento]],3,FALSE),"")</f>
        <v>Antioquia</v>
      </c>
      <c r="D216" s="8" t="s">
        <v>377</v>
      </c>
      <c r="E216" s="13" t="s">
        <v>472</v>
      </c>
      <c r="F216" s="16" t="s">
        <v>492</v>
      </c>
      <c r="G216" s="8" t="s">
        <v>492</v>
      </c>
      <c r="H216" s="8" t="s">
        <v>492</v>
      </c>
      <c r="I216" s="8" t="s">
        <v>492</v>
      </c>
      <c r="J216" s="9">
        <f ca="1">VLOOKUP(Tabla1[[#This Row],[Nombre Equipo]],INDIRECT(Tabla1[[#This Row],[Proveedor calib.]]),2,FALSE)</f>
        <v>0</v>
      </c>
      <c r="K216" s="9">
        <f ca="1">Tabla1[[#This Row],[ Valor calibración]]*1.19</f>
        <v>0</v>
      </c>
      <c r="L216" s="8" t="s">
        <v>65</v>
      </c>
      <c r="M216" s="16">
        <v>44996</v>
      </c>
      <c r="N216" s="8" t="s">
        <v>74</v>
      </c>
      <c r="O216" s="8">
        <v>59575</v>
      </c>
      <c r="P216" s="9">
        <f ca="1">VLOOKUP(Tabla1[[#This Row],[Nombre Equipo]],INDIRECT(Tabla1[[#This Row],[Proveedor prev.]]),2,FALSE)</f>
        <v>100000</v>
      </c>
      <c r="Q216" s="9">
        <f ca="1">Tabla1[[#This Row],[Valor prev.]]*1.19</f>
        <v>119000</v>
      </c>
    </row>
    <row r="217" spans="1:17" x14ac:dyDescent="0.3">
      <c r="A217" s="8" t="s">
        <v>30</v>
      </c>
      <c r="B217" s="8" t="str">
        <f>IFERROR(VLOOKUP(Tabla1[[#This Row],[Sede ]],Tabla2[[#All],[Sede]:[Departamento]],2,FALSE),"")</f>
        <v>Medellín</v>
      </c>
      <c r="C217" s="8" t="str">
        <f>IFERROR(VLOOKUP(Tabla1[[#This Row],[Sede ]],Tabla2[[#All],[Sede]:[Departamento]],3,FALSE),"")</f>
        <v>Antioquia</v>
      </c>
      <c r="D217" s="8" t="s">
        <v>125</v>
      </c>
      <c r="E217" s="13" t="s">
        <v>473</v>
      </c>
      <c r="F217" s="16" t="s">
        <v>492</v>
      </c>
      <c r="G217" s="8" t="s">
        <v>492</v>
      </c>
      <c r="H217" s="8" t="s">
        <v>492</v>
      </c>
      <c r="I217" s="8" t="s">
        <v>492</v>
      </c>
      <c r="J217" s="9">
        <f ca="1">VLOOKUP(Tabla1[[#This Row],[Nombre Equipo]],INDIRECT(Tabla1[[#This Row],[Proveedor calib.]]),2,FALSE)</f>
        <v>0</v>
      </c>
      <c r="K217" s="9">
        <f ca="1">Tabla1[[#This Row],[ Valor calibración]]*1.19</f>
        <v>0</v>
      </c>
      <c r="L217" s="8" t="s">
        <v>65</v>
      </c>
      <c r="M217" s="16">
        <v>44996</v>
      </c>
      <c r="N217" s="8" t="s">
        <v>74</v>
      </c>
      <c r="O217" s="8">
        <v>59576</v>
      </c>
      <c r="P217" s="9">
        <f ca="1">VLOOKUP(Tabla1[[#This Row],[Nombre Equipo]],INDIRECT(Tabla1[[#This Row],[Proveedor prev.]]),2,FALSE)</f>
        <v>100000</v>
      </c>
      <c r="Q217" s="9">
        <f ca="1">Tabla1[[#This Row],[Valor prev.]]*1.19</f>
        <v>119000</v>
      </c>
    </row>
    <row r="218" spans="1:17" x14ac:dyDescent="0.3">
      <c r="A218" s="8" t="s">
        <v>19</v>
      </c>
      <c r="B218" s="8" t="str">
        <f>IFERROR(VLOOKUP(Tabla1[[#This Row],[Sede ]],Tabla2[[#All],[Sede]:[Departamento]],2,FALSE),"")</f>
        <v>Medellín</v>
      </c>
      <c r="C218" s="8" t="str">
        <f>IFERROR(VLOOKUP(Tabla1[[#This Row],[Sede ]],Tabla2[[#All],[Sede]:[Departamento]],3,FALSE),"")</f>
        <v>Antioquia</v>
      </c>
      <c r="D218" s="8" t="s">
        <v>125</v>
      </c>
      <c r="E218" s="13" t="s">
        <v>474</v>
      </c>
      <c r="F218" s="16" t="s">
        <v>492</v>
      </c>
      <c r="G218" s="8" t="s">
        <v>492</v>
      </c>
      <c r="H218" s="8" t="s">
        <v>492</v>
      </c>
      <c r="I218" s="8" t="s">
        <v>492</v>
      </c>
      <c r="J218" s="9">
        <f ca="1">VLOOKUP(Tabla1[[#This Row],[Nombre Equipo]],INDIRECT(Tabla1[[#This Row],[Proveedor calib.]]),2,FALSE)</f>
        <v>0</v>
      </c>
      <c r="K218" s="9">
        <f ca="1">Tabla1[[#This Row],[ Valor calibración]]*1.19</f>
        <v>0</v>
      </c>
      <c r="L218" s="8" t="s">
        <v>62</v>
      </c>
      <c r="M218" s="16">
        <v>44998</v>
      </c>
      <c r="N218" s="8" t="s">
        <v>74</v>
      </c>
      <c r="O218" s="8">
        <v>59577</v>
      </c>
      <c r="P218" s="9">
        <f ca="1">VLOOKUP(Tabla1[[#This Row],[Nombre Equipo]],INDIRECT(Tabla1[[#This Row],[Proveedor prev.]]),2,FALSE)</f>
        <v>100000</v>
      </c>
      <c r="Q218" s="9">
        <f ca="1">Tabla1[[#This Row],[Valor prev.]]*1.19</f>
        <v>119000</v>
      </c>
    </row>
    <row r="219" spans="1:17" x14ac:dyDescent="0.3">
      <c r="A219" s="8" t="s">
        <v>30</v>
      </c>
      <c r="B219" s="8" t="str">
        <f>IFERROR(VLOOKUP(Tabla1[[#This Row],[Sede ]],Tabla2[[#All],[Sede]:[Departamento]],2,FALSE),"")</f>
        <v>Medellín</v>
      </c>
      <c r="C219" s="8" t="str">
        <f>IFERROR(VLOOKUP(Tabla1[[#This Row],[Sede ]],Tabla2[[#All],[Sede]:[Departamento]],3,FALSE),"")</f>
        <v>Antioquia</v>
      </c>
      <c r="D219" s="8" t="s">
        <v>117</v>
      </c>
      <c r="E219" s="13" t="s">
        <v>475</v>
      </c>
      <c r="F219" s="16" t="s">
        <v>492</v>
      </c>
      <c r="G219" s="8" t="s">
        <v>492</v>
      </c>
      <c r="H219" s="8" t="s">
        <v>492</v>
      </c>
      <c r="I219" s="8" t="s">
        <v>492</v>
      </c>
      <c r="J219" s="9">
        <f ca="1">VLOOKUP(Tabla1[[#This Row],[Nombre Equipo]],INDIRECT(Tabla1[[#This Row],[Proveedor calib.]]),2,FALSE)</f>
        <v>0</v>
      </c>
      <c r="K219" s="9">
        <f ca="1">Tabla1[[#This Row],[ Valor calibración]]*1.19</f>
        <v>0</v>
      </c>
      <c r="L219" s="8" t="s">
        <v>65</v>
      </c>
      <c r="M219" s="16">
        <v>45030</v>
      </c>
      <c r="N219" s="8" t="s">
        <v>74</v>
      </c>
      <c r="O219" s="8">
        <v>59789</v>
      </c>
      <c r="P219" s="9">
        <f ca="1">VLOOKUP(Tabla1[[#This Row],[Nombre Equipo]],INDIRECT(Tabla1[[#This Row],[Proveedor prev.]]),2,FALSE)</f>
        <v>45000</v>
      </c>
      <c r="Q219" s="9">
        <f ca="1">Tabla1[[#This Row],[Valor prev.]]*1.19</f>
        <v>53550</v>
      </c>
    </row>
    <row r="220" spans="1:17" x14ac:dyDescent="0.3">
      <c r="A220" s="8" t="s">
        <v>43</v>
      </c>
      <c r="B220" s="8" t="str">
        <f>IFERROR(VLOOKUP(Tabla1[[#This Row],[Sede ]],Tabla2[[#All],[Sede]:[Departamento]],2,FALSE),"")</f>
        <v>Caldas</v>
      </c>
      <c r="C220" s="8" t="str">
        <f>IFERROR(VLOOKUP(Tabla1[[#This Row],[Sede ]],Tabla2[[#All],[Sede]:[Departamento]],3,FALSE),"")</f>
        <v>Antioquia</v>
      </c>
      <c r="D220" s="8" t="s">
        <v>118</v>
      </c>
      <c r="E220" s="13" t="s">
        <v>476</v>
      </c>
      <c r="F220" s="16" t="s">
        <v>492</v>
      </c>
      <c r="G220" s="8" t="s">
        <v>492</v>
      </c>
      <c r="H220" s="8" t="s">
        <v>492</v>
      </c>
      <c r="I220" s="8" t="s">
        <v>492</v>
      </c>
      <c r="J220" s="9">
        <f ca="1">VLOOKUP(Tabla1[[#This Row],[Nombre Equipo]],INDIRECT(Tabla1[[#This Row],[Proveedor calib.]]),2,FALSE)</f>
        <v>0</v>
      </c>
      <c r="K220" s="9">
        <f ca="1">Tabla1[[#This Row],[ Valor calibración]]*1.19</f>
        <v>0</v>
      </c>
      <c r="L220" s="8" t="s">
        <v>65</v>
      </c>
      <c r="M220" s="16">
        <v>45030</v>
      </c>
      <c r="N220" s="8" t="s">
        <v>74</v>
      </c>
      <c r="O220" s="8">
        <v>59791</v>
      </c>
      <c r="P220" s="9">
        <f ca="1">VLOOKUP(Tabla1[[#This Row],[Nombre Equipo]],INDIRECT(Tabla1[[#This Row],[Proveedor prev.]]),2,FALSE)</f>
        <v>45000</v>
      </c>
      <c r="Q220" s="9">
        <f ca="1">Tabla1[[#This Row],[Valor prev.]]*1.19</f>
        <v>53550</v>
      </c>
    </row>
    <row r="221" spans="1:17" x14ac:dyDescent="0.3">
      <c r="A221" s="8" t="s">
        <v>30</v>
      </c>
      <c r="B221" s="8" t="str">
        <f>IFERROR(VLOOKUP(Tabla1[[#This Row],[Sede ]],Tabla2[[#All],[Sede]:[Departamento]],2,FALSE),"")</f>
        <v>Medellín</v>
      </c>
      <c r="C221" s="8" t="str">
        <f>IFERROR(VLOOKUP(Tabla1[[#This Row],[Sede ]],Tabla2[[#All],[Sede]:[Departamento]],3,FALSE),"")</f>
        <v>Antioquia</v>
      </c>
      <c r="D221" s="8" t="s">
        <v>114</v>
      </c>
      <c r="E221" s="13" t="s">
        <v>477</v>
      </c>
      <c r="F221" s="16" t="s">
        <v>492</v>
      </c>
      <c r="G221" s="8" t="s">
        <v>492</v>
      </c>
      <c r="H221" s="8" t="s">
        <v>492</v>
      </c>
      <c r="I221" s="8" t="s">
        <v>492</v>
      </c>
      <c r="J221" s="9">
        <f ca="1">VLOOKUP(Tabla1[[#This Row],[Nombre Equipo]],INDIRECT(Tabla1[[#This Row],[Proveedor calib.]]),2,FALSE)</f>
        <v>0</v>
      </c>
      <c r="K221" s="9">
        <f ca="1">Tabla1[[#This Row],[ Valor calibración]]*1.19</f>
        <v>0</v>
      </c>
      <c r="L221" s="8" t="s">
        <v>65</v>
      </c>
      <c r="M221" s="16">
        <v>45030</v>
      </c>
      <c r="N221" s="8" t="s">
        <v>74</v>
      </c>
      <c r="O221" s="8">
        <v>59795</v>
      </c>
      <c r="P221" s="9">
        <f ca="1">VLOOKUP(Tabla1[[#This Row],[Nombre Equipo]],INDIRECT(Tabla1[[#This Row],[Proveedor prev.]]),2,FALSE)</f>
        <v>45000</v>
      </c>
      <c r="Q221" s="9">
        <f ca="1">Tabla1[[#This Row],[Valor prev.]]*1.19</f>
        <v>53550</v>
      </c>
    </row>
    <row r="222" spans="1:17" x14ac:dyDescent="0.3">
      <c r="A222" s="8" t="s">
        <v>30</v>
      </c>
      <c r="B222" s="8" t="str">
        <f>IFERROR(VLOOKUP(Tabla1[[#This Row],[Sede ]],Tabla2[[#All],[Sede]:[Departamento]],2,FALSE),"")</f>
        <v>Medellín</v>
      </c>
      <c r="C222" s="8" t="str">
        <f>IFERROR(VLOOKUP(Tabla1[[#This Row],[Sede ]],Tabla2[[#All],[Sede]:[Departamento]],3,FALSE),"")</f>
        <v>Antioquia</v>
      </c>
      <c r="D222" s="8" t="s">
        <v>114</v>
      </c>
      <c r="E222" s="13" t="s">
        <v>478</v>
      </c>
      <c r="F222" s="16" t="s">
        <v>492</v>
      </c>
      <c r="G222" s="8" t="s">
        <v>492</v>
      </c>
      <c r="H222" s="8" t="s">
        <v>492</v>
      </c>
      <c r="I222" s="8" t="s">
        <v>492</v>
      </c>
      <c r="J222" s="9">
        <f ca="1">VLOOKUP(Tabla1[[#This Row],[Nombre Equipo]],INDIRECT(Tabla1[[#This Row],[Proveedor calib.]]),2,FALSE)</f>
        <v>0</v>
      </c>
      <c r="K222" s="9">
        <f ca="1">Tabla1[[#This Row],[ Valor calibración]]*1.19</f>
        <v>0</v>
      </c>
      <c r="L222" s="8" t="s">
        <v>65</v>
      </c>
      <c r="M222" s="16">
        <v>45030</v>
      </c>
      <c r="N222" s="8" t="s">
        <v>74</v>
      </c>
      <c r="O222" s="8">
        <v>59798</v>
      </c>
      <c r="P222" s="9">
        <f ca="1">VLOOKUP(Tabla1[[#This Row],[Nombre Equipo]],INDIRECT(Tabla1[[#This Row],[Proveedor prev.]]),2,FALSE)</f>
        <v>45000</v>
      </c>
      <c r="Q222" s="9">
        <f ca="1">Tabla1[[#This Row],[Valor prev.]]*1.19</f>
        <v>53550</v>
      </c>
    </row>
    <row r="223" spans="1:17" x14ac:dyDescent="0.3">
      <c r="A223" s="8" t="s">
        <v>30</v>
      </c>
      <c r="B223" s="8" t="str">
        <f>IFERROR(VLOOKUP(Tabla1[[#This Row],[Sede ]],Tabla2[[#All],[Sede]:[Departamento]],2,FALSE),"")</f>
        <v>Medellín</v>
      </c>
      <c r="C223" s="8" t="str">
        <f>IFERROR(VLOOKUP(Tabla1[[#This Row],[Sede ]],Tabla2[[#All],[Sede]:[Departamento]],3,FALSE),"")</f>
        <v>Antioquia</v>
      </c>
      <c r="D223" s="8" t="s">
        <v>114</v>
      </c>
      <c r="E223" s="13" t="s">
        <v>479</v>
      </c>
      <c r="F223" s="16" t="s">
        <v>492</v>
      </c>
      <c r="G223" s="8" t="s">
        <v>492</v>
      </c>
      <c r="H223" s="8" t="s">
        <v>492</v>
      </c>
      <c r="I223" s="8" t="s">
        <v>492</v>
      </c>
      <c r="J223" s="9">
        <f ca="1">VLOOKUP(Tabla1[[#This Row],[Nombre Equipo]],INDIRECT(Tabla1[[#This Row],[Proveedor calib.]]),2,FALSE)</f>
        <v>0</v>
      </c>
      <c r="K223" s="9">
        <f ca="1">Tabla1[[#This Row],[ Valor calibración]]*1.19</f>
        <v>0</v>
      </c>
      <c r="L223" s="8" t="s">
        <v>65</v>
      </c>
      <c r="M223" s="16">
        <v>45030</v>
      </c>
      <c r="N223" s="8" t="s">
        <v>74</v>
      </c>
      <c r="O223" s="8">
        <v>59799</v>
      </c>
      <c r="P223" s="9">
        <f ca="1">VLOOKUP(Tabla1[[#This Row],[Nombre Equipo]],INDIRECT(Tabla1[[#This Row],[Proveedor prev.]]),2,FALSE)</f>
        <v>45000</v>
      </c>
      <c r="Q223" s="9">
        <f ca="1">Tabla1[[#This Row],[Valor prev.]]*1.19</f>
        <v>53550</v>
      </c>
    </row>
    <row r="224" spans="1:17" x14ac:dyDescent="0.3">
      <c r="A224" s="8" t="s">
        <v>29</v>
      </c>
      <c r="B224" s="8" t="str">
        <f>IFERROR(VLOOKUP(Tabla1[[#This Row],[Sede ]],Tabla2[[#All],[Sede]:[Departamento]],2,FALSE),"")</f>
        <v>Bogotá</v>
      </c>
      <c r="C224" s="8" t="str">
        <f>IFERROR(VLOOKUP(Tabla1[[#This Row],[Sede ]],Tabla2[[#All],[Sede]:[Departamento]],3,FALSE),"")</f>
        <v>Bogotá</v>
      </c>
      <c r="D224" s="8" t="s">
        <v>114</v>
      </c>
      <c r="E224" s="13" t="s">
        <v>480</v>
      </c>
      <c r="F224" s="16" t="s">
        <v>492</v>
      </c>
      <c r="G224" s="8" t="s">
        <v>492</v>
      </c>
      <c r="H224" s="8" t="s">
        <v>492</v>
      </c>
      <c r="I224" s="8" t="s">
        <v>492</v>
      </c>
      <c r="J224" s="9">
        <f ca="1">VLOOKUP(Tabla1[[#This Row],[Nombre Equipo]],INDIRECT(Tabla1[[#This Row],[Proveedor calib.]]),2,FALSE)</f>
        <v>0</v>
      </c>
      <c r="K224" s="9">
        <f ca="1">Tabla1[[#This Row],[ Valor calibración]]*1.19</f>
        <v>0</v>
      </c>
      <c r="L224" s="8" t="s">
        <v>65</v>
      </c>
      <c r="M224" s="16">
        <v>45030</v>
      </c>
      <c r="N224" s="8" t="s">
        <v>74</v>
      </c>
      <c r="O224" s="8">
        <v>59800</v>
      </c>
      <c r="P224" s="9">
        <f ca="1">VLOOKUP(Tabla1[[#This Row],[Nombre Equipo]],INDIRECT(Tabla1[[#This Row],[Proveedor prev.]]),2,FALSE)</f>
        <v>45000</v>
      </c>
      <c r="Q224" s="9">
        <f ca="1">Tabla1[[#This Row],[Valor prev.]]*1.19</f>
        <v>53550</v>
      </c>
    </row>
    <row r="225" spans="1:17" x14ac:dyDescent="0.3">
      <c r="A225" s="8" t="s">
        <v>30</v>
      </c>
      <c r="B225" s="8" t="str">
        <f>IFERROR(VLOOKUP(Tabla1[[#This Row],[Sede ]],Tabla2[[#All],[Sede]:[Departamento]],2,FALSE),"")</f>
        <v>Medellín</v>
      </c>
      <c r="C225" s="8" t="str">
        <f>IFERROR(VLOOKUP(Tabla1[[#This Row],[Sede ]],Tabla2[[#All],[Sede]:[Departamento]],3,FALSE),"")</f>
        <v>Antioquia</v>
      </c>
      <c r="D225" s="8" t="s">
        <v>114</v>
      </c>
      <c r="E225" s="13" t="s">
        <v>481</v>
      </c>
      <c r="F225" s="16" t="s">
        <v>492</v>
      </c>
      <c r="G225" s="8" t="s">
        <v>492</v>
      </c>
      <c r="H225" s="8" t="s">
        <v>492</v>
      </c>
      <c r="I225" s="8" t="s">
        <v>492</v>
      </c>
      <c r="J225" s="9">
        <f ca="1">VLOOKUP(Tabla1[[#This Row],[Nombre Equipo]],INDIRECT(Tabla1[[#This Row],[Proveedor calib.]]),2,FALSE)</f>
        <v>0</v>
      </c>
      <c r="K225" s="9">
        <f ca="1">Tabla1[[#This Row],[ Valor calibración]]*1.19</f>
        <v>0</v>
      </c>
      <c r="L225" s="8" t="s">
        <v>65</v>
      </c>
      <c r="M225" s="16">
        <v>45030</v>
      </c>
      <c r="N225" s="8" t="s">
        <v>74</v>
      </c>
      <c r="O225" s="8">
        <v>59801</v>
      </c>
      <c r="P225" s="9">
        <f ca="1">VLOOKUP(Tabla1[[#This Row],[Nombre Equipo]],INDIRECT(Tabla1[[#This Row],[Proveedor prev.]]),2,FALSE)</f>
        <v>45000</v>
      </c>
      <c r="Q225" s="9">
        <f ca="1">Tabla1[[#This Row],[Valor prev.]]*1.19</f>
        <v>53550</v>
      </c>
    </row>
    <row r="226" spans="1:17" x14ac:dyDescent="0.3">
      <c r="A226" s="8" t="s">
        <v>36</v>
      </c>
      <c r="B226" s="8" t="str">
        <f>IFERROR(VLOOKUP(Tabla1[[#This Row],[Sede ]],Tabla2[[#All],[Sede]:[Departamento]],2,FALSE),"")</f>
        <v>Bello</v>
      </c>
      <c r="C226" s="8" t="str">
        <f>IFERROR(VLOOKUP(Tabla1[[#This Row],[Sede ]],Tabla2[[#All],[Sede]:[Departamento]],3,FALSE),"")</f>
        <v>Antioquia</v>
      </c>
      <c r="D226" s="8" t="s">
        <v>118</v>
      </c>
      <c r="E226" s="13" t="s">
        <v>482</v>
      </c>
      <c r="F226" s="16" t="s">
        <v>492</v>
      </c>
      <c r="G226" s="8" t="s">
        <v>492</v>
      </c>
      <c r="H226" s="8" t="s">
        <v>492</v>
      </c>
      <c r="I226" s="8" t="s">
        <v>492</v>
      </c>
      <c r="J226" s="9">
        <f ca="1">VLOOKUP(Tabla1[[#This Row],[Nombre Equipo]],INDIRECT(Tabla1[[#This Row],[Proveedor calib.]]),2,FALSE)</f>
        <v>0</v>
      </c>
      <c r="K226" s="9">
        <f ca="1">Tabla1[[#This Row],[ Valor calibración]]*1.19</f>
        <v>0</v>
      </c>
      <c r="L226" s="8" t="s">
        <v>65</v>
      </c>
      <c r="M226" s="16">
        <v>45030</v>
      </c>
      <c r="N226" s="8" t="s">
        <v>74</v>
      </c>
      <c r="O226" s="8">
        <v>59802</v>
      </c>
      <c r="P226" s="9">
        <f ca="1">VLOOKUP(Tabla1[[#This Row],[Nombre Equipo]],INDIRECT(Tabla1[[#This Row],[Proveedor prev.]]),2,FALSE)</f>
        <v>45000</v>
      </c>
      <c r="Q226" s="9">
        <f ca="1">Tabla1[[#This Row],[Valor prev.]]*1.19</f>
        <v>53550</v>
      </c>
    </row>
    <row r="227" spans="1:17" x14ac:dyDescent="0.3">
      <c r="A227" s="8" t="s">
        <v>30</v>
      </c>
      <c r="B227" s="8" t="str">
        <f>IFERROR(VLOOKUP(Tabla1[[#This Row],[Sede ]],Tabla2[[#All],[Sede]:[Departamento]],2,FALSE),"")</f>
        <v>Medellín</v>
      </c>
      <c r="C227" s="8" t="str">
        <f>IFERROR(VLOOKUP(Tabla1[[#This Row],[Sede ]],Tabla2[[#All],[Sede]:[Departamento]],3,FALSE),"")</f>
        <v>Antioquia</v>
      </c>
      <c r="D227" s="8" t="s">
        <v>118</v>
      </c>
      <c r="E227" s="13" t="s">
        <v>483</v>
      </c>
      <c r="F227" s="16" t="s">
        <v>492</v>
      </c>
      <c r="G227" s="8" t="s">
        <v>492</v>
      </c>
      <c r="H227" s="8" t="s">
        <v>492</v>
      </c>
      <c r="I227" s="8" t="s">
        <v>492</v>
      </c>
      <c r="J227" s="9">
        <f ca="1">VLOOKUP(Tabla1[[#This Row],[Nombre Equipo]],INDIRECT(Tabla1[[#This Row],[Proveedor calib.]]),2,FALSE)</f>
        <v>0</v>
      </c>
      <c r="K227" s="9">
        <f ca="1">Tabla1[[#This Row],[ Valor calibración]]*1.19</f>
        <v>0</v>
      </c>
      <c r="L227" s="8" t="s">
        <v>65</v>
      </c>
      <c r="M227" s="16">
        <v>45030</v>
      </c>
      <c r="N227" s="8" t="s">
        <v>74</v>
      </c>
      <c r="O227" s="8">
        <v>59806</v>
      </c>
      <c r="P227" s="9">
        <f ca="1">VLOOKUP(Tabla1[[#This Row],[Nombre Equipo]],INDIRECT(Tabla1[[#This Row],[Proveedor prev.]]),2,FALSE)</f>
        <v>45000</v>
      </c>
      <c r="Q227" s="9">
        <f ca="1">Tabla1[[#This Row],[Valor prev.]]*1.19</f>
        <v>53550</v>
      </c>
    </row>
    <row r="228" spans="1:17" x14ac:dyDescent="0.3">
      <c r="A228" s="8" t="s">
        <v>30</v>
      </c>
      <c r="B228" s="8" t="str">
        <f>IFERROR(VLOOKUP(Tabla1[[#This Row],[Sede ]],Tabla2[[#All],[Sede]:[Departamento]],2,FALSE),"")</f>
        <v>Medellín</v>
      </c>
      <c r="C228" s="8" t="str">
        <f>IFERROR(VLOOKUP(Tabla1[[#This Row],[Sede ]],Tabla2[[#All],[Sede]:[Departamento]],3,FALSE),"")</f>
        <v>Antioquia</v>
      </c>
      <c r="D228" s="8" t="s">
        <v>149</v>
      </c>
      <c r="E228" s="13" t="s">
        <v>484</v>
      </c>
      <c r="F228" s="16" t="s">
        <v>492</v>
      </c>
      <c r="G228" s="8" t="s">
        <v>492</v>
      </c>
      <c r="H228" s="8" t="s">
        <v>492</v>
      </c>
      <c r="I228" s="8" t="s">
        <v>492</v>
      </c>
      <c r="J228" s="9">
        <f ca="1">VLOOKUP(Tabla1[[#This Row],[Nombre Equipo]],INDIRECT(Tabla1[[#This Row],[Proveedor calib.]]),2,FALSE)</f>
        <v>0</v>
      </c>
      <c r="K228" s="9">
        <f ca="1">Tabla1[[#This Row],[ Valor calibración]]*1.19</f>
        <v>0</v>
      </c>
      <c r="L228" s="8" t="s">
        <v>65</v>
      </c>
      <c r="M228" s="16">
        <v>45030</v>
      </c>
      <c r="N228" s="8" t="s">
        <v>74</v>
      </c>
      <c r="O228" s="8">
        <v>59809</v>
      </c>
      <c r="P228" s="9">
        <f ca="1">VLOOKUP(Tabla1[[#This Row],[Nombre Equipo]],INDIRECT(Tabla1[[#This Row],[Proveedor prev.]]),2,FALSE)</f>
        <v>45000</v>
      </c>
      <c r="Q228" s="9">
        <f ca="1">Tabla1[[#This Row],[Valor prev.]]*1.19</f>
        <v>53550</v>
      </c>
    </row>
    <row r="229" spans="1:17" x14ac:dyDescent="0.3">
      <c r="A229" s="8" t="s">
        <v>30</v>
      </c>
      <c r="B229" s="8" t="str">
        <f>IFERROR(VLOOKUP(Tabla1[[#This Row],[Sede ]],Tabla2[[#All],[Sede]:[Departamento]],2,FALSE),"")</f>
        <v>Medellín</v>
      </c>
      <c r="C229" s="8" t="str">
        <f>IFERROR(VLOOKUP(Tabla1[[#This Row],[Sede ]],Tabla2[[#All],[Sede]:[Departamento]],3,FALSE),"")</f>
        <v>Antioquia</v>
      </c>
      <c r="D229" s="8" t="s">
        <v>155</v>
      </c>
      <c r="E229" s="13" t="s">
        <v>148</v>
      </c>
      <c r="F229" s="16" t="s">
        <v>492</v>
      </c>
      <c r="G229" s="8" t="s">
        <v>492</v>
      </c>
      <c r="H229" s="8" t="s">
        <v>492</v>
      </c>
      <c r="I229" s="8" t="s">
        <v>492</v>
      </c>
      <c r="J229" s="9">
        <f ca="1">VLOOKUP(Tabla1[[#This Row],[Nombre Equipo]],INDIRECT(Tabla1[[#This Row],[Proveedor calib.]]),2,FALSE)</f>
        <v>0</v>
      </c>
      <c r="K229" s="9">
        <f ca="1">Tabla1[[#This Row],[ Valor calibración]]*1.19</f>
        <v>0</v>
      </c>
      <c r="L229" s="8" t="s">
        <v>65</v>
      </c>
      <c r="M229" s="16">
        <v>45030</v>
      </c>
      <c r="N229" s="8" t="s">
        <v>74</v>
      </c>
      <c r="O229" s="8">
        <v>59810</v>
      </c>
      <c r="P229" s="9">
        <f ca="1">VLOOKUP(Tabla1[[#This Row],[Nombre Equipo]],INDIRECT(Tabla1[[#This Row],[Proveedor prev.]]),2,FALSE)</f>
        <v>45000</v>
      </c>
      <c r="Q229" s="9">
        <f ca="1">Tabla1[[#This Row],[Valor prev.]]*1.19</f>
        <v>53550</v>
      </c>
    </row>
    <row r="230" spans="1:17" x14ac:dyDescent="0.3">
      <c r="A230" s="8" t="s">
        <v>30</v>
      </c>
      <c r="B230" s="8" t="str">
        <f>IFERROR(VLOOKUP(Tabla1[[#This Row],[Sede ]],Tabla2[[#All],[Sede]:[Departamento]],2,FALSE),"")</f>
        <v>Medellín</v>
      </c>
      <c r="C230" s="8" t="str">
        <f>IFERROR(VLOOKUP(Tabla1[[#This Row],[Sede ]],Tabla2[[#All],[Sede]:[Departamento]],3,FALSE),"")</f>
        <v>Antioquia</v>
      </c>
      <c r="D230" s="8" t="s">
        <v>115</v>
      </c>
      <c r="E230" s="13" t="s">
        <v>485</v>
      </c>
      <c r="F230" s="16" t="s">
        <v>492</v>
      </c>
      <c r="G230" s="8" t="s">
        <v>492</v>
      </c>
      <c r="H230" s="8" t="s">
        <v>492</v>
      </c>
      <c r="I230" s="8" t="s">
        <v>492</v>
      </c>
      <c r="J230" s="9">
        <f ca="1">VLOOKUP(Tabla1[[#This Row],[Nombre Equipo]],INDIRECT(Tabla1[[#This Row],[Proveedor calib.]]),2,FALSE)</f>
        <v>0</v>
      </c>
      <c r="K230" s="9">
        <f ca="1">Tabla1[[#This Row],[ Valor calibración]]*1.19</f>
        <v>0</v>
      </c>
      <c r="L230" s="8" t="s">
        <v>65</v>
      </c>
      <c r="M230" s="16">
        <v>45030</v>
      </c>
      <c r="N230" s="8" t="s">
        <v>74</v>
      </c>
      <c r="O230" s="8">
        <v>59811</v>
      </c>
      <c r="P230" s="9">
        <f ca="1">VLOOKUP(Tabla1[[#This Row],[Nombre Equipo]],INDIRECT(Tabla1[[#This Row],[Proveedor prev.]]),2,FALSE)</f>
        <v>45000</v>
      </c>
      <c r="Q230" s="9">
        <f ca="1">Tabla1[[#This Row],[Valor prev.]]*1.19</f>
        <v>53550</v>
      </c>
    </row>
    <row r="231" spans="1:17" x14ac:dyDescent="0.3">
      <c r="A231" s="8" t="s">
        <v>36</v>
      </c>
      <c r="B231" s="8" t="str">
        <f>IFERROR(VLOOKUP(Tabla1[[#This Row],[Sede ]],Tabla2[[#All],[Sede]:[Departamento]],2,FALSE),"")</f>
        <v>Bello</v>
      </c>
      <c r="C231" s="8" t="str">
        <f>IFERROR(VLOOKUP(Tabla1[[#This Row],[Sede ]],Tabla2[[#All],[Sede]:[Departamento]],3,FALSE),"")</f>
        <v>Antioquia</v>
      </c>
      <c r="D231" s="8" t="s">
        <v>121</v>
      </c>
      <c r="E231" s="13" t="s">
        <v>362</v>
      </c>
      <c r="F231" s="16">
        <v>45035</v>
      </c>
      <c r="G231" s="8" t="s">
        <v>62</v>
      </c>
      <c r="H231" s="8" t="s">
        <v>73</v>
      </c>
      <c r="I231" s="8" t="s">
        <v>361</v>
      </c>
      <c r="J231" s="9">
        <f ca="1">VLOOKUP(Tabla1[[#This Row],[Nombre Equipo]],INDIRECT(Tabla1[[#This Row],[Proveedor calib.]]),2,FALSE)</f>
        <v>25000</v>
      </c>
      <c r="K231" s="9">
        <f ca="1">Tabla1[[#This Row],[ Valor calibración]]*1.19</f>
        <v>29750</v>
      </c>
      <c r="L231" s="8" t="s">
        <v>492</v>
      </c>
      <c r="M231" s="16" t="s">
        <v>492</v>
      </c>
      <c r="N231" s="8" t="s">
        <v>492</v>
      </c>
      <c r="O231" s="8" t="s">
        <v>492</v>
      </c>
      <c r="P231" s="9">
        <f ca="1">VLOOKUP(Tabla1[[#This Row],[Nombre Equipo]],INDIRECT(Tabla1[[#This Row],[Proveedor prev.]]),2,FALSE)</f>
        <v>0</v>
      </c>
      <c r="Q231" s="9">
        <f ca="1">Tabla1[[#This Row],[Valor prev.]]*1.19</f>
        <v>0</v>
      </c>
    </row>
    <row r="232" spans="1:17" x14ac:dyDescent="0.3">
      <c r="A232" s="8" t="s">
        <v>57</v>
      </c>
      <c r="B232" s="8" t="str">
        <f>IFERROR(VLOOKUP(Tabla1[[#This Row],[Sede ]],Tabla2[[#All],[Sede]:[Departamento]],2,FALSE),"")</f>
        <v>Medellín</v>
      </c>
      <c r="C232" s="8" t="str">
        <f>IFERROR(VLOOKUP(Tabla1[[#This Row],[Sede ]],Tabla2[[#All],[Sede]:[Departamento]],3,FALSE),"")</f>
        <v>Antioquia</v>
      </c>
      <c r="D232" s="8" t="s">
        <v>122</v>
      </c>
      <c r="E232" s="13" t="s">
        <v>363</v>
      </c>
      <c r="F232" s="16">
        <v>45054</v>
      </c>
      <c r="G232" s="8" t="s">
        <v>492</v>
      </c>
      <c r="H232" s="8" t="s">
        <v>73</v>
      </c>
      <c r="I232" s="8" t="s">
        <v>364</v>
      </c>
      <c r="J232" s="9">
        <f ca="1">VLOOKUP(Tabla1[[#This Row],[Nombre Equipo]],INDIRECT(Tabla1[[#This Row],[Proveedor calib.]]),2,FALSE)</f>
        <v>81984</v>
      </c>
      <c r="K232" s="9">
        <f ca="1">Tabla1[[#This Row],[ Valor calibración]]*1.19</f>
        <v>97560.959999999992</v>
      </c>
      <c r="L232" s="8" t="s">
        <v>65</v>
      </c>
      <c r="M232" s="16">
        <v>45040</v>
      </c>
      <c r="N232" s="8" t="s">
        <v>74</v>
      </c>
      <c r="O232" s="8">
        <v>59852</v>
      </c>
      <c r="P232" s="9">
        <f ca="1">VLOOKUP(Tabla1[[#This Row],[Nombre Equipo]],INDIRECT(Tabla1[[#This Row],[Proveedor prev.]]),2,FALSE)</f>
        <v>112500</v>
      </c>
      <c r="Q232" s="9">
        <f ca="1">Tabla1[[#This Row],[Valor prev.]]*1.19</f>
        <v>133875</v>
      </c>
    </row>
    <row r="233" spans="1:17" x14ac:dyDescent="0.3">
      <c r="A233" s="8" t="s">
        <v>51</v>
      </c>
      <c r="B233" s="8" t="str">
        <f>IFERROR(VLOOKUP(Tabla1[[#This Row],[Sede ]],Tabla2[[#All],[Sede]:[Departamento]],2,FALSE),"")</f>
        <v>Sabaneta</v>
      </c>
      <c r="C233" s="8" t="str">
        <f>IFERROR(VLOOKUP(Tabla1[[#This Row],[Sede ]],Tabla2[[#All],[Sede]:[Departamento]],3,FALSE),"")</f>
        <v>Antioquia</v>
      </c>
      <c r="D233" s="8" t="s">
        <v>122</v>
      </c>
      <c r="E233" s="13" t="s">
        <v>493</v>
      </c>
      <c r="F233" s="16" t="s">
        <v>492</v>
      </c>
      <c r="G233" s="8" t="s">
        <v>492</v>
      </c>
      <c r="H233" s="8" t="s">
        <v>492</v>
      </c>
      <c r="I233" s="8" t="s">
        <v>492</v>
      </c>
      <c r="J233" s="9">
        <f ca="1">VLOOKUP(Tabla1[[#This Row],[Nombre Equipo]],INDIRECT(Tabla1[[#This Row],[Proveedor calib.]]),2,FALSE)</f>
        <v>0</v>
      </c>
      <c r="K233" s="9">
        <f ca="1">Tabla1[[#This Row],[ Valor calibración]]*1.19</f>
        <v>0</v>
      </c>
      <c r="L233" s="8" t="s">
        <v>65</v>
      </c>
      <c r="M233" s="16">
        <v>45040</v>
      </c>
      <c r="N233" s="8" t="s">
        <v>74</v>
      </c>
      <c r="O233" s="8">
        <v>59849</v>
      </c>
      <c r="P233" s="9">
        <f ca="1">VLOOKUP(Tabla1[[#This Row],[Nombre Equipo]],INDIRECT(Tabla1[[#This Row],[Proveedor prev.]]),2,FALSE)</f>
        <v>112500</v>
      </c>
      <c r="Q233" s="9">
        <f ca="1">Tabla1[[#This Row],[Valor prev.]]*1.19</f>
        <v>133875</v>
      </c>
    </row>
    <row r="234" spans="1:17" x14ac:dyDescent="0.3">
      <c r="A234" s="8" t="s">
        <v>41</v>
      </c>
      <c r="B234" s="8" t="str">
        <f>IFERROR(VLOOKUP(Tabla1[[#This Row],[Sede ]],Tabla2[[#All],[Sede]:[Departamento]],2,FALSE),"")</f>
        <v>Envigado</v>
      </c>
      <c r="C234" s="8" t="str">
        <f>IFERROR(VLOOKUP(Tabla1[[#This Row],[Sede ]],Tabla2[[#All],[Sede]:[Departamento]],3,FALSE),"")</f>
        <v>Antioquia</v>
      </c>
      <c r="D234" s="8" t="s">
        <v>122</v>
      </c>
      <c r="E234" s="13" t="s">
        <v>494</v>
      </c>
      <c r="F234" s="16" t="s">
        <v>492</v>
      </c>
      <c r="G234" s="8" t="s">
        <v>492</v>
      </c>
      <c r="H234" s="8" t="s">
        <v>492</v>
      </c>
      <c r="I234" s="8" t="s">
        <v>492</v>
      </c>
      <c r="J234" s="9">
        <f ca="1">VLOOKUP(Tabla1[[#This Row],[Nombre Equipo]],INDIRECT(Tabla1[[#This Row],[Proveedor calib.]]),2,FALSE)</f>
        <v>0</v>
      </c>
      <c r="K234" s="9">
        <f ca="1">Tabla1[[#This Row],[ Valor calibración]]*1.19</f>
        <v>0</v>
      </c>
      <c r="L234" s="8" t="s">
        <v>65</v>
      </c>
      <c r="M234" s="16">
        <v>45040</v>
      </c>
      <c r="N234" s="8" t="s">
        <v>74</v>
      </c>
      <c r="O234" s="8">
        <v>59850</v>
      </c>
      <c r="P234" s="9">
        <f ca="1">VLOOKUP(Tabla1[[#This Row],[Nombre Equipo]],INDIRECT(Tabla1[[#This Row],[Proveedor prev.]]),2,FALSE)</f>
        <v>112500</v>
      </c>
      <c r="Q234" s="9">
        <f ca="1">Tabla1[[#This Row],[Valor prev.]]*1.19</f>
        <v>133875</v>
      </c>
    </row>
    <row r="235" spans="1:17" x14ac:dyDescent="0.3">
      <c r="A235" s="8" t="s">
        <v>28</v>
      </c>
      <c r="B235" s="8" t="str">
        <f>IFERROR(VLOOKUP(Tabla1[[#This Row],[Sede ]],Tabla2[[#All],[Sede]:[Departamento]],2,FALSE),"")</f>
        <v>Medellín</v>
      </c>
      <c r="C235" s="8" t="str">
        <f>IFERROR(VLOOKUP(Tabla1[[#This Row],[Sede ]],Tabla2[[#All],[Sede]:[Departamento]],3,FALSE),"")</f>
        <v>Antioquia</v>
      </c>
      <c r="D235" s="8" t="s">
        <v>122</v>
      </c>
      <c r="E235" s="13" t="s">
        <v>495</v>
      </c>
      <c r="F235" s="16" t="s">
        <v>492</v>
      </c>
      <c r="G235" s="8" t="s">
        <v>492</v>
      </c>
      <c r="H235" s="8" t="s">
        <v>492</v>
      </c>
      <c r="I235" s="8" t="s">
        <v>492</v>
      </c>
      <c r="J235" s="9">
        <f ca="1">VLOOKUP(Tabla1[[#This Row],[Nombre Equipo]],INDIRECT(Tabla1[[#This Row],[Proveedor calib.]]),2,FALSE)</f>
        <v>0</v>
      </c>
      <c r="K235" s="9">
        <f ca="1">Tabla1[[#This Row],[ Valor calibración]]*1.19</f>
        <v>0</v>
      </c>
      <c r="L235" s="8" t="s">
        <v>65</v>
      </c>
      <c r="M235" s="16">
        <v>45040</v>
      </c>
      <c r="N235" s="8" t="s">
        <v>74</v>
      </c>
      <c r="O235" s="8">
        <v>59851</v>
      </c>
      <c r="P235" s="9">
        <f ca="1">VLOOKUP(Tabla1[[#This Row],[Nombre Equipo]],INDIRECT(Tabla1[[#This Row],[Proveedor prev.]]),2,FALSE)</f>
        <v>112500</v>
      </c>
      <c r="Q235" s="9">
        <f ca="1">Tabla1[[#This Row],[Valor prev.]]*1.19</f>
        <v>133875</v>
      </c>
    </row>
    <row r="236" spans="1:17" x14ac:dyDescent="0.3">
      <c r="A236" s="8" t="s">
        <v>59</v>
      </c>
      <c r="B236" s="8" t="str">
        <f>IFERROR(VLOOKUP(Tabla1[[#This Row],[Sede ]],Tabla2[[#All],[Sede]:[Departamento]],2,FALSE),"")</f>
        <v>Medellin</v>
      </c>
      <c r="C236" s="8" t="str">
        <f>IFERROR(VLOOKUP(Tabla1[[#This Row],[Sede ]],Tabla2[[#All],[Sede]:[Departamento]],3,FALSE),"")</f>
        <v>Antioquia</v>
      </c>
      <c r="D236" s="8" t="s">
        <v>300</v>
      </c>
      <c r="E236" s="13" t="s">
        <v>496</v>
      </c>
      <c r="F236" s="16" t="s">
        <v>492</v>
      </c>
      <c r="G236" s="8" t="s">
        <v>492</v>
      </c>
      <c r="H236" s="8" t="s">
        <v>492</v>
      </c>
      <c r="I236" s="8" t="s">
        <v>492</v>
      </c>
      <c r="J236" s="9">
        <f ca="1">VLOOKUP(Tabla1[[#This Row],[Nombre Equipo]],INDIRECT(Tabla1[[#This Row],[Proveedor calib.]]),2,FALSE)</f>
        <v>0</v>
      </c>
      <c r="K236" s="9">
        <f ca="1">Tabla1[[#This Row],[ Valor calibración]]*1.19</f>
        <v>0</v>
      </c>
      <c r="L236" s="8" t="s">
        <v>65</v>
      </c>
      <c r="M236" s="16">
        <v>45040</v>
      </c>
      <c r="N236" s="8" t="s">
        <v>74</v>
      </c>
      <c r="O236" s="8">
        <v>59853</v>
      </c>
      <c r="P236" s="9">
        <f ca="1">VLOOKUP(Tabla1[[#This Row],[Nombre Equipo]],INDIRECT(Tabla1[[#This Row],[Proveedor prev.]]),2,FALSE)</f>
        <v>100000</v>
      </c>
      <c r="Q236" s="9">
        <f ca="1">Tabla1[[#This Row],[Valor prev.]]*1.19</f>
        <v>119000</v>
      </c>
    </row>
    <row r="237" spans="1:17" x14ac:dyDescent="0.3">
      <c r="A237" s="8" t="s">
        <v>59</v>
      </c>
      <c r="B237" s="8" t="str">
        <f>IFERROR(VLOOKUP(Tabla1[[#This Row],[Sede ]],Tabla2[[#All],[Sede]:[Departamento]],2,FALSE),"")</f>
        <v>Medellin</v>
      </c>
      <c r="C237" s="8" t="str">
        <f>IFERROR(VLOOKUP(Tabla1[[#This Row],[Sede ]],Tabla2[[#All],[Sede]:[Departamento]],3,FALSE),"")</f>
        <v>Antioquia</v>
      </c>
      <c r="D237" s="8" t="s">
        <v>390</v>
      </c>
      <c r="E237" s="13" t="s">
        <v>497</v>
      </c>
      <c r="F237" s="16" t="s">
        <v>492</v>
      </c>
      <c r="G237" s="8" t="s">
        <v>492</v>
      </c>
      <c r="H237" s="8" t="s">
        <v>492</v>
      </c>
      <c r="I237" s="8" t="s">
        <v>492</v>
      </c>
      <c r="J237" s="9">
        <f ca="1">VLOOKUP(Tabla1[[#This Row],[Nombre Equipo]],INDIRECT(Tabla1[[#This Row],[Proveedor calib.]]),2,FALSE)</f>
        <v>0</v>
      </c>
      <c r="K237" s="9">
        <f ca="1">Tabla1[[#This Row],[ Valor calibración]]*1.19</f>
        <v>0</v>
      </c>
      <c r="L237" s="8" t="s">
        <v>65</v>
      </c>
      <c r="M237" s="16">
        <v>45040</v>
      </c>
      <c r="N237" s="8" t="s">
        <v>74</v>
      </c>
      <c r="O237" s="8">
        <v>59854</v>
      </c>
      <c r="P237" s="9">
        <f ca="1">VLOOKUP(Tabla1[[#This Row],[Nombre Equipo]],INDIRECT(Tabla1[[#This Row],[Proveedor prev.]]),2,FALSE)</f>
        <v>40000</v>
      </c>
      <c r="Q237" s="9">
        <f ca="1">Tabla1[[#This Row],[Valor prev.]]*1.19</f>
        <v>47600</v>
      </c>
    </row>
    <row r="238" spans="1:17" x14ac:dyDescent="0.3">
      <c r="A238" s="8" t="s">
        <v>59</v>
      </c>
      <c r="B238" s="8" t="str">
        <f>IFERROR(VLOOKUP(Tabla1[[#This Row],[Sede ]],Tabla2[[#All],[Sede]:[Departamento]],2,FALSE),"")</f>
        <v>Medellin</v>
      </c>
      <c r="C238" s="8" t="str">
        <f>IFERROR(VLOOKUP(Tabla1[[#This Row],[Sede ]],Tabla2[[#All],[Sede]:[Departamento]],3,FALSE),"")</f>
        <v>Antioquia</v>
      </c>
      <c r="D238" s="8" t="s">
        <v>377</v>
      </c>
      <c r="E238" s="13" t="s">
        <v>498</v>
      </c>
      <c r="F238" s="16" t="s">
        <v>492</v>
      </c>
      <c r="G238" s="8" t="s">
        <v>492</v>
      </c>
      <c r="H238" s="8" t="s">
        <v>492</v>
      </c>
      <c r="I238" s="8" t="s">
        <v>492</v>
      </c>
      <c r="J238" s="9">
        <f ca="1">VLOOKUP(Tabla1[[#This Row],[Nombre Equipo]],INDIRECT(Tabla1[[#This Row],[Proveedor calib.]]),2,FALSE)</f>
        <v>0</v>
      </c>
      <c r="K238" s="9">
        <f ca="1">Tabla1[[#This Row],[ Valor calibración]]*1.19</f>
        <v>0</v>
      </c>
      <c r="L238" s="8" t="s">
        <v>65</v>
      </c>
      <c r="M238" s="16">
        <v>45040</v>
      </c>
      <c r="N238" s="8" t="s">
        <v>74</v>
      </c>
      <c r="O238" s="8">
        <v>59857</v>
      </c>
      <c r="P238" s="9">
        <f ca="1">VLOOKUP(Tabla1[[#This Row],[Nombre Equipo]],INDIRECT(Tabla1[[#This Row],[Proveedor prev.]]),2,FALSE)</f>
        <v>100000</v>
      </c>
      <c r="Q238" s="9">
        <f ca="1">Tabla1[[#This Row],[Valor prev.]]*1.19</f>
        <v>119000</v>
      </c>
    </row>
    <row r="239" spans="1:17" x14ac:dyDescent="0.3">
      <c r="A239" s="8" t="s">
        <v>59</v>
      </c>
      <c r="B239" s="8" t="str">
        <f>IFERROR(VLOOKUP(Tabla1[[#This Row],[Sede ]],Tabla2[[#All],[Sede]:[Departamento]],2,FALSE),"")</f>
        <v>Medellin</v>
      </c>
      <c r="C239" s="8" t="str">
        <f>IFERROR(VLOOKUP(Tabla1[[#This Row],[Sede ]],Tabla2[[#All],[Sede]:[Departamento]],3,FALSE),"")</f>
        <v>Antioquia</v>
      </c>
      <c r="D239" s="8" t="s">
        <v>125</v>
      </c>
      <c r="E239" s="13" t="s">
        <v>470</v>
      </c>
      <c r="F239" s="16" t="s">
        <v>492</v>
      </c>
      <c r="G239" s="8" t="s">
        <v>492</v>
      </c>
      <c r="H239" s="8" t="s">
        <v>492</v>
      </c>
      <c r="I239" s="8" t="s">
        <v>492</v>
      </c>
      <c r="J239" s="9">
        <f ca="1">VLOOKUP(Tabla1[[#This Row],[Nombre Equipo]],INDIRECT(Tabla1[[#This Row],[Proveedor calib.]]),2,FALSE)</f>
        <v>0</v>
      </c>
      <c r="K239" s="9">
        <f ca="1">Tabla1[[#This Row],[ Valor calibración]]*1.19</f>
        <v>0</v>
      </c>
      <c r="L239" s="8" t="s">
        <v>65</v>
      </c>
      <c r="M239" s="16">
        <v>45040</v>
      </c>
      <c r="N239" s="8" t="s">
        <v>74</v>
      </c>
      <c r="O239" s="8">
        <v>59858</v>
      </c>
      <c r="P239" s="9">
        <f ca="1">VLOOKUP(Tabla1[[#This Row],[Nombre Equipo]],INDIRECT(Tabla1[[#This Row],[Proveedor prev.]]),2,FALSE)</f>
        <v>100000</v>
      </c>
      <c r="Q239" s="9">
        <f ca="1">Tabla1[[#This Row],[Valor prev.]]*1.19</f>
        <v>119000</v>
      </c>
    </row>
    <row r="240" spans="1:17" x14ac:dyDescent="0.3">
      <c r="A240" s="8" t="s">
        <v>42</v>
      </c>
      <c r="B240" s="8" t="str">
        <f>IFERROR(VLOOKUP(Tabla1[[#This Row],[Sede ]],Tabla2[[#All],[Sede]:[Departamento]],2,FALSE),"")</f>
        <v>Medellín</v>
      </c>
      <c r="C240" s="8" t="str">
        <f>IFERROR(VLOOKUP(Tabla1[[#This Row],[Sede ]],Tabla2[[#All],[Sede]:[Departamento]],3,FALSE),"")</f>
        <v>Antioquia</v>
      </c>
      <c r="D240" s="8" t="s">
        <v>122</v>
      </c>
      <c r="E240" s="13" t="s">
        <v>500</v>
      </c>
      <c r="F240" s="16" t="s">
        <v>492</v>
      </c>
      <c r="G240" s="8" t="s">
        <v>492</v>
      </c>
      <c r="H240" s="8" t="s">
        <v>492</v>
      </c>
      <c r="I240" s="8" t="s">
        <v>492</v>
      </c>
      <c r="J240" s="9">
        <f ca="1">VLOOKUP(Tabla1[[#This Row],[Nombre Equipo]],INDIRECT(Tabla1[[#This Row],[Proveedor calib.]]),2,FALSE)</f>
        <v>0</v>
      </c>
      <c r="K240" s="9">
        <f ca="1">Tabla1[[#This Row],[ Valor calibración]]*1.19</f>
        <v>0</v>
      </c>
      <c r="L240" s="8" t="s">
        <v>65</v>
      </c>
      <c r="M240" s="16">
        <v>45040</v>
      </c>
      <c r="N240" s="8" t="s">
        <v>74</v>
      </c>
      <c r="O240" s="8">
        <v>59859</v>
      </c>
      <c r="P240" s="9">
        <f ca="1">VLOOKUP(Tabla1[[#This Row],[Nombre Equipo]],INDIRECT(Tabla1[[#This Row],[Proveedor prev.]]),2,FALSE)</f>
        <v>112500</v>
      </c>
      <c r="Q240" s="9">
        <f ca="1">Tabla1[[#This Row],[Valor prev.]]*1.19</f>
        <v>133875</v>
      </c>
    </row>
    <row r="241" spans="1:17" x14ac:dyDescent="0.3">
      <c r="A241" s="8" t="s">
        <v>45</v>
      </c>
      <c r="B241" s="8" t="str">
        <f>IFERROR(VLOOKUP(Tabla1[[#This Row],[Sede ]],Tabla2[[#All],[Sede]:[Departamento]],2,FALSE),"")</f>
        <v>Medellín</v>
      </c>
      <c r="C241" s="8" t="str">
        <f>IFERROR(VLOOKUP(Tabla1[[#This Row],[Sede ]],Tabla2[[#All],[Sede]:[Departamento]],3,FALSE),"")</f>
        <v>Antioquia</v>
      </c>
      <c r="D241" s="8" t="s">
        <v>122</v>
      </c>
      <c r="E241" s="13" t="s">
        <v>501</v>
      </c>
      <c r="F241" s="16" t="s">
        <v>492</v>
      </c>
      <c r="G241" s="8" t="s">
        <v>492</v>
      </c>
      <c r="H241" s="8" t="s">
        <v>492</v>
      </c>
      <c r="I241" s="8" t="s">
        <v>492</v>
      </c>
      <c r="J241" s="9">
        <f ca="1">VLOOKUP(Tabla1[[#This Row],[Nombre Equipo]],INDIRECT(Tabla1[[#This Row],[Proveedor calib.]]),2,FALSE)</f>
        <v>0</v>
      </c>
      <c r="K241" s="9">
        <f ca="1">Tabla1[[#This Row],[ Valor calibración]]*1.19</f>
        <v>0</v>
      </c>
      <c r="L241" s="8" t="s">
        <v>65</v>
      </c>
      <c r="M241" s="16">
        <v>45042</v>
      </c>
      <c r="N241" s="8" t="s">
        <v>74</v>
      </c>
      <c r="O241" s="8">
        <v>59869</v>
      </c>
      <c r="P241" s="9">
        <f ca="1">VLOOKUP(Tabla1[[#This Row],[Nombre Equipo]],INDIRECT(Tabla1[[#This Row],[Proveedor prev.]]),2,FALSE)</f>
        <v>112500</v>
      </c>
      <c r="Q241" s="9">
        <f ca="1">Tabla1[[#This Row],[Valor prev.]]*1.19</f>
        <v>133875</v>
      </c>
    </row>
    <row r="242" spans="1:17" x14ac:dyDescent="0.3">
      <c r="A242" s="8" t="s">
        <v>45</v>
      </c>
      <c r="B242" s="8" t="str">
        <f>IFERROR(VLOOKUP(Tabla1[[#This Row],[Sede ]],Tabla2[[#All],[Sede]:[Departamento]],2,FALSE),"")</f>
        <v>Medellín</v>
      </c>
      <c r="C242" s="8" t="str">
        <f>IFERROR(VLOOKUP(Tabla1[[#This Row],[Sede ]],Tabla2[[#All],[Sede]:[Departamento]],3,FALSE),"")</f>
        <v>Antioquia</v>
      </c>
      <c r="D242" s="8" t="s">
        <v>122</v>
      </c>
      <c r="E242" s="13" t="s">
        <v>502</v>
      </c>
      <c r="F242" s="16" t="s">
        <v>492</v>
      </c>
      <c r="G242" s="8" t="s">
        <v>492</v>
      </c>
      <c r="H242" s="8" t="s">
        <v>492</v>
      </c>
      <c r="I242" s="8" t="s">
        <v>492</v>
      </c>
      <c r="J242" s="9">
        <f ca="1">VLOOKUP(Tabla1[[#This Row],[Nombre Equipo]],INDIRECT(Tabla1[[#This Row],[Proveedor calib.]]),2,FALSE)</f>
        <v>0</v>
      </c>
      <c r="K242" s="9">
        <f ca="1">Tabla1[[#This Row],[ Valor calibración]]*1.19</f>
        <v>0</v>
      </c>
      <c r="L242" s="8" t="s">
        <v>65</v>
      </c>
      <c r="M242" s="16">
        <v>45042</v>
      </c>
      <c r="N242" s="8" t="s">
        <v>74</v>
      </c>
      <c r="O242" s="8">
        <v>59870</v>
      </c>
      <c r="P242" s="9">
        <f ca="1">VLOOKUP(Tabla1[[#This Row],[Nombre Equipo]],INDIRECT(Tabla1[[#This Row],[Proveedor prev.]]),2,FALSE)</f>
        <v>112500</v>
      </c>
      <c r="Q242" s="9">
        <f ca="1">Tabla1[[#This Row],[Valor prev.]]*1.19</f>
        <v>133875</v>
      </c>
    </row>
    <row r="243" spans="1:17" x14ac:dyDescent="0.3">
      <c r="A243" s="8" t="s">
        <v>55</v>
      </c>
      <c r="B243" s="8" t="str">
        <f>IFERROR(VLOOKUP(Tabla1[[#This Row],[Sede ]],Tabla2[[#All],[Sede]:[Departamento]],2,FALSE),"")</f>
        <v>Medellín</v>
      </c>
      <c r="C243" s="8" t="str">
        <f>IFERROR(VLOOKUP(Tabla1[[#This Row],[Sede ]],Tabla2[[#All],[Sede]:[Departamento]],3,FALSE),"")</f>
        <v>Antioquia</v>
      </c>
      <c r="D243" s="8" t="s">
        <v>122</v>
      </c>
      <c r="E243" s="13" t="s">
        <v>503</v>
      </c>
      <c r="F243" s="16" t="s">
        <v>492</v>
      </c>
      <c r="G243" s="8" t="s">
        <v>492</v>
      </c>
      <c r="H243" s="8" t="s">
        <v>492</v>
      </c>
      <c r="I243" s="8" t="s">
        <v>492</v>
      </c>
      <c r="J243" s="9">
        <f ca="1">VLOOKUP(Tabla1[[#This Row],[Nombre Equipo]],INDIRECT(Tabla1[[#This Row],[Proveedor calib.]]),2,FALSE)</f>
        <v>0</v>
      </c>
      <c r="K243" s="9">
        <f ca="1">Tabla1[[#This Row],[ Valor calibración]]*1.19</f>
        <v>0</v>
      </c>
      <c r="L243" s="8" t="s">
        <v>65</v>
      </c>
      <c r="M243" s="16">
        <v>45042</v>
      </c>
      <c r="N243" s="8" t="s">
        <v>74</v>
      </c>
      <c r="O243" s="8">
        <v>59872</v>
      </c>
      <c r="P243" s="9">
        <f ca="1">VLOOKUP(Tabla1[[#This Row],[Nombre Equipo]],INDIRECT(Tabla1[[#This Row],[Proveedor prev.]]),2,FALSE)</f>
        <v>112500</v>
      </c>
      <c r="Q243" s="9">
        <f ca="1">Tabla1[[#This Row],[Valor prev.]]*1.19</f>
        <v>133875</v>
      </c>
    </row>
    <row r="244" spans="1:17" x14ac:dyDescent="0.3">
      <c r="A244" s="8" t="s">
        <v>55</v>
      </c>
      <c r="B244" s="8" t="str">
        <f>IFERROR(VLOOKUP(Tabla1[[#This Row],[Sede ]],Tabla2[[#All],[Sede]:[Departamento]],2,FALSE),"")</f>
        <v>Medellín</v>
      </c>
      <c r="C244" s="8" t="str">
        <f>IFERROR(VLOOKUP(Tabla1[[#This Row],[Sede ]],Tabla2[[#All],[Sede]:[Departamento]],3,FALSE),"")</f>
        <v>Antioquia</v>
      </c>
      <c r="D244" s="8" t="s">
        <v>122</v>
      </c>
      <c r="E244" s="13" t="s">
        <v>504</v>
      </c>
      <c r="F244" s="16" t="s">
        <v>492</v>
      </c>
      <c r="G244" s="8" t="s">
        <v>492</v>
      </c>
      <c r="H244" s="8" t="s">
        <v>492</v>
      </c>
      <c r="I244" s="8" t="s">
        <v>492</v>
      </c>
      <c r="J244" s="9">
        <f ca="1">VLOOKUP(Tabla1[[#This Row],[Nombre Equipo]],INDIRECT(Tabla1[[#This Row],[Proveedor calib.]]),2,FALSE)</f>
        <v>0</v>
      </c>
      <c r="K244" s="9">
        <f ca="1">Tabla1[[#This Row],[ Valor calibración]]*1.19</f>
        <v>0</v>
      </c>
      <c r="L244" s="8" t="s">
        <v>65</v>
      </c>
      <c r="M244" s="16">
        <v>45042</v>
      </c>
      <c r="N244" s="8" t="s">
        <v>74</v>
      </c>
      <c r="O244" s="8">
        <v>59873</v>
      </c>
      <c r="P244" s="9">
        <f ca="1">VLOOKUP(Tabla1[[#This Row],[Nombre Equipo]],INDIRECT(Tabla1[[#This Row],[Proveedor prev.]]),2,FALSE)</f>
        <v>112500</v>
      </c>
      <c r="Q244" s="9">
        <f ca="1">Tabla1[[#This Row],[Valor prev.]]*1.19</f>
        <v>133875</v>
      </c>
    </row>
    <row r="245" spans="1:17" x14ac:dyDescent="0.3">
      <c r="A245" s="8" t="s">
        <v>55</v>
      </c>
      <c r="B245" s="8" t="str">
        <f>IFERROR(VLOOKUP(Tabla1[[#This Row],[Sede ]],Tabla2[[#All],[Sede]:[Departamento]],2,FALSE),"")</f>
        <v>Medellín</v>
      </c>
      <c r="C245" s="8" t="str">
        <f>IFERROR(VLOOKUP(Tabla1[[#This Row],[Sede ]],Tabla2[[#All],[Sede]:[Departamento]],3,FALSE),"")</f>
        <v>Antioquia</v>
      </c>
      <c r="D245" s="8" t="s">
        <v>122</v>
      </c>
      <c r="E245" s="13" t="s">
        <v>505</v>
      </c>
      <c r="F245" s="16" t="s">
        <v>492</v>
      </c>
      <c r="G245" s="8" t="s">
        <v>492</v>
      </c>
      <c r="H245" s="8" t="s">
        <v>492</v>
      </c>
      <c r="I245" s="8" t="s">
        <v>492</v>
      </c>
      <c r="J245" s="9">
        <f ca="1">VLOOKUP(Tabla1[[#This Row],[Nombre Equipo]],INDIRECT(Tabla1[[#This Row],[Proveedor calib.]]),2,FALSE)</f>
        <v>0</v>
      </c>
      <c r="K245" s="9">
        <f ca="1">Tabla1[[#This Row],[ Valor calibración]]*1.19</f>
        <v>0</v>
      </c>
      <c r="L245" s="8" t="s">
        <v>65</v>
      </c>
      <c r="M245" s="16">
        <v>45042</v>
      </c>
      <c r="N245" s="8" t="s">
        <v>74</v>
      </c>
      <c r="O245" s="8">
        <v>59874</v>
      </c>
      <c r="P245" s="9">
        <f ca="1">VLOOKUP(Tabla1[[#This Row],[Nombre Equipo]],INDIRECT(Tabla1[[#This Row],[Proveedor prev.]]),2,FALSE)</f>
        <v>112500</v>
      </c>
      <c r="Q245" s="9">
        <f ca="1">Tabla1[[#This Row],[Valor prev.]]*1.19</f>
        <v>133875</v>
      </c>
    </row>
    <row r="246" spans="1:17" x14ac:dyDescent="0.3">
      <c r="A246" s="8" t="s">
        <v>55</v>
      </c>
      <c r="B246" s="8" t="str">
        <f>IFERROR(VLOOKUP(Tabla1[[#This Row],[Sede ]],Tabla2[[#All],[Sede]:[Departamento]],2,FALSE),"")</f>
        <v>Medellín</v>
      </c>
      <c r="C246" s="8" t="str">
        <f>IFERROR(VLOOKUP(Tabla1[[#This Row],[Sede ]],Tabla2[[#All],[Sede]:[Departamento]],3,FALSE),"")</f>
        <v>Antioquia</v>
      </c>
      <c r="D246" s="8" t="s">
        <v>122</v>
      </c>
      <c r="E246" s="13" t="s">
        <v>506</v>
      </c>
      <c r="F246" s="16" t="s">
        <v>492</v>
      </c>
      <c r="G246" s="8" t="s">
        <v>492</v>
      </c>
      <c r="H246" s="8" t="s">
        <v>492</v>
      </c>
      <c r="I246" s="8" t="s">
        <v>492</v>
      </c>
      <c r="J246" s="9">
        <f ca="1">VLOOKUP(Tabla1[[#This Row],[Nombre Equipo]],INDIRECT(Tabla1[[#This Row],[Proveedor calib.]]),2,FALSE)</f>
        <v>0</v>
      </c>
      <c r="K246" s="9">
        <f ca="1">Tabla1[[#This Row],[ Valor calibración]]*1.19</f>
        <v>0</v>
      </c>
      <c r="L246" s="8" t="s">
        <v>65</v>
      </c>
      <c r="M246" s="16">
        <v>45042</v>
      </c>
      <c r="N246" s="8" t="s">
        <v>74</v>
      </c>
      <c r="O246" s="8">
        <v>59875</v>
      </c>
      <c r="P246" s="9">
        <f ca="1">VLOOKUP(Tabla1[[#This Row],[Nombre Equipo]],INDIRECT(Tabla1[[#This Row],[Proveedor prev.]]),2,FALSE)</f>
        <v>112500</v>
      </c>
      <c r="Q246" s="9">
        <f ca="1">Tabla1[[#This Row],[Valor prev.]]*1.19</f>
        <v>133875</v>
      </c>
    </row>
    <row r="247" spans="1:17" x14ac:dyDescent="0.3">
      <c r="A247" s="8" t="s">
        <v>48</v>
      </c>
      <c r="B247" s="8" t="str">
        <f>IFERROR(VLOOKUP(Tabla1[[#This Row],[Sede ]],Tabla2[[#All],[Sede]:[Departamento]],2,FALSE),"")</f>
        <v>Medellín</v>
      </c>
      <c r="C247" s="8" t="str">
        <f>IFERROR(VLOOKUP(Tabla1[[#This Row],[Sede ]],Tabla2[[#All],[Sede]:[Departamento]],3,FALSE),"")</f>
        <v>Antioquia</v>
      </c>
      <c r="D247" s="8" t="s">
        <v>122</v>
      </c>
      <c r="E247" s="13" t="s">
        <v>507</v>
      </c>
      <c r="F247" s="16" t="s">
        <v>492</v>
      </c>
      <c r="G247" s="8" t="s">
        <v>492</v>
      </c>
      <c r="H247" s="8" t="s">
        <v>492</v>
      </c>
      <c r="I247" s="8" t="s">
        <v>492</v>
      </c>
      <c r="J247" s="9">
        <f ca="1">VLOOKUP(Tabla1[[#This Row],[Nombre Equipo]],INDIRECT(Tabla1[[#This Row],[Proveedor calib.]]),2,FALSE)</f>
        <v>0</v>
      </c>
      <c r="K247" s="9">
        <f ca="1">Tabla1[[#This Row],[ Valor calibración]]*1.19</f>
        <v>0</v>
      </c>
      <c r="L247" s="8" t="s">
        <v>65</v>
      </c>
      <c r="M247" s="16">
        <v>45042</v>
      </c>
      <c r="N247" s="8" t="s">
        <v>74</v>
      </c>
      <c r="O247" s="8">
        <v>59893</v>
      </c>
      <c r="P247" s="9">
        <f ca="1">VLOOKUP(Tabla1[[#This Row],[Nombre Equipo]],INDIRECT(Tabla1[[#This Row],[Proveedor prev.]]),2,FALSE)</f>
        <v>112500</v>
      </c>
      <c r="Q247" s="9">
        <f ca="1">Tabla1[[#This Row],[Valor prev.]]*1.19</f>
        <v>133875</v>
      </c>
    </row>
    <row r="248" spans="1:17" x14ac:dyDescent="0.3">
      <c r="A248" s="8" t="s">
        <v>47</v>
      </c>
      <c r="B248" s="8" t="str">
        <f>IFERROR(VLOOKUP(Tabla1[[#This Row],[Sede ]],Tabla2[[#All],[Sede]:[Departamento]],2,FALSE),"")</f>
        <v>Rionegro</v>
      </c>
      <c r="C248" s="8" t="str">
        <f>IFERROR(VLOOKUP(Tabla1[[#This Row],[Sede ]],Tabla2[[#All],[Sede]:[Departamento]],3,FALSE),"")</f>
        <v>Antioquia</v>
      </c>
      <c r="D248" s="8" t="s">
        <v>122</v>
      </c>
      <c r="E248" s="13" t="s">
        <v>508</v>
      </c>
      <c r="F248" s="16" t="s">
        <v>492</v>
      </c>
      <c r="G248" s="8" t="s">
        <v>492</v>
      </c>
      <c r="H248" s="8" t="s">
        <v>492</v>
      </c>
      <c r="I248" s="8" t="s">
        <v>492</v>
      </c>
      <c r="J248" s="9">
        <f ca="1">VLOOKUP(Tabla1[[#This Row],[Nombre Equipo]],INDIRECT(Tabla1[[#This Row],[Proveedor calib.]]),2,FALSE)</f>
        <v>0</v>
      </c>
      <c r="K248" s="9">
        <f ca="1">Tabla1[[#This Row],[ Valor calibración]]*1.19</f>
        <v>0</v>
      </c>
      <c r="L248" s="8" t="s">
        <v>65</v>
      </c>
      <c r="M248" s="16">
        <v>45043</v>
      </c>
      <c r="N248" s="8" t="s">
        <v>74</v>
      </c>
      <c r="O248" s="8">
        <v>59894</v>
      </c>
      <c r="P248" s="9">
        <f ca="1">VLOOKUP(Tabla1[[#This Row],[Nombre Equipo]],INDIRECT(Tabla1[[#This Row],[Proveedor prev.]]),2,FALSE)</f>
        <v>112500</v>
      </c>
      <c r="Q248" s="9">
        <f ca="1">Tabla1[[#This Row],[Valor prev.]]*1.19</f>
        <v>133875</v>
      </c>
    </row>
    <row r="249" spans="1:17" x14ac:dyDescent="0.3">
      <c r="A249" s="8" t="s">
        <v>52</v>
      </c>
      <c r="B249" s="8" t="str">
        <f>IFERROR(VLOOKUP(Tabla1[[#This Row],[Sede ]],Tabla2[[#All],[Sede]:[Departamento]],2,FALSE),"")</f>
        <v>Medellín</v>
      </c>
      <c r="C249" s="8" t="str">
        <f>IFERROR(VLOOKUP(Tabla1[[#This Row],[Sede ]],Tabla2[[#All],[Sede]:[Departamento]],3,FALSE),"")</f>
        <v>Antioquia</v>
      </c>
      <c r="D249" s="8" t="s">
        <v>122</v>
      </c>
      <c r="E249" s="13" t="s">
        <v>509</v>
      </c>
      <c r="F249" s="16" t="s">
        <v>492</v>
      </c>
      <c r="G249" s="8" t="s">
        <v>492</v>
      </c>
      <c r="H249" s="8" t="s">
        <v>492</v>
      </c>
      <c r="I249" s="8" t="s">
        <v>492</v>
      </c>
      <c r="J249" s="9">
        <f ca="1">VLOOKUP(Tabla1[[#This Row],[Nombre Equipo]],INDIRECT(Tabla1[[#This Row],[Proveedor calib.]]),2,FALSE)</f>
        <v>0</v>
      </c>
      <c r="K249" s="9">
        <f ca="1">Tabla1[[#This Row],[ Valor calibración]]*1.19</f>
        <v>0</v>
      </c>
      <c r="L249" s="8" t="s">
        <v>65</v>
      </c>
      <c r="M249" s="16">
        <v>45043</v>
      </c>
      <c r="N249" s="8" t="s">
        <v>74</v>
      </c>
      <c r="O249" s="8">
        <v>59895</v>
      </c>
      <c r="P249" s="9">
        <f ca="1">VLOOKUP(Tabla1[[#This Row],[Nombre Equipo]],INDIRECT(Tabla1[[#This Row],[Proveedor prev.]]),2,FALSE)</f>
        <v>112500</v>
      </c>
      <c r="Q249" s="9">
        <f ca="1">Tabla1[[#This Row],[Valor prev.]]*1.19</f>
        <v>133875</v>
      </c>
    </row>
    <row r="250" spans="1:17" x14ac:dyDescent="0.3">
      <c r="A250" s="8" t="s">
        <v>30</v>
      </c>
      <c r="B250" s="8" t="str">
        <f>IFERROR(VLOOKUP(Tabla1[[#This Row],[Sede ]],Tabla2[[#All],[Sede]:[Departamento]],2,FALSE),"")</f>
        <v>Medellín</v>
      </c>
      <c r="C250" s="8" t="str">
        <f>IFERROR(VLOOKUP(Tabla1[[#This Row],[Sede ]],Tabla2[[#All],[Sede]:[Departamento]],3,FALSE),"")</f>
        <v>Antioquia</v>
      </c>
      <c r="D250" s="8" t="s">
        <v>156</v>
      </c>
      <c r="E250" s="13" t="s">
        <v>511</v>
      </c>
      <c r="F250" s="16" t="s">
        <v>492</v>
      </c>
      <c r="G250" s="8" t="s">
        <v>492</v>
      </c>
      <c r="H250" s="8" t="s">
        <v>492</v>
      </c>
      <c r="I250" s="8" t="s">
        <v>492</v>
      </c>
      <c r="J250" s="9">
        <f ca="1">VLOOKUP(Tabla1[[#This Row],[Nombre Equipo]],INDIRECT(Tabla1[[#This Row],[Proveedor calib.]]),2,FALSE)</f>
        <v>0</v>
      </c>
      <c r="K250" s="9">
        <f ca="1">Tabla1[[#This Row],[ Valor calibración]]*1.19</f>
        <v>0</v>
      </c>
      <c r="L250" s="8" t="s">
        <v>65</v>
      </c>
      <c r="M250" s="16">
        <v>45045</v>
      </c>
      <c r="N250" s="8" t="s">
        <v>74</v>
      </c>
      <c r="O250" s="8">
        <v>59899</v>
      </c>
      <c r="P250" s="9">
        <f ca="1">VLOOKUP(Tabla1[[#This Row],[Nombre Equipo]],INDIRECT(Tabla1[[#This Row],[Proveedor prev.]]),2,FALSE)</f>
        <v>45000</v>
      </c>
      <c r="Q250" s="9">
        <f ca="1">Tabla1[[#This Row],[Valor prev.]]*1.19</f>
        <v>53550</v>
      </c>
    </row>
    <row r="251" spans="1:17" x14ac:dyDescent="0.3">
      <c r="A251" s="8" t="s">
        <v>30</v>
      </c>
      <c r="B251" s="8" t="str">
        <f>IFERROR(VLOOKUP(Tabla1[[#This Row],[Sede ]],Tabla2[[#All],[Sede]:[Departamento]],2,FALSE),"")</f>
        <v>Medellín</v>
      </c>
      <c r="C251" s="8" t="str">
        <f>IFERROR(VLOOKUP(Tabla1[[#This Row],[Sede ]],Tabla2[[#All],[Sede]:[Departamento]],3,FALSE),"")</f>
        <v>Antioquia</v>
      </c>
      <c r="D251" s="8" t="s">
        <v>115</v>
      </c>
      <c r="E251" s="13" t="s">
        <v>512</v>
      </c>
      <c r="F251" s="16" t="s">
        <v>492</v>
      </c>
      <c r="G251" s="8" t="s">
        <v>492</v>
      </c>
      <c r="H251" s="8" t="s">
        <v>492</v>
      </c>
      <c r="I251" s="8" t="s">
        <v>492</v>
      </c>
      <c r="J251" s="9">
        <f ca="1">VLOOKUP(Tabla1[[#This Row],[Nombre Equipo]],INDIRECT(Tabla1[[#This Row],[Proveedor calib.]]),2,FALSE)</f>
        <v>0</v>
      </c>
      <c r="K251" s="9">
        <f ca="1">Tabla1[[#This Row],[ Valor calibración]]*1.19</f>
        <v>0</v>
      </c>
      <c r="L251" s="8" t="s">
        <v>65</v>
      </c>
      <c r="M251" s="16">
        <v>45047</v>
      </c>
      <c r="N251" s="8" t="s">
        <v>74</v>
      </c>
      <c r="O251" s="8">
        <v>59900</v>
      </c>
      <c r="P251" s="9">
        <f ca="1">VLOOKUP(Tabla1[[#This Row],[Nombre Equipo]],INDIRECT(Tabla1[[#This Row],[Proveedor prev.]]),2,FALSE)</f>
        <v>45000</v>
      </c>
      <c r="Q251" s="9">
        <f ca="1">Tabla1[[#This Row],[Valor prev.]]*1.19</f>
        <v>53550</v>
      </c>
    </row>
    <row r="252" spans="1:17" x14ac:dyDescent="0.3">
      <c r="A252" s="8" t="s">
        <v>30</v>
      </c>
      <c r="B252" s="8" t="str">
        <f>IFERROR(VLOOKUP(Tabla1[[#This Row],[Sede ]],Tabla2[[#All],[Sede]:[Departamento]],2,FALSE),"")</f>
        <v>Medellín</v>
      </c>
      <c r="C252" s="8" t="str">
        <f>IFERROR(VLOOKUP(Tabla1[[#This Row],[Sede ]],Tabla2[[#All],[Sede]:[Departamento]],3,FALSE),"")</f>
        <v>Antioquia</v>
      </c>
      <c r="D252" s="8" t="s">
        <v>115</v>
      </c>
      <c r="E252" s="13" t="s">
        <v>513</v>
      </c>
      <c r="F252" s="16" t="s">
        <v>492</v>
      </c>
      <c r="G252" s="8" t="s">
        <v>492</v>
      </c>
      <c r="H252" s="8" t="s">
        <v>492</v>
      </c>
      <c r="I252" s="8" t="s">
        <v>492</v>
      </c>
      <c r="J252" s="9">
        <f ca="1">VLOOKUP(Tabla1[[#This Row],[Nombre Equipo]],INDIRECT(Tabla1[[#This Row],[Proveedor calib.]]),2,FALSE)</f>
        <v>0</v>
      </c>
      <c r="K252" s="9">
        <f ca="1">Tabla1[[#This Row],[ Valor calibración]]*1.19</f>
        <v>0</v>
      </c>
      <c r="L252" s="8" t="s">
        <v>65</v>
      </c>
      <c r="M252" s="16">
        <v>45049</v>
      </c>
      <c r="N252" s="8" t="s">
        <v>74</v>
      </c>
      <c r="O252" s="8">
        <v>59901</v>
      </c>
      <c r="P252" s="9">
        <f ca="1">VLOOKUP(Tabla1[[#This Row],[Nombre Equipo]],INDIRECT(Tabla1[[#This Row],[Proveedor prev.]]),2,FALSE)</f>
        <v>45000</v>
      </c>
      <c r="Q252" s="9">
        <f ca="1">Tabla1[[#This Row],[Valor prev.]]*1.19</f>
        <v>53550</v>
      </c>
    </row>
    <row r="253" spans="1:17" x14ac:dyDescent="0.3">
      <c r="A253" s="8" t="s">
        <v>30</v>
      </c>
      <c r="B253" s="8" t="str">
        <f>IFERROR(VLOOKUP(Tabla1[[#This Row],[Sede ]],Tabla2[[#All],[Sede]:[Departamento]],2,FALSE),"")</f>
        <v>Medellín</v>
      </c>
      <c r="C253" s="8" t="str">
        <f>IFERROR(VLOOKUP(Tabla1[[#This Row],[Sede ]],Tabla2[[#All],[Sede]:[Departamento]],3,FALSE),"")</f>
        <v>Antioquia</v>
      </c>
      <c r="D253" s="8" t="s">
        <v>115</v>
      </c>
      <c r="E253" s="13" t="s">
        <v>514</v>
      </c>
      <c r="F253" s="16" t="s">
        <v>492</v>
      </c>
      <c r="G253" s="8" t="s">
        <v>492</v>
      </c>
      <c r="H253" s="8" t="s">
        <v>492</v>
      </c>
      <c r="I253" s="8" t="s">
        <v>492</v>
      </c>
      <c r="J253" s="9">
        <f ca="1">VLOOKUP(Tabla1[[#This Row],[Nombre Equipo]],INDIRECT(Tabla1[[#This Row],[Proveedor calib.]]),2,FALSE)</f>
        <v>0</v>
      </c>
      <c r="K253" s="9">
        <f ca="1">Tabla1[[#This Row],[ Valor calibración]]*1.19</f>
        <v>0</v>
      </c>
      <c r="L253" s="8" t="s">
        <v>65</v>
      </c>
      <c r="M253" s="16">
        <v>45045</v>
      </c>
      <c r="N253" s="8" t="s">
        <v>74</v>
      </c>
      <c r="O253" s="8">
        <v>59903</v>
      </c>
      <c r="P253" s="9">
        <f ca="1">VLOOKUP(Tabla1[[#This Row],[Nombre Equipo]],INDIRECT(Tabla1[[#This Row],[Proveedor prev.]]),2,FALSE)</f>
        <v>45000</v>
      </c>
      <c r="Q253" s="9">
        <f ca="1">Tabla1[[#This Row],[Valor prev.]]*1.19</f>
        <v>53550</v>
      </c>
    </row>
    <row r="254" spans="1:17" x14ac:dyDescent="0.3">
      <c r="A254" s="8" t="s">
        <v>30</v>
      </c>
      <c r="B254" s="8" t="str">
        <f>IFERROR(VLOOKUP(Tabla1[[#This Row],[Sede ]],Tabla2[[#All],[Sede]:[Departamento]],2,FALSE),"")</f>
        <v>Medellín</v>
      </c>
      <c r="C254" s="8" t="str">
        <f>IFERROR(VLOOKUP(Tabla1[[#This Row],[Sede ]],Tabla2[[#All],[Sede]:[Departamento]],3,FALSE),"")</f>
        <v>Antioquia</v>
      </c>
      <c r="D254" s="8" t="s">
        <v>115</v>
      </c>
      <c r="E254" s="13" t="s">
        <v>515</v>
      </c>
      <c r="F254" s="16" t="s">
        <v>492</v>
      </c>
      <c r="G254" s="8" t="s">
        <v>492</v>
      </c>
      <c r="H254" s="8" t="s">
        <v>492</v>
      </c>
      <c r="I254" s="8" t="s">
        <v>492</v>
      </c>
      <c r="J254" s="9">
        <f ca="1">VLOOKUP(Tabla1[[#This Row],[Nombre Equipo]],INDIRECT(Tabla1[[#This Row],[Proveedor calib.]]),2,FALSE)</f>
        <v>0</v>
      </c>
      <c r="K254" s="9">
        <f ca="1">Tabla1[[#This Row],[ Valor calibración]]*1.19</f>
        <v>0</v>
      </c>
      <c r="L254" s="8" t="s">
        <v>65</v>
      </c>
      <c r="M254" s="16">
        <v>45045</v>
      </c>
      <c r="N254" s="8" t="s">
        <v>74</v>
      </c>
      <c r="O254" s="8">
        <v>59904</v>
      </c>
      <c r="P254" s="9">
        <f ca="1">VLOOKUP(Tabla1[[#This Row],[Nombre Equipo]],INDIRECT(Tabla1[[#This Row],[Proveedor prev.]]),2,FALSE)</f>
        <v>45000</v>
      </c>
      <c r="Q254" s="9">
        <f ca="1">Tabla1[[#This Row],[Valor prev.]]*1.19</f>
        <v>53550</v>
      </c>
    </row>
    <row r="255" spans="1:17" x14ac:dyDescent="0.3">
      <c r="A255" s="8" t="s">
        <v>30</v>
      </c>
      <c r="B255" s="8" t="str">
        <f>IFERROR(VLOOKUP(Tabla1[[#This Row],[Sede ]],Tabla2[[#All],[Sede]:[Departamento]],2,FALSE),"")</f>
        <v>Medellín</v>
      </c>
      <c r="C255" s="8" t="str">
        <f>IFERROR(VLOOKUP(Tabla1[[#This Row],[Sede ]],Tabla2[[#All],[Sede]:[Departamento]],3,FALSE),"")</f>
        <v>Antioquia</v>
      </c>
      <c r="D255" s="8" t="s">
        <v>118</v>
      </c>
      <c r="E255" s="13" t="s">
        <v>516</v>
      </c>
      <c r="F255" s="16" t="s">
        <v>492</v>
      </c>
      <c r="G255" s="8" t="s">
        <v>492</v>
      </c>
      <c r="H255" s="8" t="s">
        <v>492</v>
      </c>
      <c r="I255" s="8" t="s">
        <v>492</v>
      </c>
      <c r="J255" s="9">
        <f ca="1">VLOOKUP(Tabla1[[#This Row],[Nombre Equipo]],INDIRECT(Tabla1[[#This Row],[Proveedor calib.]]),2,FALSE)</f>
        <v>0</v>
      </c>
      <c r="K255" s="9">
        <f ca="1">Tabla1[[#This Row],[ Valor calibración]]*1.19</f>
        <v>0</v>
      </c>
      <c r="L255" s="8" t="s">
        <v>65</v>
      </c>
      <c r="M255" s="16">
        <v>45045</v>
      </c>
      <c r="N255" s="8" t="s">
        <v>74</v>
      </c>
      <c r="O255" s="8">
        <v>59905</v>
      </c>
      <c r="P255" s="9">
        <f ca="1">VLOOKUP(Tabla1[[#This Row],[Nombre Equipo]],INDIRECT(Tabla1[[#This Row],[Proveedor prev.]]),2,FALSE)</f>
        <v>45000</v>
      </c>
      <c r="Q255" s="9">
        <f ca="1">Tabla1[[#This Row],[Valor prev.]]*1.19</f>
        <v>53550</v>
      </c>
    </row>
    <row r="256" spans="1:17" x14ac:dyDescent="0.3">
      <c r="A256" s="8" t="s">
        <v>30</v>
      </c>
      <c r="B256" s="8" t="str">
        <f>IFERROR(VLOOKUP(Tabla1[[#This Row],[Sede ]],Tabla2[[#All],[Sede]:[Departamento]],2,FALSE),"")</f>
        <v>Medellín</v>
      </c>
      <c r="C256" s="8" t="str">
        <f>IFERROR(VLOOKUP(Tabla1[[#This Row],[Sede ]],Tabla2[[#All],[Sede]:[Departamento]],3,FALSE),"")</f>
        <v>Antioquia</v>
      </c>
      <c r="D256" s="8" t="s">
        <v>155</v>
      </c>
      <c r="E256" s="13" t="s">
        <v>517</v>
      </c>
      <c r="F256" s="16" t="s">
        <v>492</v>
      </c>
      <c r="G256" s="8" t="s">
        <v>492</v>
      </c>
      <c r="H256" s="8" t="s">
        <v>492</v>
      </c>
      <c r="I256" s="8" t="s">
        <v>492</v>
      </c>
      <c r="J256" s="9">
        <f ca="1">VLOOKUP(Tabla1[[#This Row],[Nombre Equipo]],INDIRECT(Tabla1[[#This Row],[Proveedor calib.]]),2,FALSE)</f>
        <v>0</v>
      </c>
      <c r="K256" s="9">
        <f ca="1">Tabla1[[#This Row],[ Valor calibración]]*1.19</f>
        <v>0</v>
      </c>
      <c r="L256" s="8" t="s">
        <v>65</v>
      </c>
      <c r="M256" s="16">
        <v>45045</v>
      </c>
      <c r="N256" s="8" t="s">
        <v>74</v>
      </c>
      <c r="O256" s="8">
        <v>59906</v>
      </c>
      <c r="P256" s="9">
        <f ca="1">VLOOKUP(Tabla1[[#This Row],[Nombre Equipo]],INDIRECT(Tabla1[[#This Row],[Proveedor prev.]]),2,FALSE)</f>
        <v>45000</v>
      </c>
      <c r="Q256" s="9">
        <f ca="1">Tabla1[[#This Row],[Valor prev.]]*1.19</f>
        <v>53550</v>
      </c>
    </row>
    <row r="257" spans="1:17" x14ac:dyDescent="0.3">
      <c r="A257" s="8" t="s">
        <v>43</v>
      </c>
      <c r="B257" s="8" t="str">
        <f>IFERROR(VLOOKUP(Tabla1[[#This Row],[Sede ]],Tabla2[[#All],[Sede]:[Departamento]],2,FALSE),"")</f>
        <v>Caldas</v>
      </c>
      <c r="C257" s="8" t="str">
        <f>IFERROR(VLOOKUP(Tabla1[[#This Row],[Sede ]],Tabla2[[#All],[Sede]:[Departamento]],3,FALSE),"")</f>
        <v>Antioquia</v>
      </c>
      <c r="D257" s="8" t="s">
        <v>155</v>
      </c>
      <c r="E257" s="13" t="s">
        <v>518</v>
      </c>
      <c r="F257" s="16" t="s">
        <v>492</v>
      </c>
      <c r="G257" s="8" t="s">
        <v>492</v>
      </c>
      <c r="H257" s="8" t="s">
        <v>492</v>
      </c>
      <c r="I257" s="8" t="s">
        <v>492</v>
      </c>
      <c r="J257" s="9">
        <f ca="1">VLOOKUP(Tabla1[[#This Row],[Nombre Equipo]],INDIRECT(Tabla1[[#This Row],[Proveedor calib.]]),2,FALSE)</f>
        <v>0</v>
      </c>
      <c r="K257" s="9">
        <f ca="1">Tabla1[[#This Row],[ Valor calibración]]*1.19</f>
        <v>0</v>
      </c>
      <c r="L257" s="8" t="s">
        <v>65</v>
      </c>
      <c r="M257" s="16">
        <v>45045</v>
      </c>
      <c r="N257" s="8" t="s">
        <v>74</v>
      </c>
      <c r="O257" s="8">
        <v>59907</v>
      </c>
      <c r="P257" s="9">
        <f ca="1">VLOOKUP(Tabla1[[#This Row],[Nombre Equipo]],INDIRECT(Tabla1[[#This Row],[Proveedor prev.]]),2,FALSE)</f>
        <v>45000</v>
      </c>
      <c r="Q257" s="9">
        <f ca="1">Tabla1[[#This Row],[Valor prev.]]*1.19</f>
        <v>53550</v>
      </c>
    </row>
    <row r="258" spans="1:17" x14ac:dyDescent="0.3">
      <c r="A258" s="8" t="s">
        <v>30</v>
      </c>
      <c r="B258" s="8" t="str">
        <f>IFERROR(VLOOKUP(Tabla1[[#This Row],[Sede ]],Tabla2[[#All],[Sede]:[Departamento]],2,FALSE),"")</f>
        <v>Medellín</v>
      </c>
      <c r="C258" s="8" t="str">
        <f>IFERROR(VLOOKUP(Tabla1[[#This Row],[Sede ]],Tabla2[[#All],[Sede]:[Departamento]],3,FALSE),"")</f>
        <v>Antioquia</v>
      </c>
      <c r="D258" s="8" t="s">
        <v>114</v>
      </c>
      <c r="E258" s="13" t="s">
        <v>519</v>
      </c>
      <c r="F258" s="16" t="s">
        <v>492</v>
      </c>
      <c r="G258" s="8" t="s">
        <v>492</v>
      </c>
      <c r="H258" s="8" t="s">
        <v>492</v>
      </c>
      <c r="I258" s="8" t="s">
        <v>492</v>
      </c>
      <c r="J258" s="9">
        <f ca="1">VLOOKUP(Tabla1[[#This Row],[Nombre Equipo]],INDIRECT(Tabla1[[#This Row],[Proveedor calib.]]),2,FALSE)</f>
        <v>0</v>
      </c>
      <c r="K258" s="9">
        <f ca="1">Tabla1[[#This Row],[ Valor calibración]]*1.19</f>
        <v>0</v>
      </c>
      <c r="L258" s="8" t="s">
        <v>65</v>
      </c>
      <c r="M258" s="16">
        <v>45045</v>
      </c>
      <c r="N258" s="8" t="s">
        <v>74</v>
      </c>
      <c r="O258" s="8">
        <v>59908</v>
      </c>
      <c r="P258" s="9">
        <f ca="1">VLOOKUP(Tabla1[[#This Row],[Nombre Equipo]],INDIRECT(Tabla1[[#This Row],[Proveedor prev.]]),2,FALSE)</f>
        <v>45000</v>
      </c>
      <c r="Q258" s="9">
        <f ca="1">Tabla1[[#This Row],[Valor prev.]]*1.19</f>
        <v>53550</v>
      </c>
    </row>
    <row r="259" spans="1:17" x14ac:dyDescent="0.3">
      <c r="A259" s="8" t="s">
        <v>38</v>
      </c>
      <c r="B259" s="8" t="str">
        <f>IFERROR(VLOOKUP(Tabla1[[#This Row],[Sede ]],Tabla2[[#All],[Sede]:[Departamento]],2,FALSE),"")</f>
        <v>Villavicencio</v>
      </c>
      <c r="C259" s="8" t="str">
        <f>IFERROR(VLOOKUP(Tabla1[[#This Row],[Sede ]],Tabla2[[#All],[Sede]:[Departamento]],3,FALSE),"")</f>
        <v>Meta</v>
      </c>
      <c r="D259" s="8" t="s">
        <v>114</v>
      </c>
      <c r="E259" s="13" t="s">
        <v>520</v>
      </c>
      <c r="F259" s="16" t="s">
        <v>492</v>
      </c>
      <c r="G259" s="8" t="s">
        <v>492</v>
      </c>
      <c r="H259" s="8" t="s">
        <v>492</v>
      </c>
      <c r="I259" s="8" t="s">
        <v>492</v>
      </c>
      <c r="J259" s="9">
        <f ca="1">VLOOKUP(Tabla1[[#This Row],[Nombre Equipo]],INDIRECT(Tabla1[[#This Row],[Proveedor calib.]]),2,FALSE)</f>
        <v>0</v>
      </c>
      <c r="K259" s="9">
        <f ca="1">Tabla1[[#This Row],[ Valor calibración]]*1.19</f>
        <v>0</v>
      </c>
      <c r="L259" s="8" t="s">
        <v>65</v>
      </c>
      <c r="M259" s="16">
        <v>45045</v>
      </c>
      <c r="N259" s="8" t="s">
        <v>74</v>
      </c>
      <c r="O259" s="8">
        <v>59909</v>
      </c>
      <c r="P259" s="9">
        <f ca="1">VLOOKUP(Tabla1[[#This Row],[Nombre Equipo]],INDIRECT(Tabla1[[#This Row],[Proveedor prev.]]),2,FALSE)</f>
        <v>45000</v>
      </c>
      <c r="Q259" s="9">
        <f ca="1">Tabla1[[#This Row],[Valor prev.]]*1.19</f>
        <v>53550</v>
      </c>
    </row>
    <row r="260" spans="1:17" x14ac:dyDescent="0.3">
      <c r="A260" s="8" t="s">
        <v>36</v>
      </c>
      <c r="B260" s="8" t="str">
        <f>IFERROR(VLOOKUP(Tabla1[[#This Row],[Sede ]],Tabla2[[#All],[Sede]:[Departamento]],2,FALSE),"")</f>
        <v>Bello</v>
      </c>
      <c r="C260" s="8" t="str">
        <f>IFERROR(VLOOKUP(Tabla1[[#This Row],[Sede ]],Tabla2[[#All],[Sede]:[Departamento]],3,FALSE),"")</f>
        <v>Antioquia</v>
      </c>
      <c r="D260" s="8" t="s">
        <v>125</v>
      </c>
      <c r="E260" s="13" t="s">
        <v>375</v>
      </c>
      <c r="F260" s="16">
        <v>45050</v>
      </c>
      <c r="G260" s="8" t="s">
        <v>492</v>
      </c>
      <c r="H260" s="8" t="s">
        <v>73</v>
      </c>
      <c r="I260" s="8" t="s">
        <v>376</v>
      </c>
      <c r="J260" s="9">
        <f ca="1">VLOOKUP(Tabla1[[#This Row],[Nombre Equipo]],INDIRECT(Tabla1[[#This Row],[Proveedor calib.]]),2,FALSE)</f>
        <v>118272</v>
      </c>
      <c r="K260" s="9">
        <f ca="1">Tabla1[[#This Row],[ Valor calibración]]*1.19</f>
        <v>140743.67999999999</v>
      </c>
      <c r="L260" s="8" t="s">
        <v>492</v>
      </c>
      <c r="M260" s="16" t="s">
        <v>492</v>
      </c>
      <c r="N260" s="8" t="s">
        <v>492</v>
      </c>
      <c r="O260" s="8"/>
      <c r="P260" s="9">
        <f ca="1">VLOOKUP(Tabla1[[#This Row],[Nombre Equipo]],INDIRECT(Tabla1[[#This Row],[Proveedor prev.]]),2,FALSE)</f>
        <v>0</v>
      </c>
      <c r="Q260" s="9">
        <f ca="1">Tabla1[[#This Row],[Valor prev.]]*1.19</f>
        <v>0</v>
      </c>
    </row>
    <row r="261" spans="1:17" x14ac:dyDescent="0.3">
      <c r="A261" s="8" t="s">
        <v>36</v>
      </c>
      <c r="B261" s="8" t="str">
        <f>IFERROR(VLOOKUP(Tabla1[[#This Row],[Sede ]],Tabla2[[#All],[Sede]:[Departamento]],2,FALSE),"")</f>
        <v>Bello</v>
      </c>
      <c r="C261" s="8" t="str">
        <f>IFERROR(VLOOKUP(Tabla1[[#This Row],[Sede ]],Tabla2[[#All],[Sede]:[Departamento]],3,FALSE),"")</f>
        <v>Antioquia</v>
      </c>
      <c r="D261" s="8" t="s">
        <v>377</v>
      </c>
      <c r="E261" s="13">
        <v>23451</v>
      </c>
      <c r="F261" s="16">
        <v>45050</v>
      </c>
      <c r="G261" s="8" t="s">
        <v>492</v>
      </c>
      <c r="H261" s="8" t="s">
        <v>73</v>
      </c>
      <c r="I261" s="8" t="s">
        <v>378</v>
      </c>
      <c r="J261" s="9">
        <f ca="1">VLOOKUP(Tabla1[[#This Row],[Nombre Equipo]],INDIRECT(Tabla1[[#This Row],[Proveedor calib.]]),2,FALSE)</f>
        <v>118272</v>
      </c>
      <c r="K261" s="9">
        <f ca="1">Tabla1[[#This Row],[ Valor calibración]]*1.19</f>
        <v>140743.67999999999</v>
      </c>
      <c r="L261" s="8" t="s">
        <v>492</v>
      </c>
      <c r="M261" s="16" t="s">
        <v>492</v>
      </c>
      <c r="N261" s="8" t="s">
        <v>492</v>
      </c>
      <c r="O261" s="8"/>
      <c r="P261" s="9">
        <f ca="1">VLOOKUP(Tabla1[[#This Row],[Nombre Equipo]],INDIRECT(Tabla1[[#This Row],[Proveedor prev.]]),2,FALSE)</f>
        <v>0</v>
      </c>
      <c r="Q261" s="9">
        <f ca="1">Tabla1[[#This Row],[Valor prev.]]*1.19</f>
        <v>0</v>
      </c>
    </row>
    <row r="262" spans="1:17" x14ac:dyDescent="0.3">
      <c r="A262" s="8" t="s">
        <v>45</v>
      </c>
      <c r="B262" s="8" t="str">
        <f>IFERROR(VLOOKUP(Tabla1[[#This Row],[Sede ]],Tabla2[[#All],[Sede]:[Departamento]],2,FALSE),"")</f>
        <v>Medellín</v>
      </c>
      <c r="C262" s="8" t="str">
        <f>IFERROR(VLOOKUP(Tabla1[[#This Row],[Sede ]],Tabla2[[#All],[Sede]:[Departamento]],3,FALSE),"")</f>
        <v>Antioquia</v>
      </c>
      <c r="D262" s="8" t="s">
        <v>122</v>
      </c>
      <c r="E262" s="13" t="s">
        <v>379</v>
      </c>
      <c r="F262" s="16">
        <v>45054</v>
      </c>
      <c r="G262" s="8" t="s">
        <v>492</v>
      </c>
      <c r="H262" s="8" t="s">
        <v>73</v>
      </c>
      <c r="I262" s="8" t="s">
        <v>380</v>
      </c>
      <c r="J262" s="9">
        <f ca="1">VLOOKUP(Tabla1[[#This Row],[Nombre Equipo]],INDIRECT(Tabla1[[#This Row],[Proveedor calib.]]),2,FALSE)</f>
        <v>81984</v>
      </c>
      <c r="K262" s="9">
        <f ca="1">Tabla1[[#This Row],[ Valor calibración]]*1.19</f>
        <v>97560.959999999992</v>
      </c>
      <c r="L262" s="8" t="s">
        <v>65</v>
      </c>
      <c r="M262" s="16">
        <v>45042</v>
      </c>
      <c r="N262" s="8" t="s">
        <v>74</v>
      </c>
      <c r="O262" s="8">
        <v>59871</v>
      </c>
      <c r="P262" s="9">
        <f ca="1">VLOOKUP(Tabla1[[#This Row],[Nombre Equipo]],INDIRECT(Tabla1[[#This Row],[Proveedor prev.]]),2,FALSE)</f>
        <v>112500</v>
      </c>
      <c r="Q262" s="9">
        <f ca="1">Tabla1[[#This Row],[Valor prev.]]*1.19</f>
        <v>133875</v>
      </c>
    </row>
    <row r="263" spans="1:17" x14ac:dyDescent="0.3">
      <c r="A263" s="8" t="s">
        <v>46</v>
      </c>
      <c r="B263" s="8" t="str">
        <f>IFERROR(VLOOKUP(Tabla1[[#This Row],[Sede ]],Tabla2[[#All],[Sede]:[Departamento]],2,FALSE),"")</f>
        <v>Medellín</v>
      </c>
      <c r="C263" s="8" t="str">
        <f>IFERROR(VLOOKUP(Tabla1[[#This Row],[Sede ]],Tabla2[[#All],[Sede]:[Departamento]],3,FALSE),"")</f>
        <v>Antioquia</v>
      </c>
      <c r="D263" s="8" t="s">
        <v>122</v>
      </c>
      <c r="E263" s="13" t="s">
        <v>381</v>
      </c>
      <c r="F263" s="16">
        <v>45054</v>
      </c>
      <c r="G263" s="8" t="s">
        <v>492</v>
      </c>
      <c r="H263" s="8" t="s">
        <v>73</v>
      </c>
      <c r="I263" s="8" t="s">
        <v>382</v>
      </c>
      <c r="J263" s="9">
        <f ca="1">VLOOKUP(Tabla1[[#This Row],[Nombre Equipo]],INDIRECT(Tabla1[[#This Row],[Proveedor calib.]]),2,FALSE)</f>
        <v>81984</v>
      </c>
      <c r="K263" s="9">
        <f ca="1">Tabla1[[#This Row],[ Valor calibración]]*1.19</f>
        <v>97560.959999999992</v>
      </c>
      <c r="L263" s="8" t="s">
        <v>65</v>
      </c>
      <c r="M263" s="16">
        <v>45044</v>
      </c>
      <c r="N263" s="8" t="s">
        <v>74</v>
      </c>
      <c r="O263" s="8">
        <v>59896</v>
      </c>
      <c r="P263" s="9">
        <f ca="1">VLOOKUP(Tabla1[[#This Row],[Nombre Equipo]],INDIRECT(Tabla1[[#This Row],[Proveedor prev.]]),2,FALSE)</f>
        <v>112500</v>
      </c>
      <c r="Q263" s="9">
        <f ca="1">Tabla1[[#This Row],[Valor prev.]]*1.19</f>
        <v>133875</v>
      </c>
    </row>
    <row r="264" spans="1:17" x14ac:dyDescent="0.3">
      <c r="A264" s="8" t="s">
        <v>42</v>
      </c>
      <c r="B264" s="8" t="str">
        <f>IFERROR(VLOOKUP(Tabla1[[#This Row],[Sede ]],Tabla2[[#All],[Sede]:[Departamento]],2,FALSE),"")</f>
        <v>Medellín</v>
      </c>
      <c r="C264" s="8" t="str">
        <f>IFERROR(VLOOKUP(Tabla1[[#This Row],[Sede ]],Tabla2[[#All],[Sede]:[Departamento]],3,FALSE),"")</f>
        <v>Antioquia</v>
      </c>
      <c r="D264" s="8" t="s">
        <v>170</v>
      </c>
      <c r="E264" s="13" t="s">
        <v>383</v>
      </c>
      <c r="F264" s="16">
        <v>45051</v>
      </c>
      <c r="G264" s="8" t="s">
        <v>492</v>
      </c>
      <c r="H264" s="8" t="s">
        <v>73</v>
      </c>
      <c r="I264" s="8" t="s">
        <v>384</v>
      </c>
      <c r="J264" s="9">
        <f ca="1">VLOOKUP(Tabla1[[#This Row],[Nombre Equipo]],INDIRECT(Tabla1[[#This Row],[Proveedor calib.]]),2,FALSE)</f>
        <v>103488</v>
      </c>
      <c r="K264" s="9">
        <f ca="1">Tabla1[[#This Row],[ Valor calibración]]*1.19</f>
        <v>123150.72</v>
      </c>
      <c r="L264" s="8" t="s">
        <v>492</v>
      </c>
      <c r="M264" s="16" t="s">
        <v>492</v>
      </c>
      <c r="N264" s="8" t="s">
        <v>492</v>
      </c>
      <c r="O264" s="8"/>
      <c r="P264" s="9">
        <f ca="1">VLOOKUP(Tabla1[[#This Row],[Nombre Equipo]],INDIRECT(Tabla1[[#This Row],[Proveedor prev.]]),2,FALSE)</f>
        <v>0</v>
      </c>
      <c r="Q264" s="9">
        <f ca="1">Tabla1[[#This Row],[Valor prev.]]*1.19</f>
        <v>0</v>
      </c>
    </row>
    <row r="265" spans="1:17" x14ac:dyDescent="0.3">
      <c r="A265" s="8" t="s">
        <v>57</v>
      </c>
      <c r="B265" s="8" t="str">
        <f>IFERROR(VLOOKUP(Tabla1[[#This Row],[Sede ]],Tabla2[[#All],[Sede]:[Departamento]],2,FALSE),"")</f>
        <v>Medellín</v>
      </c>
      <c r="C265" s="8" t="str">
        <f>IFERROR(VLOOKUP(Tabla1[[#This Row],[Sede ]],Tabla2[[#All],[Sede]:[Departamento]],3,FALSE),"")</f>
        <v>Antioquia</v>
      </c>
      <c r="D265" s="8" t="s">
        <v>170</v>
      </c>
      <c r="E265" s="14">
        <v>8813263181097</v>
      </c>
      <c r="F265" s="16">
        <v>45054</v>
      </c>
      <c r="G265" s="8" t="s">
        <v>492</v>
      </c>
      <c r="H265" s="8" t="s">
        <v>73</v>
      </c>
      <c r="I265" s="8" t="s">
        <v>385</v>
      </c>
      <c r="J265" s="9">
        <f ca="1">VLOOKUP(Tabla1[[#This Row],[Nombre Equipo]],INDIRECT(Tabla1[[#This Row],[Proveedor calib.]]),2,FALSE)</f>
        <v>103488</v>
      </c>
      <c r="K265" s="9">
        <f ca="1">Tabla1[[#This Row],[ Valor calibración]]*1.19</f>
        <v>123150.72</v>
      </c>
      <c r="L265" s="8" t="s">
        <v>492</v>
      </c>
      <c r="M265" s="16" t="s">
        <v>492</v>
      </c>
      <c r="N265" s="8" t="s">
        <v>492</v>
      </c>
      <c r="O265" s="8"/>
      <c r="P265" s="9">
        <f ca="1">VLOOKUP(Tabla1[[#This Row],[Nombre Equipo]],INDIRECT(Tabla1[[#This Row],[Proveedor prev.]]),2,FALSE)</f>
        <v>0</v>
      </c>
      <c r="Q265" s="9">
        <f ca="1">Tabla1[[#This Row],[Valor prev.]]*1.19</f>
        <v>0</v>
      </c>
    </row>
    <row r="266" spans="1:17" x14ac:dyDescent="0.3">
      <c r="A266" s="8" t="s">
        <v>46</v>
      </c>
      <c r="B266" s="8" t="str">
        <f>IFERROR(VLOOKUP(Tabla1[[#This Row],[Sede ]],Tabla2[[#All],[Sede]:[Departamento]],2,FALSE),"")</f>
        <v>Medellín</v>
      </c>
      <c r="C266" s="8" t="str">
        <f>IFERROR(VLOOKUP(Tabla1[[#This Row],[Sede ]],Tabla2[[#All],[Sede]:[Departamento]],3,FALSE),"")</f>
        <v>Antioquia</v>
      </c>
      <c r="D266" s="8" t="s">
        <v>170</v>
      </c>
      <c r="E266" s="13" t="s">
        <v>386</v>
      </c>
      <c r="F266" s="16">
        <v>45054</v>
      </c>
      <c r="G266" s="8" t="s">
        <v>492</v>
      </c>
      <c r="H266" s="8" t="s">
        <v>73</v>
      </c>
      <c r="I266" s="8" t="s">
        <v>387</v>
      </c>
      <c r="J266" s="9">
        <f ca="1">VLOOKUP(Tabla1[[#This Row],[Nombre Equipo]],INDIRECT(Tabla1[[#This Row],[Proveedor calib.]]),2,FALSE)</f>
        <v>103488</v>
      </c>
      <c r="K266" s="9">
        <f ca="1">Tabla1[[#This Row],[ Valor calibración]]*1.19</f>
        <v>123150.72</v>
      </c>
      <c r="L266" s="8" t="s">
        <v>492</v>
      </c>
      <c r="M266" s="16" t="s">
        <v>492</v>
      </c>
      <c r="N266" s="8" t="s">
        <v>492</v>
      </c>
      <c r="O266" s="8"/>
      <c r="P266" s="9">
        <f ca="1">VLOOKUP(Tabla1[[#This Row],[Nombre Equipo]],INDIRECT(Tabla1[[#This Row],[Proveedor prev.]]),2,FALSE)</f>
        <v>0</v>
      </c>
      <c r="Q266" s="9">
        <f ca="1">Tabla1[[#This Row],[Valor prev.]]*1.19</f>
        <v>0</v>
      </c>
    </row>
    <row r="267" spans="1:17" x14ac:dyDescent="0.3">
      <c r="A267" s="8" t="s">
        <v>30</v>
      </c>
      <c r="B267" s="8" t="str">
        <f>IFERROR(VLOOKUP(Tabla1[[#This Row],[Sede ]],Tabla2[[#All],[Sede]:[Departamento]],2,FALSE),"")</f>
        <v>Medellín</v>
      </c>
      <c r="C267" s="8" t="str">
        <f>IFERROR(VLOOKUP(Tabla1[[#This Row],[Sede ]],Tabla2[[#All],[Sede]:[Departamento]],3,FALSE),"")</f>
        <v>Antioquia</v>
      </c>
      <c r="D267" s="8" t="s">
        <v>149</v>
      </c>
      <c r="E267" s="13" t="s">
        <v>521</v>
      </c>
      <c r="F267" s="16" t="s">
        <v>492</v>
      </c>
      <c r="G267" s="8" t="s">
        <v>492</v>
      </c>
      <c r="H267" s="8" t="s">
        <v>492</v>
      </c>
      <c r="I267" s="8" t="s">
        <v>492</v>
      </c>
      <c r="J267" s="9">
        <f ca="1">VLOOKUP(Tabla1[[#This Row],[Nombre Equipo]],INDIRECT(Tabla1[[#This Row],[Proveedor calib.]]),2,FALSE)</f>
        <v>0</v>
      </c>
      <c r="K267" s="9">
        <f ca="1">Tabla1[[#This Row],[ Valor calibración]]*1.19</f>
        <v>0</v>
      </c>
      <c r="L267" s="8" t="s">
        <v>65</v>
      </c>
      <c r="M267" s="16">
        <v>45045</v>
      </c>
      <c r="N267" s="8" t="s">
        <v>74</v>
      </c>
      <c r="O267" s="8">
        <v>59911</v>
      </c>
      <c r="P267" s="9">
        <f ca="1">VLOOKUP(Tabla1[[#This Row],[Nombre Equipo]],INDIRECT(Tabla1[[#This Row],[Proveedor prev.]]),2,FALSE)</f>
        <v>45000</v>
      </c>
      <c r="Q267" s="9">
        <f ca="1">Tabla1[[#This Row],[Valor prev.]]*1.19</f>
        <v>53550</v>
      </c>
    </row>
    <row r="268" spans="1:17" x14ac:dyDescent="0.3">
      <c r="A268" s="8" t="s">
        <v>30</v>
      </c>
      <c r="B268" s="8" t="str">
        <f>IFERROR(VLOOKUP(Tabla1[[#This Row],[Sede ]],Tabla2[[#All],[Sede]:[Departamento]],2,FALSE),"")</f>
        <v>Medellín</v>
      </c>
      <c r="C268" s="8" t="str">
        <f>IFERROR(VLOOKUP(Tabla1[[#This Row],[Sede ]],Tabla2[[#All],[Sede]:[Departamento]],3,FALSE),"")</f>
        <v>Antioquia</v>
      </c>
      <c r="D268" s="8" t="s">
        <v>114</v>
      </c>
      <c r="E268" s="13" t="s">
        <v>522</v>
      </c>
      <c r="F268" s="16" t="s">
        <v>492</v>
      </c>
      <c r="G268" s="8" t="s">
        <v>492</v>
      </c>
      <c r="H268" s="8" t="s">
        <v>492</v>
      </c>
      <c r="I268" s="8" t="s">
        <v>492</v>
      </c>
      <c r="J268" s="9">
        <f ca="1">VLOOKUP(Tabla1[[#This Row],[Nombre Equipo]],INDIRECT(Tabla1[[#This Row],[Proveedor calib.]]),2,FALSE)</f>
        <v>0</v>
      </c>
      <c r="K268" s="9">
        <f ca="1">Tabla1[[#This Row],[ Valor calibración]]*1.19</f>
        <v>0</v>
      </c>
      <c r="L268" s="8" t="s">
        <v>65</v>
      </c>
      <c r="M268" s="16">
        <v>45045</v>
      </c>
      <c r="N268" s="8" t="s">
        <v>74</v>
      </c>
      <c r="O268" s="8">
        <v>59912</v>
      </c>
      <c r="P268" s="9">
        <f ca="1">VLOOKUP(Tabla1[[#This Row],[Nombre Equipo]],INDIRECT(Tabla1[[#This Row],[Proveedor prev.]]),2,FALSE)</f>
        <v>45000</v>
      </c>
      <c r="Q268" s="9">
        <f ca="1">Tabla1[[#This Row],[Valor prev.]]*1.19</f>
        <v>53550</v>
      </c>
    </row>
    <row r="269" spans="1:17" x14ac:dyDescent="0.3">
      <c r="A269" s="8" t="s">
        <v>30</v>
      </c>
      <c r="B269" s="8" t="str">
        <f>IFERROR(VLOOKUP(Tabla1[[#This Row],[Sede ]],Tabla2[[#All],[Sede]:[Departamento]],2,FALSE),"")</f>
        <v>Medellín</v>
      </c>
      <c r="C269" s="8" t="str">
        <f>IFERROR(VLOOKUP(Tabla1[[#This Row],[Sede ]],Tabla2[[#All],[Sede]:[Departamento]],3,FALSE),"")</f>
        <v>Antioquia</v>
      </c>
      <c r="D269" s="8" t="s">
        <v>114</v>
      </c>
      <c r="E269" s="13" t="s">
        <v>523</v>
      </c>
      <c r="F269" s="16" t="s">
        <v>492</v>
      </c>
      <c r="G269" s="8" t="s">
        <v>492</v>
      </c>
      <c r="H269" s="8" t="s">
        <v>492</v>
      </c>
      <c r="I269" s="8" t="s">
        <v>492</v>
      </c>
      <c r="J269" s="9">
        <f ca="1">VLOOKUP(Tabla1[[#This Row],[Nombre Equipo]],INDIRECT(Tabla1[[#This Row],[Proveedor calib.]]),2,FALSE)</f>
        <v>0</v>
      </c>
      <c r="K269" s="9">
        <f ca="1">Tabla1[[#This Row],[ Valor calibración]]*1.19</f>
        <v>0</v>
      </c>
      <c r="L269" s="8" t="s">
        <v>65</v>
      </c>
      <c r="M269" s="16">
        <v>45045</v>
      </c>
      <c r="N269" s="8" t="s">
        <v>74</v>
      </c>
      <c r="O269" s="8">
        <v>59913</v>
      </c>
      <c r="P269" s="9">
        <f ca="1">VLOOKUP(Tabla1[[#This Row],[Nombre Equipo]],INDIRECT(Tabla1[[#This Row],[Proveedor prev.]]),2,FALSE)</f>
        <v>45000</v>
      </c>
      <c r="Q269" s="9">
        <f ca="1">Tabla1[[#This Row],[Valor prev.]]*1.19</f>
        <v>53550</v>
      </c>
    </row>
    <row r="270" spans="1:17" x14ac:dyDescent="0.3">
      <c r="A270" s="8" t="s">
        <v>30</v>
      </c>
      <c r="B270" s="8" t="str">
        <f>IFERROR(VLOOKUP(Tabla1[[#This Row],[Sede ]],Tabla2[[#All],[Sede]:[Departamento]],2,FALSE),"")</f>
        <v>Medellín</v>
      </c>
      <c r="C270" s="8" t="str">
        <f>IFERROR(VLOOKUP(Tabla1[[#This Row],[Sede ]],Tabla2[[#All],[Sede]:[Departamento]],3,FALSE),"")</f>
        <v>Antioquia</v>
      </c>
      <c r="D270" s="8" t="s">
        <v>117</v>
      </c>
      <c r="E270" s="13" t="s">
        <v>524</v>
      </c>
      <c r="F270" s="16" t="s">
        <v>492</v>
      </c>
      <c r="G270" s="8" t="s">
        <v>492</v>
      </c>
      <c r="H270" s="8" t="s">
        <v>492</v>
      </c>
      <c r="I270" s="8" t="s">
        <v>492</v>
      </c>
      <c r="J270" s="9">
        <f ca="1">VLOOKUP(Tabla1[[#This Row],[Nombre Equipo]],INDIRECT(Tabla1[[#This Row],[Proveedor calib.]]),2,FALSE)</f>
        <v>0</v>
      </c>
      <c r="K270" s="9">
        <f ca="1">Tabla1[[#This Row],[ Valor calibración]]*1.19</f>
        <v>0</v>
      </c>
      <c r="L270" s="8" t="s">
        <v>65</v>
      </c>
      <c r="M270" s="16">
        <v>45045</v>
      </c>
      <c r="N270" s="8" t="s">
        <v>74</v>
      </c>
      <c r="O270" s="8">
        <v>59914</v>
      </c>
      <c r="P270" s="9">
        <f ca="1">VLOOKUP(Tabla1[[#This Row],[Nombre Equipo]],INDIRECT(Tabla1[[#This Row],[Proveedor prev.]]),2,FALSE)</f>
        <v>45000</v>
      </c>
      <c r="Q270" s="9">
        <f ca="1">Tabla1[[#This Row],[Valor prev.]]*1.19</f>
        <v>53550</v>
      </c>
    </row>
    <row r="271" spans="1:17" x14ac:dyDescent="0.3">
      <c r="A271" s="8" t="s">
        <v>30</v>
      </c>
      <c r="B271" s="8" t="str">
        <f>IFERROR(VLOOKUP(Tabla1[[#This Row],[Sede ]],Tabla2[[#All],[Sede]:[Departamento]],2,FALSE),"")</f>
        <v>Medellín</v>
      </c>
      <c r="C271" s="8" t="str">
        <f>IFERROR(VLOOKUP(Tabla1[[#This Row],[Sede ]],Tabla2[[#All],[Sede]:[Departamento]],3,FALSE),"")</f>
        <v>Antioquia</v>
      </c>
      <c r="D271" s="8" t="s">
        <v>115</v>
      </c>
      <c r="E271" s="13" t="s">
        <v>525</v>
      </c>
      <c r="F271" s="16" t="s">
        <v>492</v>
      </c>
      <c r="G271" s="8" t="s">
        <v>492</v>
      </c>
      <c r="H271" s="8" t="s">
        <v>492</v>
      </c>
      <c r="I271" s="8" t="s">
        <v>492</v>
      </c>
      <c r="J271" s="9">
        <f ca="1">VLOOKUP(Tabla1[[#This Row],[Nombre Equipo]],INDIRECT(Tabla1[[#This Row],[Proveedor calib.]]),2,FALSE)</f>
        <v>0</v>
      </c>
      <c r="K271" s="9">
        <f ca="1">Tabla1[[#This Row],[ Valor calibración]]*1.19</f>
        <v>0</v>
      </c>
      <c r="L271" s="8" t="s">
        <v>65</v>
      </c>
      <c r="M271" s="16">
        <v>45045</v>
      </c>
      <c r="N271" s="8" t="s">
        <v>74</v>
      </c>
      <c r="O271" s="8">
        <v>59915</v>
      </c>
      <c r="P271" s="9">
        <f ca="1">VLOOKUP(Tabla1[[#This Row],[Nombre Equipo]],INDIRECT(Tabla1[[#This Row],[Proveedor prev.]]),2,FALSE)</f>
        <v>45000</v>
      </c>
      <c r="Q271" s="9">
        <f ca="1">Tabla1[[#This Row],[Valor prev.]]*1.19</f>
        <v>53550</v>
      </c>
    </row>
    <row r="272" spans="1:17" x14ac:dyDescent="0.3">
      <c r="A272" s="8" t="s">
        <v>29</v>
      </c>
      <c r="B272" s="8" t="str">
        <f>IFERROR(VLOOKUP(Tabla1[[#This Row],[Sede ]],Tabla2[[#All],[Sede]:[Departamento]],2,FALSE),"")</f>
        <v>Bogotá</v>
      </c>
      <c r="C272" s="8" t="str">
        <f>IFERROR(VLOOKUP(Tabla1[[#This Row],[Sede ]],Tabla2[[#All],[Sede]:[Departamento]],3,FALSE),"")</f>
        <v>Bogotá</v>
      </c>
      <c r="D272" s="8" t="s">
        <v>114</v>
      </c>
      <c r="E272" s="13" t="s">
        <v>536</v>
      </c>
      <c r="F272" s="16" t="s">
        <v>492</v>
      </c>
      <c r="G272" s="8" t="s">
        <v>492</v>
      </c>
      <c r="H272" s="8" t="s">
        <v>492</v>
      </c>
      <c r="I272" s="8" t="s">
        <v>492</v>
      </c>
      <c r="J272" s="9">
        <f ca="1">VLOOKUP(Tabla1[[#This Row],[Nombre Equipo]],INDIRECT(Tabla1[[#This Row],[Proveedor calib.]]),2,FALSE)</f>
        <v>0</v>
      </c>
      <c r="K272" s="9">
        <f ca="1">Tabla1[[#This Row],[ Valor calibración]]*1.19</f>
        <v>0</v>
      </c>
      <c r="L272" s="8" t="s">
        <v>65</v>
      </c>
      <c r="M272" s="16">
        <v>45054</v>
      </c>
      <c r="N272" s="8" t="s">
        <v>95</v>
      </c>
      <c r="O272" s="8">
        <v>669466</v>
      </c>
      <c r="P272" s="9">
        <f ca="1">VLOOKUP(Tabla1[[#This Row],[Nombre Equipo]],INDIRECT(Tabla1[[#This Row],[Proveedor prev.]]),2,FALSE)</f>
        <v>46000</v>
      </c>
      <c r="Q272" s="9">
        <f ca="1">Tabla1[[#This Row],[Valor prev.]]*1.19</f>
        <v>54740</v>
      </c>
    </row>
    <row r="273" spans="1:17" x14ac:dyDescent="0.3">
      <c r="A273" s="8" t="s">
        <v>29</v>
      </c>
      <c r="B273" s="8" t="str">
        <f>IFERROR(VLOOKUP(Tabla1[[#This Row],[Sede ]],Tabla2[[#All],[Sede]:[Departamento]],2,FALSE),"")</f>
        <v>Bogotá</v>
      </c>
      <c r="C273" s="8" t="str">
        <f>IFERROR(VLOOKUP(Tabla1[[#This Row],[Sede ]],Tabla2[[#All],[Sede]:[Departamento]],3,FALSE),"")</f>
        <v>Bogotá</v>
      </c>
      <c r="D273" s="8" t="s">
        <v>300</v>
      </c>
      <c r="E273" s="13" t="s">
        <v>537</v>
      </c>
      <c r="F273" s="16" t="s">
        <v>492</v>
      </c>
      <c r="G273" s="8" t="s">
        <v>492</v>
      </c>
      <c r="H273" s="8" t="s">
        <v>492</v>
      </c>
      <c r="I273" s="8" t="s">
        <v>492</v>
      </c>
      <c r="J273" s="9">
        <f ca="1">VLOOKUP(Tabla1[[#This Row],[Nombre Equipo]],INDIRECT(Tabla1[[#This Row],[Proveedor calib.]]),2,FALSE)</f>
        <v>0</v>
      </c>
      <c r="K273" s="9">
        <f ca="1">Tabla1[[#This Row],[ Valor calibración]]*1.19</f>
        <v>0</v>
      </c>
      <c r="L273" s="8" t="s">
        <v>65</v>
      </c>
      <c r="M273" s="16">
        <v>45054</v>
      </c>
      <c r="N273" s="8" t="s">
        <v>95</v>
      </c>
      <c r="O273" s="8">
        <v>669470</v>
      </c>
      <c r="P273" s="9">
        <f ca="1">VLOOKUP(Tabla1[[#This Row],[Nombre Equipo]],INDIRECT(Tabla1[[#This Row],[Proveedor prev.]]),2,FALSE)</f>
        <v>119500</v>
      </c>
      <c r="Q273" s="9">
        <f ca="1">Tabla1[[#This Row],[Valor prev.]]*1.19</f>
        <v>142205</v>
      </c>
    </row>
    <row r="274" spans="1:17" x14ac:dyDescent="0.3">
      <c r="A274" s="8" t="s">
        <v>29</v>
      </c>
      <c r="B274" s="8" t="str">
        <f>IFERROR(VLOOKUP(Tabla1[[#This Row],[Sede ]],Tabla2[[#All],[Sede]:[Departamento]],2,FALSE),"")</f>
        <v>Bogotá</v>
      </c>
      <c r="C274" s="8" t="str">
        <f>IFERROR(VLOOKUP(Tabla1[[#This Row],[Sede ]],Tabla2[[#All],[Sede]:[Departamento]],3,FALSE),"")</f>
        <v>Bogotá</v>
      </c>
      <c r="D274" s="8" t="s">
        <v>114</v>
      </c>
      <c r="E274" s="13" t="s">
        <v>538</v>
      </c>
      <c r="F274" s="16" t="s">
        <v>492</v>
      </c>
      <c r="G274" s="8" t="s">
        <v>492</v>
      </c>
      <c r="H274" s="8" t="s">
        <v>492</v>
      </c>
      <c r="I274" s="8" t="s">
        <v>492</v>
      </c>
      <c r="J274" s="9">
        <f ca="1">VLOOKUP(Tabla1[[#This Row],[Nombre Equipo]],INDIRECT(Tabla1[[#This Row],[Proveedor calib.]]),2,FALSE)</f>
        <v>0</v>
      </c>
      <c r="K274" s="9">
        <f ca="1">Tabla1[[#This Row],[ Valor calibración]]*1.19</f>
        <v>0</v>
      </c>
      <c r="L274" s="8" t="s">
        <v>65</v>
      </c>
      <c r="M274" s="16">
        <v>45054</v>
      </c>
      <c r="N274" s="8" t="s">
        <v>95</v>
      </c>
      <c r="O274" s="8">
        <v>669467</v>
      </c>
      <c r="P274" s="9">
        <f ca="1">VLOOKUP(Tabla1[[#This Row],[Nombre Equipo]],INDIRECT(Tabla1[[#This Row],[Proveedor prev.]]),2,FALSE)</f>
        <v>46000</v>
      </c>
      <c r="Q274" s="9">
        <f ca="1">Tabla1[[#This Row],[Valor prev.]]*1.19</f>
        <v>54740</v>
      </c>
    </row>
    <row r="275" spans="1:17" x14ac:dyDescent="0.3">
      <c r="A275" s="8" t="s">
        <v>29</v>
      </c>
      <c r="B275" s="8" t="str">
        <f>IFERROR(VLOOKUP(Tabla1[[#This Row],[Sede ]],Tabla2[[#All],[Sede]:[Departamento]],2,FALSE),"")</f>
        <v>Bogotá</v>
      </c>
      <c r="C275" s="8" t="str">
        <f>IFERROR(VLOOKUP(Tabla1[[#This Row],[Sede ]],Tabla2[[#All],[Sede]:[Departamento]],3,FALSE),"")</f>
        <v>Bogotá</v>
      </c>
      <c r="D275" s="8" t="s">
        <v>527</v>
      </c>
      <c r="E275" s="13" t="s">
        <v>491</v>
      </c>
      <c r="F275" s="16" t="s">
        <v>492</v>
      </c>
      <c r="G275" s="8" t="s">
        <v>492</v>
      </c>
      <c r="H275" s="8" t="s">
        <v>492</v>
      </c>
      <c r="I275" s="8" t="s">
        <v>492</v>
      </c>
      <c r="J275" s="9">
        <f ca="1">VLOOKUP(Tabla1[[#This Row],[Nombre Equipo]],INDIRECT(Tabla1[[#This Row],[Proveedor calib.]]),2,FALSE)</f>
        <v>0</v>
      </c>
      <c r="K275" s="9">
        <f ca="1">Tabla1[[#This Row],[ Valor calibración]]*1.19</f>
        <v>0</v>
      </c>
      <c r="L275" s="8" t="s">
        <v>62</v>
      </c>
      <c r="M275" s="16">
        <v>45055</v>
      </c>
      <c r="N275" s="8" t="s">
        <v>487</v>
      </c>
      <c r="O275" s="8" t="s">
        <v>532</v>
      </c>
      <c r="P275" s="9">
        <f ca="1">VLOOKUP(Tabla1[[#This Row],[Nombre Equipo]],INDIRECT(Tabla1[[#This Row],[Proveedor prev.]]),2,FALSE)</f>
        <v>280000</v>
      </c>
      <c r="Q275" s="9">
        <f ca="1">Tabla1[[#This Row],[Valor prev.]]*1.19</f>
        <v>333200</v>
      </c>
    </row>
    <row r="276" spans="1:17" x14ac:dyDescent="0.3">
      <c r="A276" s="8" t="s">
        <v>29</v>
      </c>
      <c r="B276" s="8" t="str">
        <f>IFERROR(VLOOKUP(Tabla1[[#This Row],[Sede ]],Tabla2[[#All],[Sede]:[Departamento]],2,FALSE),"")</f>
        <v>Bogotá</v>
      </c>
      <c r="C276" s="8" t="str">
        <f>IFERROR(VLOOKUP(Tabla1[[#This Row],[Sede ]],Tabla2[[#All],[Sede]:[Departamento]],3,FALSE),"")</f>
        <v>Bogotá</v>
      </c>
      <c r="D276" s="8" t="s">
        <v>529</v>
      </c>
      <c r="E276" s="13" t="s">
        <v>491</v>
      </c>
      <c r="F276" s="16" t="s">
        <v>492</v>
      </c>
      <c r="G276" s="8" t="s">
        <v>492</v>
      </c>
      <c r="H276" s="8" t="s">
        <v>492</v>
      </c>
      <c r="I276" s="8" t="s">
        <v>492</v>
      </c>
      <c r="J276" s="9">
        <f ca="1">VLOOKUP(Tabla1[[#This Row],[Nombre Equipo]],INDIRECT(Tabla1[[#This Row],[Proveedor calib.]]),2,FALSE)</f>
        <v>0</v>
      </c>
      <c r="K276" s="9">
        <f ca="1">Tabla1[[#This Row],[ Valor calibración]]*1.19</f>
        <v>0</v>
      </c>
      <c r="L276" s="8" t="s">
        <v>62</v>
      </c>
      <c r="M276" s="16">
        <v>45055</v>
      </c>
      <c r="N276" s="8" t="s">
        <v>487</v>
      </c>
      <c r="O276" s="8" t="s">
        <v>533</v>
      </c>
      <c r="P276" s="9">
        <f ca="1">VLOOKUP(Tabla1[[#This Row],[Nombre Equipo]],INDIRECT(Tabla1[[#This Row],[Proveedor prev.]]),2,FALSE)</f>
        <v>420000</v>
      </c>
      <c r="Q276" s="9">
        <f ca="1">Tabla1[[#This Row],[Valor prev.]]*1.19</f>
        <v>499800</v>
      </c>
    </row>
    <row r="277" spans="1:17" x14ac:dyDescent="0.3">
      <c r="A277" s="8" t="s">
        <v>29</v>
      </c>
      <c r="B277" s="8" t="str">
        <f>IFERROR(VLOOKUP(Tabla1[[#This Row],[Sede ]],Tabla2[[#All],[Sede]:[Departamento]],2,FALSE),"")</f>
        <v>Bogotá</v>
      </c>
      <c r="C277" s="8" t="str">
        <f>IFERROR(VLOOKUP(Tabla1[[#This Row],[Sede ]],Tabla2[[#All],[Sede]:[Departamento]],3,FALSE),"")</f>
        <v>Bogotá</v>
      </c>
      <c r="D277" s="8" t="s">
        <v>527</v>
      </c>
      <c r="E277" s="13" t="s">
        <v>490</v>
      </c>
      <c r="F277" s="16" t="s">
        <v>492</v>
      </c>
      <c r="G277" s="8" t="s">
        <v>492</v>
      </c>
      <c r="H277" s="8" t="s">
        <v>492</v>
      </c>
      <c r="I277" s="8" t="s">
        <v>492</v>
      </c>
      <c r="J277" s="9">
        <f ca="1">VLOOKUP(Tabla1[[#This Row],[Nombre Equipo]],INDIRECT(Tabla1[[#This Row],[Proveedor calib.]]),2,FALSE)</f>
        <v>0</v>
      </c>
      <c r="K277" s="9">
        <f ca="1">Tabla1[[#This Row],[ Valor calibración]]*1.19</f>
        <v>0</v>
      </c>
      <c r="L277" s="8" t="s">
        <v>62</v>
      </c>
      <c r="M277" s="16">
        <v>45055</v>
      </c>
      <c r="N277" s="8" t="s">
        <v>487</v>
      </c>
      <c r="O277" s="8" t="s">
        <v>534</v>
      </c>
      <c r="P277" s="9">
        <f ca="1">VLOOKUP(Tabla1[[#This Row],[Nombre Equipo]],INDIRECT(Tabla1[[#This Row],[Proveedor prev.]]),2,FALSE)</f>
        <v>280000</v>
      </c>
      <c r="Q277" s="9">
        <f ca="1">Tabla1[[#This Row],[Valor prev.]]*1.19</f>
        <v>333200</v>
      </c>
    </row>
    <row r="278" spans="1:17" x14ac:dyDescent="0.3">
      <c r="A278" s="8" t="s">
        <v>29</v>
      </c>
      <c r="B278" s="8" t="str">
        <f>IFERROR(VLOOKUP(Tabla1[[#This Row],[Sede ]],Tabla2[[#All],[Sede]:[Departamento]],2,FALSE),"")</f>
        <v>Bogotá</v>
      </c>
      <c r="C278" s="8" t="str">
        <f>IFERROR(VLOOKUP(Tabla1[[#This Row],[Sede ]],Tabla2[[#All],[Sede]:[Departamento]],3,FALSE),"")</f>
        <v>Bogotá</v>
      </c>
      <c r="D278" s="8" t="s">
        <v>529</v>
      </c>
      <c r="E278" s="13" t="s">
        <v>490</v>
      </c>
      <c r="F278" s="16" t="s">
        <v>492</v>
      </c>
      <c r="G278" s="8" t="s">
        <v>492</v>
      </c>
      <c r="H278" s="8" t="s">
        <v>492</v>
      </c>
      <c r="I278" s="8" t="s">
        <v>492</v>
      </c>
      <c r="J278" s="9">
        <f ca="1">VLOOKUP(Tabla1[[#This Row],[Nombre Equipo]],INDIRECT(Tabla1[[#This Row],[Proveedor calib.]]),2,FALSE)</f>
        <v>0</v>
      </c>
      <c r="K278" s="9">
        <f ca="1">Tabla1[[#This Row],[ Valor calibración]]*1.19</f>
        <v>0</v>
      </c>
      <c r="L278" s="8" t="s">
        <v>62</v>
      </c>
      <c r="M278" s="16">
        <v>45055</v>
      </c>
      <c r="N278" s="8" t="s">
        <v>487</v>
      </c>
      <c r="O278" s="8" t="s">
        <v>535</v>
      </c>
      <c r="P278" s="9">
        <f ca="1">VLOOKUP(Tabla1[[#This Row],[Nombre Equipo]],INDIRECT(Tabla1[[#This Row],[Proveedor prev.]]),2,FALSE)</f>
        <v>420000</v>
      </c>
      <c r="Q278" s="9">
        <f ca="1">Tabla1[[#This Row],[Valor prev.]]*1.19</f>
        <v>499800</v>
      </c>
    </row>
    <row r="279" spans="1:17" x14ac:dyDescent="0.3">
      <c r="A279" s="8" t="s">
        <v>22</v>
      </c>
      <c r="B279" s="8" t="str">
        <f>IFERROR(VLOOKUP(Tabla1[[#This Row],[Sede ]],Tabla2[[#All],[Sede]:[Departamento]],2,FALSE),"")</f>
        <v>Barranquilla</v>
      </c>
      <c r="C279" s="8" t="str">
        <f>IFERROR(VLOOKUP(Tabla1[[#This Row],[Sede ]],Tabla2[[#All],[Sede]:[Departamento]],3,FALSE),"")</f>
        <v>Atlántico</v>
      </c>
      <c r="D279" s="8" t="s">
        <v>300</v>
      </c>
      <c r="E279" s="13" t="s">
        <v>540</v>
      </c>
      <c r="F279" s="16" t="s">
        <v>492</v>
      </c>
      <c r="G279" s="8" t="s">
        <v>492</v>
      </c>
      <c r="H279" s="8" t="s">
        <v>492</v>
      </c>
      <c r="I279" s="8" t="s">
        <v>492</v>
      </c>
      <c r="J279" s="9">
        <f ca="1">VLOOKUP(Tabla1[[#This Row],[Nombre Equipo]],INDIRECT(Tabla1[[#This Row],[Proveedor calib.]]),2,FALSE)</f>
        <v>0</v>
      </c>
      <c r="K279" s="9">
        <f ca="1">Tabla1[[#This Row],[ Valor calibración]]*1.19</f>
        <v>0</v>
      </c>
      <c r="L279" s="8" t="s">
        <v>65</v>
      </c>
      <c r="M279" s="16">
        <v>45076</v>
      </c>
      <c r="N279" s="8" t="s">
        <v>95</v>
      </c>
      <c r="O279" s="8">
        <v>686599</v>
      </c>
      <c r="P279" s="9">
        <f ca="1">VLOOKUP(Tabla1[[#This Row],[Nombre Equipo]],INDIRECT(Tabla1[[#This Row],[Proveedor prev.]]),2,FALSE)</f>
        <v>119500</v>
      </c>
      <c r="Q279" s="9">
        <f ca="1">Tabla1[[#This Row],[Valor prev.]]*1.19</f>
        <v>142205</v>
      </c>
    </row>
    <row r="280" spans="1:17" x14ac:dyDescent="0.3">
      <c r="A280" s="8" t="s">
        <v>22</v>
      </c>
      <c r="B280" s="8" t="str">
        <f>IFERROR(VLOOKUP(Tabla1[[#This Row],[Sede ]],Tabla2[[#All],[Sede]:[Departamento]],2,FALSE),"")</f>
        <v>Barranquilla</v>
      </c>
      <c r="C280" s="8" t="str">
        <f>IFERROR(VLOOKUP(Tabla1[[#This Row],[Sede ]],Tabla2[[#All],[Sede]:[Departamento]],3,FALSE),"")</f>
        <v>Atlántico</v>
      </c>
      <c r="D280" s="8" t="s">
        <v>122</v>
      </c>
      <c r="E280" s="13" t="s">
        <v>541</v>
      </c>
      <c r="F280" s="16" t="s">
        <v>492</v>
      </c>
      <c r="G280" s="8" t="s">
        <v>492</v>
      </c>
      <c r="H280" s="8" t="s">
        <v>492</v>
      </c>
      <c r="I280" s="8" t="s">
        <v>492</v>
      </c>
      <c r="J280" s="9">
        <f ca="1">VLOOKUP(Tabla1[[#This Row],[Nombre Equipo]],INDIRECT(Tabla1[[#This Row],[Proveedor calib.]]),2,FALSE)</f>
        <v>0</v>
      </c>
      <c r="K280" s="9">
        <f ca="1">Tabla1[[#This Row],[ Valor calibración]]*1.19</f>
        <v>0</v>
      </c>
      <c r="L280" s="8" t="s">
        <v>65</v>
      </c>
      <c r="M280" s="16">
        <v>45076</v>
      </c>
      <c r="N280" s="8" t="s">
        <v>95</v>
      </c>
      <c r="O280" s="8">
        <v>686600</v>
      </c>
      <c r="P280" s="9">
        <f ca="1">VLOOKUP(Tabla1[[#This Row],[Nombre Equipo]],INDIRECT(Tabla1[[#This Row],[Proveedor prev.]]),2,FALSE)</f>
        <v>87000</v>
      </c>
      <c r="Q280" s="9">
        <f ca="1">Tabla1[[#This Row],[Valor prev.]]*1.19</f>
        <v>103530</v>
      </c>
    </row>
    <row r="281" spans="1:17" x14ac:dyDescent="0.3">
      <c r="A281" s="8" t="s">
        <v>22</v>
      </c>
      <c r="B281" s="8" t="str">
        <f>IFERROR(VLOOKUP(Tabla1[[#This Row],[Sede ]],Tabla2[[#All],[Sede]:[Departamento]],2,FALSE),"")</f>
        <v>Barranquilla</v>
      </c>
      <c r="C281" s="8" t="str">
        <f>IFERROR(VLOOKUP(Tabla1[[#This Row],[Sede ]],Tabla2[[#All],[Sede]:[Departamento]],3,FALSE),"")</f>
        <v>Atlántico</v>
      </c>
      <c r="D281" s="8" t="s">
        <v>122</v>
      </c>
      <c r="E281" s="13" t="s">
        <v>542</v>
      </c>
      <c r="F281" s="16" t="s">
        <v>492</v>
      </c>
      <c r="G281" s="8" t="s">
        <v>492</v>
      </c>
      <c r="H281" s="8" t="s">
        <v>492</v>
      </c>
      <c r="I281" s="8" t="s">
        <v>492</v>
      </c>
      <c r="J281" s="9">
        <f ca="1">VLOOKUP(Tabla1[[#This Row],[Nombre Equipo]],INDIRECT(Tabla1[[#This Row],[Proveedor calib.]]),2,FALSE)</f>
        <v>0</v>
      </c>
      <c r="K281" s="9">
        <f ca="1">Tabla1[[#This Row],[ Valor calibración]]*1.19</f>
        <v>0</v>
      </c>
      <c r="L281" s="8" t="s">
        <v>65</v>
      </c>
      <c r="M281" s="16">
        <v>45076</v>
      </c>
      <c r="N281" s="8" t="s">
        <v>95</v>
      </c>
      <c r="O281" s="8">
        <v>686601</v>
      </c>
      <c r="P281" s="9">
        <f ca="1">VLOOKUP(Tabla1[[#This Row],[Nombre Equipo]],INDIRECT(Tabla1[[#This Row],[Proveedor prev.]]),2,FALSE)</f>
        <v>87000</v>
      </c>
      <c r="Q281" s="9">
        <f ca="1">Tabla1[[#This Row],[Valor prev.]]*1.19</f>
        <v>103530</v>
      </c>
    </row>
    <row r="291" spans="10:11" x14ac:dyDescent="0.3">
      <c r="J291" s="32"/>
      <c r="K291" s="32"/>
    </row>
  </sheetData>
  <mergeCells count="5">
    <mergeCell ref="S18:V19"/>
    <mergeCell ref="S49:V50"/>
    <mergeCell ref="S85:V86"/>
    <mergeCell ref="A1:Q1"/>
    <mergeCell ref="S1:V1"/>
  </mergeCells>
  <phoneticPr fontId="11" type="noConversion"/>
  <pageMargins left="0.7" right="0.7" top="0.75" bottom="0.75" header="0.3" footer="0.3"/>
  <pageSetup orientation="portrait" r:id="rId1"/>
  <ignoredErrors>
    <ignoredError sqref="T4:T14" calculatedColumn="1"/>
  </ignoredErrors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D45FB2C-B922-42D0-A439-32B9E9765D7B}">
          <x14:formula1>
            <xm:f>Listas!$E$2:$E$4</xm:f>
          </x14:formula1>
          <xm:sqref>L4:L281</xm:sqref>
        </x14:dataValidation>
        <x14:dataValidation type="list" allowBlank="1" showInputMessage="1" showErrorMessage="1" xr:uid="{360CDF92-3B75-4114-827A-52BE31D34C1C}">
          <x14:formula1>
            <xm:f>Listas!$D$2:$D$4</xm:f>
          </x14:formula1>
          <xm:sqref>G104:G171 G178:G186</xm:sqref>
        </x14:dataValidation>
        <x14:dataValidation type="list" allowBlank="1" showInputMessage="1" showErrorMessage="1" xr:uid="{93D39AFB-38E8-4480-842E-54523D26A86D}">
          <x14:formula1>
            <xm:f>Listas!$A$2:$A$36</xm:f>
          </x14:formula1>
          <xm:sqref>A4:A281</xm:sqref>
        </x14:dataValidation>
        <x14:dataValidation type="list" allowBlank="1" showInputMessage="1" showErrorMessage="1" xr:uid="{50E40812-5CFF-44E7-837B-A5BAEC9DE423}">
          <x14:formula1>
            <xm:f>Listas!$D$2:$D$5</xm:f>
          </x14:formula1>
          <xm:sqref>G4:G103 G187:G281 G172:G177</xm:sqref>
        </x14:dataValidation>
        <x14:dataValidation type="list" allowBlank="1" showInputMessage="1" showErrorMessage="1" xr:uid="{CC133DBD-FDD2-4CC2-BD75-09389F8551F3}">
          <x14:formula1>
            <xm:f>Listas!$F$2:$F$7</xm:f>
          </x14:formula1>
          <xm:sqref>H4:H281 N4:N281</xm:sqref>
        </x14:dataValidation>
        <x14:dataValidation type="list" allowBlank="1" showInputMessage="1" showErrorMessage="1" xr:uid="{904A5D5B-8003-4141-A351-8ABC92147F8C}">
          <x14:formula1>
            <xm:f>Listas!$G$2:$G$50</xm:f>
          </x14:formula1>
          <xm:sqref>D4:D281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5C00B-FF18-4D7F-BC8D-A46278F59893}">
  <dimension ref="A1:G51"/>
  <sheetViews>
    <sheetView zoomScale="60" zoomScaleNormal="60" workbookViewId="0">
      <selection activeCell="A5" sqref="A5"/>
    </sheetView>
  </sheetViews>
  <sheetFormatPr baseColWidth="10" defaultRowHeight="14.4" x14ac:dyDescent="0.3"/>
  <cols>
    <col min="1" max="1" width="26.44140625" customWidth="1"/>
    <col min="2" max="2" width="15.44140625" customWidth="1"/>
    <col min="3" max="3" width="18" customWidth="1"/>
    <col min="4" max="4" width="14.6640625" customWidth="1"/>
    <col min="5" max="5" width="15" customWidth="1"/>
    <col min="6" max="6" width="17.33203125" customWidth="1"/>
    <col min="7" max="7" width="27.33203125" customWidth="1"/>
  </cols>
  <sheetData>
    <row r="1" spans="1:7" ht="27.6" x14ac:dyDescent="0.3">
      <c r="A1" s="5" t="s">
        <v>8</v>
      </c>
      <c r="B1" s="5" t="s">
        <v>9</v>
      </c>
      <c r="C1" s="5" t="s">
        <v>10</v>
      </c>
      <c r="D1" s="5" t="s">
        <v>61</v>
      </c>
      <c r="E1" s="5" t="s">
        <v>64</v>
      </c>
      <c r="F1" s="5" t="s">
        <v>72</v>
      </c>
      <c r="G1" s="5" t="s">
        <v>128</v>
      </c>
    </row>
    <row r="2" spans="1:7" x14ac:dyDescent="0.3">
      <c r="A2" s="3" t="s">
        <v>11</v>
      </c>
      <c r="B2" s="3" t="s">
        <v>12</v>
      </c>
      <c r="C2" s="3" t="s">
        <v>13</v>
      </c>
      <c r="D2" s="7" t="s">
        <v>62</v>
      </c>
      <c r="E2" s="7" t="s">
        <v>65</v>
      </c>
      <c r="F2" s="7" t="s">
        <v>73</v>
      </c>
      <c r="G2" s="15" t="s">
        <v>294</v>
      </c>
    </row>
    <row r="3" spans="1:7" x14ac:dyDescent="0.3">
      <c r="A3" s="3" t="s">
        <v>14</v>
      </c>
      <c r="B3" s="3" t="s">
        <v>15</v>
      </c>
      <c r="C3" s="3" t="s">
        <v>16</v>
      </c>
      <c r="D3" s="3" t="s">
        <v>63</v>
      </c>
      <c r="E3" s="3" t="s">
        <v>62</v>
      </c>
      <c r="F3" s="3" t="s">
        <v>113</v>
      </c>
      <c r="G3" s="15" t="s">
        <v>296</v>
      </c>
    </row>
    <row r="4" spans="1:7" x14ac:dyDescent="0.3">
      <c r="A4" s="3" t="s">
        <v>17</v>
      </c>
      <c r="B4" s="3" t="s">
        <v>15</v>
      </c>
      <c r="C4" s="3" t="s">
        <v>16</v>
      </c>
      <c r="D4" s="3" t="s">
        <v>162</v>
      </c>
      <c r="E4" s="3" t="s">
        <v>492</v>
      </c>
      <c r="F4" s="3" t="s">
        <v>74</v>
      </c>
      <c r="G4" s="15" t="s">
        <v>295</v>
      </c>
    </row>
    <row r="5" spans="1:7" x14ac:dyDescent="0.3">
      <c r="A5" s="3" t="s">
        <v>18</v>
      </c>
      <c r="B5" s="3" t="s">
        <v>12</v>
      </c>
      <c r="C5" s="3" t="s">
        <v>13</v>
      </c>
      <c r="D5" s="3" t="s">
        <v>492</v>
      </c>
      <c r="E5" s="3"/>
      <c r="F5" s="3" t="s">
        <v>487</v>
      </c>
      <c r="G5" s="15" t="s">
        <v>388</v>
      </c>
    </row>
    <row r="6" spans="1:7" x14ac:dyDescent="0.3">
      <c r="A6" s="3" t="s">
        <v>19</v>
      </c>
      <c r="B6" s="3" t="s">
        <v>15</v>
      </c>
      <c r="C6" s="3" t="s">
        <v>16</v>
      </c>
      <c r="D6" s="3"/>
      <c r="E6" s="3"/>
      <c r="F6" s="3" t="s">
        <v>95</v>
      </c>
      <c r="G6" s="15" t="s">
        <v>126</v>
      </c>
    </row>
    <row r="7" spans="1:7" x14ac:dyDescent="0.3">
      <c r="A7" s="4" t="s">
        <v>20</v>
      </c>
      <c r="B7" s="3" t="s">
        <v>12</v>
      </c>
      <c r="C7" s="3" t="s">
        <v>13</v>
      </c>
      <c r="D7" s="3"/>
      <c r="E7" s="3"/>
      <c r="F7" s="3" t="s">
        <v>492</v>
      </c>
      <c r="G7" s="3" t="s">
        <v>531</v>
      </c>
    </row>
    <row r="8" spans="1:7" x14ac:dyDescent="0.3">
      <c r="A8" s="4" t="s">
        <v>21</v>
      </c>
      <c r="B8" s="3" t="s">
        <v>15</v>
      </c>
      <c r="C8" s="3" t="s">
        <v>16</v>
      </c>
      <c r="D8" s="3"/>
      <c r="E8" s="3"/>
      <c r="F8" s="3"/>
      <c r="G8" s="3" t="s">
        <v>123</v>
      </c>
    </row>
    <row r="9" spans="1:7" x14ac:dyDescent="0.3">
      <c r="A9" s="3" t="s">
        <v>22</v>
      </c>
      <c r="B9" s="3" t="s">
        <v>22</v>
      </c>
      <c r="C9" s="3" t="s">
        <v>23</v>
      </c>
      <c r="D9" s="3"/>
      <c r="E9" s="3"/>
      <c r="F9" s="3"/>
      <c r="G9" s="3" t="s">
        <v>165</v>
      </c>
    </row>
    <row r="10" spans="1:7" x14ac:dyDescent="0.3">
      <c r="A10" s="3" t="s">
        <v>24</v>
      </c>
      <c r="B10" s="3" t="s">
        <v>24</v>
      </c>
      <c r="C10" s="3" t="s">
        <v>16</v>
      </c>
      <c r="D10" s="3"/>
      <c r="E10" s="3"/>
      <c r="F10" s="3"/>
      <c r="G10" s="3" t="s">
        <v>170</v>
      </c>
    </row>
    <row r="11" spans="1:7" x14ac:dyDescent="0.3">
      <c r="A11" s="3" t="s">
        <v>25</v>
      </c>
      <c r="B11" s="3" t="s">
        <v>26</v>
      </c>
      <c r="C11" s="3" t="s">
        <v>27</v>
      </c>
      <c r="D11" s="3"/>
      <c r="E11" s="3"/>
      <c r="F11" s="3"/>
      <c r="G11" s="3" t="s">
        <v>297</v>
      </c>
    </row>
    <row r="12" spans="1:7" x14ac:dyDescent="0.3">
      <c r="A12" s="3" t="s">
        <v>28</v>
      </c>
      <c r="B12" s="3" t="s">
        <v>15</v>
      </c>
      <c r="C12" s="3" t="s">
        <v>16</v>
      </c>
      <c r="D12" s="3"/>
      <c r="E12" s="3"/>
      <c r="F12" s="3"/>
      <c r="G12" s="3" t="s">
        <v>526</v>
      </c>
    </row>
    <row r="13" spans="1:7" x14ac:dyDescent="0.3">
      <c r="A13" s="3" t="s">
        <v>29</v>
      </c>
      <c r="B13" s="3" t="s">
        <v>12</v>
      </c>
      <c r="C13" s="3" t="s">
        <v>12</v>
      </c>
      <c r="D13" s="3"/>
      <c r="E13" s="3"/>
      <c r="F13" s="3"/>
      <c r="G13" s="3" t="s">
        <v>528</v>
      </c>
    </row>
    <row r="14" spans="1:7" x14ac:dyDescent="0.3">
      <c r="A14" s="3" t="s">
        <v>30</v>
      </c>
      <c r="B14" s="3" t="s">
        <v>15</v>
      </c>
      <c r="C14" s="3" t="s">
        <v>16</v>
      </c>
      <c r="D14" s="3"/>
      <c r="E14" s="3"/>
      <c r="F14" s="3"/>
      <c r="G14" s="3" t="s">
        <v>527</v>
      </c>
    </row>
    <row r="15" spans="1:7" x14ac:dyDescent="0.3">
      <c r="A15" s="3" t="s">
        <v>31</v>
      </c>
      <c r="B15" s="3" t="s">
        <v>31</v>
      </c>
      <c r="C15" s="3" t="s">
        <v>31</v>
      </c>
      <c r="D15" s="3"/>
      <c r="E15" s="3"/>
      <c r="F15" s="3"/>
      <c r="G15" s="3" t="s">
        <v>529</v>
      </c>
    </row>
    <row r="16" spans="1:7" x14ac:dyDescent="0.3">
      <c r="A16" s="3" t="s">
        <v>32</v>
      </c>
      <c r="B16" s="3" t="s">
        <v>33</v>
      </c>
      <c r="C16" s="3" t="s">
        <v>34</v>
      </c>
      <c r="D16" s="3"/>
      <c r="E16" s="3"/>
      <c r="F16" s="3"/>
      <c r="G16" s="3" t="s">
        <v>122</v>
      </c>
    </row>
    <row r="17" spans="1:7" x14ac:dyDescent="0.3">
      <c r="A17" s="3" t="s">
        <v>35</v>
      </c>
      <c r="B17" s="3" t="s">
        <v>26</v>
      </c>
      <c r="C17" s="3" t="s">
        <v>27</v>
      </c>
      <c r="D17" s="3"/>
      <c r="E17" s="3"/>
      <c r="F17" s="3"/>
      <c r="G17" s="3" t="s">
        <v>530</v>
      </c>
    </row>
    <row r="18" spans="1:7" x14ac:dyDescent="0.3">
      <c r="A18" s="3" t="s">
        <v>36</v>
      </c>
      <c r="B18" s="3" t="s">
        <v>24</v>
      </c>
      <c r="C18" s="3" t="s">
        <v>16</v>
      </c>
      <c r="D18" s="3"/>
      <c r="E18" s="3"/>
      <c r="F18" s="3"/>
      <c r="G18" s="3" t="s">
        <v>377</v>
      </c>
    </row>
    <row r="19" spans="1:7" x14ac:dyDescent="0.3">
      <c r="A19" s="3" t="s">
        <v>37</v>
      </c>
      <c r="B19" s="3" t="s">
        <v>26</v>
      </c>
      <c r="C19" s="3" t="s">
        <v>27</v>
      </c>
      <c r="D19" s="3"/>
      <c r="E19" s="3"/>
      <c r="F19" s="3"/>
      <c r="G19" s="3" t="s">
        <v>390</v>
      </c>
    </row>
    <row r="20" spans="1:7" x14ac:dyDescent="0.3">
      <c r="A20" s="3" t="s">
        <v>38</v>
      </c>
      <c r="B20" s="3" t="s">
        <v>39</v>
      </c>
      <c r="C20" s="3" t="s">
        <v>40</v>
      </c>
      <c r="D20" s="3"/>
      <c r="E20" s="3"/>
      <c r="F20" s="3"/>
      <c r="G20" s="3" t="s">
        <v>391</v>
      </c>
    </row>
    <row r="21" spans="1:7" x14ac:dyDescent="0.3">
      <c r="A21" s="3" t="s">
        <v>41</v>
      </c>
      <c r="B21" s="3" t="s">
        <v>41</v>
      </c>
      <c r="C21" s="3" t="s">
        <v>16</v>
      </c>
      <c r="D21" s="3"/>
      <c r="E21" s="3"/>
      <c r="F21" s="3"/>
      <c r="G21" s="3" t="s">
        <v>298</v>
      </c>
    </row>
    <row r="22" spans="1:7" x14ac:dyDescent="0.3">
      <c r="A22" s="3" t="s">
        <v>42</v>
      </c>
      <c r="B22" s="3" t="s">
        <v>15</v>
      </c>
      <c r="C22" s="3" t="s">
        <v>16</v>
      </c>
      <c r="D22" s="3"/>
      <c r="E22" s="3"/>
      <c r="F22" s="3"/>
      <c r="G22" s="3" t="s">
        <v>124</v>
      </c>
    </row>
    <row r="23" spans="1:7" x14ac:dyDescent="0.3">
      <c r="A23" s="3" t="s">
        <v>43</v>
      </c>
      <c r="B23" s="3" t="s">
        <v>44</v>
      </c>
      <c r="C23" s="3" t="s">
        <v>16</v>
      </c>
      <c r="D23" s="3"/>
      <c r="E23" s="3"/>
      <c r="F23" s="3"/>
      <c r="G23" s="3" t="s">
        <v>301</v>
      </c>
    </row>
    <row r="24" spans="1:7" x14ac:dyDescent="0.3">
      <c r="A24" s="3" t="s">
        <v>45</v>
      </c>
      <c r="B24" s="3" t="s">
        <v>15</v>
      </c>
      <c r="C24" s="3" t="s">
        <v>16</v>
      </c>
      <c r="D24" s="3"/>
      <c r="E24" s="3"/>
      <c r="F24" s="3"/>
      <c r="G24" s="3" t="s">
        <v>302</v>
      </c>
    </row>
    <row r="25" spans="1:7" x14ac:dyDescent="0.3">
      <c r="A25" s="3" t="s">
        <v>46</v>
      </c>
      <c r="B25" s="3" t="s">
        <v>15</v>
      </c>
      <c r="C25" s="3" t="s">
        <v>16</v>
      </c>
      <c r="D25" s="3"/>
      <c r="E25" s="3"/>
      <c r="F25" s="3"/>
      <c r="G25" s="3" t="s">
        <v>116</v>
      </c>
    </row>
    <row r="26" spans="1:7" x14ac:dyDescent="0.3">
      <c r="A26" s="3" t="s">
        <v>47</v>
      </c>
      <c r="B26" s="3" t="s">
        <v>48</v>
      </c>
      <c r="C26" s="3" t="s">
        <v>16</v>
      </c>
      <c r="D26" s="3"/>
      <c r="E26" s="3"/>
      <c r="F26" s="3"/>
      <c r="G26" s="3" t="s">
        <v>114</v>
      </c>
    </row>
    <row r="27" spans="1:7" x14ac:dyDescent="0.3">
      <c r="A27" s="3" t="s">
        <v>49</v>
      </c>
      <c r="B27" s="3" t="s">
        <v>50</v>
      </c>
      <c r="C27" s="3" t="s">
        <v>44</v>
      </c>
      <c r="D27" s="3"/>
      <c r="E27" s="3"/>
      <c r="F27" s="3"/>
      <c r="G27" s="3" t="s">
        <v>127</v>
      </c>
    </row>
    <row r="28" spans="1:7" x14ac:dyDescent="0.3">
      <c r="A28" s="3" t="s">
        <v>48</v>
      </c>
      <c r="B28" s="3" t="s">
        <v>15</v>
      </c>
      <c r="C28" s="3" t="s">
        <v>16</v>
      </c>
      <c r="D28" s="3"/>
      <c r="E28" s="3"/>
      <c r="F28" s="3"/>
      <c r="G28" s="3" t="s">
        <v>421</v>
      </c>
    </row>
    <row r="29" spans="1:7" x14ac:dyDescent="0.3">
      <c r="A29" s="3" t="s">
        <v>51</v>
      </c>
      <c r="B29" s="3" t="s">
        <v>51</v>
      </c>
      <c r="C29" s="3" t="s">
        <v>16</v>
      </c>
      <c r="D29" s="3"/>
      <c r="E29" s="3"/>
      <c r="F29" s="3"/>
      <c r="G29" s="3" t="s">
        <v>117</v>
      </c>
    </row>
    <row r="30" spans="1:7" x14ac:dyDescent="0.3">
      <c r="A30" s="3" t="s">
        <v>52</v>
      </c>
      <c r="B30" s="3" t="s">
        <v>15</v>
      </c>
      <c r="C30" s="3" t="s">
        <v>16</v>
      </c>
      <c r="D30" s="3"/>
      <c r="E30" s="3"/>
      <c r="F30" s="3"/>
      <c r="G30" s="3" t="s">
        <v>118</v>
      </c>
    </row>
    <row r="31" spans="1:7" x14ac:dyDescent="0.3">
      <c r="A31" s="3" t="s">
        <v>53</v>
      </c>
      <c r="B31" s="3" t="s">
        <v>53</v>
      </c>
      <c r="C31" s="3" t="s">
        <v>54</v>
      </c>
      <c r="D31" s="3"/>
      <c r="E31" s="3"/>
      <c r="F31" s="3"/>
      <c r="G31" s="3" t="s">
        <v>119</v>
      </c>
    </row>
    <row r="32" spans="1:7" x14ac:dyDescent="0.3">
      <c r="A32" s="3" t="s">
        <v>55</v>
      </c>
      <c r="B32" s="3" t="s">
        <v>15</v>
      </c>
      <c r="C32" s="3" t="s">
        <v>16</v>
      </c>
      <c r="D32" s="3"/>
      <c r="E32" s="3"/>
      <c r="F32" s="3"/>
      <c r="G32" s="3" t="s">
        <v>428</v>
      </c>
    </row>
    <row r="33" spans="1:7" x14ac:dyDescent="0.3">
      <c r="A33" s="3" t="s">
        <v>56</v>
      </c>
      <c r="B33" s="3" t="s">
        <v>24</v>
      </c>
      <c r="C33" s="3" t="s">
        <v>16</v>
      </c>
      <c r="D33" s="3"/>
      <c r="E33" s="3"/>
      <c r="F33" s="3"/>
      <c r="G33" s="3" t="s">
        <v>155</v>
      </c>
    </row>
    <row r="34" spans="1:7" x14ac:dyDescent="0.3">
      <c r="A34" s="3" t="s">
        <v>57</v>
      </c>
      <c r="B34" s="3" t="s">
        <v>15</v>
      </c>
      <c r="C34" s="3" t="s">
        <v>16</v>
      </c>
      <c r="D34" s="3"/>
      <c r="E34" s="3"/>
      <c r="F34" s="3"/>
      <c r="G34" s="3" t="s">
        <v>411</v>
      </c>
    </row>
    <row r="35" spans="1:7" x14ac:dyDescent="0.3">
      <c r="A35" s="6" t="s">
        <v>58</v>
      </c>
      <c r="B35" s="6" t="s">
        <v>15</v>
      </c>
      <c r="C35" s="6" t="s">
        <v>16</v>
      </c>
      <c r="D35" s="3"/>
      <c r="E35" s="3"/>
      <c r="F35" s="3"/>
      <c r="G35" s="3" t="s">
        <v>156</v>
      </c>
    </row>
    <row r="36" spans="1:7" x14ac:dyDescent="0.3">
      <c r="A36" s="6" t="s">
        <v>59</v>
      </c>
      <c r="B36" s="6" t="s">
        <v>60</v>
      </c>
      <c r="C36" s="6" t="s">
        <v>16</v>
      </c>
      <c r="D36" s="6"/>
      <c r="E36" s="6"/>
      <c r="F36" s="6"/>
      <c r="G36" s="3" t="s">
        <v>115</v>
      </c>
    </row>
    <row r="37" spans="1:7" x14ac:dyDescent="0.3">
      <c r="A37" s="3"/>
      <c r="B37" s="3"/>
      <c r="C37" s="3"/>
      <c r="D37" s="3"/>
      <c r="E37" s="3"/>
      <c r="F37" s="3"/>
      <c r="G37" s="3" t="s">
        <v>300</v>
      </c>
    </row>
    <row r="38" spans="1:7" x14ac:dyDescent="0.3">
      <c r="A38" s="3"/>
      <c r="B38" s="3"/>
      <c r="C38" s="3"/>
      <c r="D38" s="3"/>
      <c r="E38" s="3"/>
      <c r="F38" s="3"/>
      <c r="G38" s="3" t="s">
        <v>299</v>
      </c>
    </row>
    <row r="39" spans="1:7" x14ac:dyDescent="0.3">
      <c r="A39" s="3"/>
      <c r="B39" s="3"/>
      <c r="C39" s="3"/>
      <c r="D39" s="3"/>
      <c r="E39" s="3"/>
      <c r="F39" s="3"/>
      <c r="G39" s="3" t="s">
        <v>125</v>
      </c>
    </row>
    <row r="40" spans="1:7" x14ac:dyDescent="0.3">
      <c r="A40" s="3"/>
      <c r="B40" s="3"/>
      <c r="C40" s="3"/>
      <c r="D40" s="3"/>
      <c r="E40" s="3"/>
      <c r="F40" s="3"/>
      <c r="G40" s="3" t="s">
        <v>539</v>
      </c>
    </row>
    <row r="41" spans="1:7" x14ac:dyDescent="0.3">
      <c r="A41" s="3"/>
      <c r="B41" s="3"/>
      <c r="C41" s="3"/>
      <c r="D41" s="3"/>
      <c r="E41" s="3"/>
      <c r="F41" s="3"/>
      <c r="G41" s="3" t="s">
        <v>305</v>
      </c>
    </row>
    <row r="42" spans="1:7" x14ac:dyDescent="0.3">
      <c r="A42" s="3"/>
      <c r="B42" s="3"/>
      <c r="C42" s="3"/>
      <c r="D42" s="3"/>
      <c r="E42" s="3"/>
      <c r="F42" s="3"/>
      <c r="G42" s="3" t="s">
        <v>149</v>
      </c>
    </row>
    <row r="43" spans="1:7" x14ac:dyDescent="0.3">
      <c r="A43" s="6"/>
      <c r="B43" s="6"/>
      <c r="C43" s="6"/>
      <c r="D43" s="6"/>
      <c r="E43" s="6"/>
      <c r="F43" s="6"/>
      <c r="G43" s="3" t="s">
        <v>431</v>
      </c>
    </row>
    <row r="44" spans="1:7" x14ac:dyDescent="0.3">
      <c r="A44" s="3"/>
      <c r="B44" s="3"/>
      <c r="C44" s="3"/>
      <c r="D44" s="3"/>
      <c r="E44" s="3"/>
      <c r="F44" s="3"/>
      <c r="G44" s="3" t="s">
        <v>306</v>
      </c>
    </row>
    <row r="45" spans="1:7" x14ac:dyDescent="0.3">
      <c r="A45" s="3"/>
      <c r="B45" s="3"/>
      <c r="C45" s="3"/>
      <c r="D45" s="3"/>
      <c r="E45" s="3"/>
      <c r="F45" s="3"/>
      <c r="G45" s="3" t="s">
        <v>75</v>
      </c>
    </row>
    <row r="46" spans="1:7" x14ac:dyDescent="0.3">
      <c r="A46" s="3"/>
      <c r="B46" s="3"/>
      <c r="C46" s="3"/>
      <c r="D46" s="3"/>
      <c r="E46" s="3"/>
      <c r="F46" s="3"/>
      <c r="G46" s="3" t="s">
        <v>77</v>
      </c>
    </row>
    <row r="47" spans="1:7" x14ac:dyDescent="0.3">
      <c r="A47" s="3"/>
      <c r="B47" s="3"/>
      <c r="C47" s="3"/>
      <c r="D47" s="3"/>
      <c r="E47" s="3"/>
      <c r="F47" s="3"/>
      <c r="G47" s="3" t="s">
        <v>121</v>
      </c>
    </row>
    <row r="48" spans="1:7" x14ac:dyDescent="0.3">
      <c r="A48" s="3"/>
      <c r="B48" s="3"/>
      <c r="C48" s="3"/>
      <c r="D48" s="3"/>
      <c r="E48" s="3"/>
      <c r="F48" s="3"/>
      <c r="G48" s="3" t="s">
        <v>120</v>
      </c>
    </row>
    <row r="49" spans="1:7" x14ac:dyDescent="0.3">
      <c r="A49" s="6"/>
      <c r="B49" s="6"/>
      <c r="C49" s="6"/>
      <c r="D49" s="6"/>
      <c r="E49" s="6"/>
      <c r="F49" s="6"/>
      <c r="G49" s="3" t="s">
        <v>304</v>
      </c>
    </row>
    <row r="50" spans="1:7" x14ac:dyDescent="0.3">
      <c r="A50" s="3"/>
      <c r="B50" s="3"/>
      <c r="C50" s="3"/>
      <c r="D50" s="3"/>
      <c r="E50" s="3"/>
      <c r="F50" s="3"/>
      <c r="G50" s="3" t="s">
        <v>389</v>
      </c>
    </row>
    <row r="51" spans="1:7" x14ac:dyDescent="0.3">
      <c r="A51" s="6"/>
      <c r="B51" s="6"/>
      <c r="C51" s="6"/>
      <c r="D51" s="6"/>
      <c r="E51" s="6"/>
      <c r="F51" s="6"/>
      <c r="G51" s="6"/>
    </row>
  </sheetData>
  <sortState xmlns:xlrd2="http://schemas.microsoft.com/office/spreadsheetml/2017/richdata2" ref="G2:G42">
    <sortCondition ref="G2:G42"/>
  </sortState>
  <phoneticPr fontId="1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8F8DE-6A97-4E63-9641-21BB77B0883C}">
  <dimension ref="A1:J135"/>
  <sheetViews>
    <sheetView zoomScale="90" zoomScaleNormal="90" workbookViewId="0">
      <selection activeCell="E82" sqref="E82"/>
    </sheetView>
  </sheetViews>
  <sheetFormatPr baseColWidth="10" defaultRowHeight="14.4" x14ac:dyDescent="0.3"/>
  <cols>
    <col min="1" max="1" width="25.6640625" customWidth="1"/>
    <col min="2" max="2" width="16.109375" customWidth="1"/>
    <col min="3" max="3" width="7.88671875" customWidth="1"/>
    <col min="4" max="4" width="26.109375" customWidth="1"/>
    <col min="5" max="5" width="20.6640625" customWidth="1"/>
    <col min="6" max="6" width="7.88671875" customWidth="1"/>
    <col min="7" max="7" width="25.5546875" customWidth="1"/>
    <col min="8" max="8" width="17.109375" customWidth="1"/>
    <col min="9" max="9" width="14" customWidth="1"/>
    <col min="10" max="10" width="12.6640625" bestFit="1" customWidth="1"/>
  </cols>
  <sheetData>
    <row r="1" spans="1:9" ht="14.4" customHeight="1" x14ac:dyDescent="0.4">
      <c r="A1" s="144" t="s">
        <v>488</v>
      </c>
      <c r="B1" s="144"/>
      <c r="C1" s="144"/>
      <c r="D1" s="144"/>
      <c r="E1" s="144"/>
      <c r="F1" s="144"/>
      <c r="G1" s="31"/>
      <c r="H1" s="31"/>
      <c r="I1" s="31"/>
    </row>
    <row r="2" spans="1:9" ht="14.4" customHeight="1" x14ac:dyDescent="0.4">
      <c r="A2" s="144"/>
      <c r="B2" s="144"/>
      <c r="C2" s="144"/>
      <c r="D2" s="144"/>
      <c r="E2" s="144"/>
      <c r="F2" s="144"/>
      <c r="G2" s="31"/>
      <c r="H2" s="31"/>
      <c r="I2" s="31"/>
    </row>
    <row r="4" spans="1:9" x14ac:dyDescent="0.3">
      <c r="A4" s="149" t="s">
        <v>583</v>
      </c>
      <c r="B4" s="150"/>
      <c r="D4" s="149" t="s">
        <v>584</v>
      </c>
      <c r="E4" s="150"/>
    </row>
    <row r="5" spans="1:9" x14ac:dyDescent="0.3">
      <c r="A5" t="s">
        <v>111</v>
      </c>
      <c r="B5" t="s">
        <v>112</v>
      </c>
      <c r="D5" t="s">
        <v>111</v>
      </c>
      <c r="E5" t="s">
        <v>112</v>
      </c>
    </row>
    <row r="6" spans="1:9" x14ac:dyDescent="0.3">
      <c r="A6" t="s">
        <v>126</v>
      </c>
      <c r="B6" s="10">
        <v>125410</v>
      </c>
      <c r="D6" t="s">
        <v>165</v>
      </c>
      <c r="E6" s="10">
        <v>99300</v>
      </c>
    </row>
    <row r="7" spans="1:9" x14ac:dyDescent="0.3">
      <c r="A7" t="s">
        <v>123</v>
      </c>
      <c r="B7" s="10">
        <v>118272</v>
      </c>
      <c r="D7" t="s">
        <v>170</v>
      </c>
      <c r="E7" s="10">
        <v>105300</v>
      </c>
    </row>
    <row r="8" spans="1:9" x14ac:dyDescent="0.3">
      <c r="A8" t="s">
        <v>165</v>
      </c>
      <c r="B8" s="10">
        <v>103488</v>
      </c>
      <c r="D8" t="s">
        <v>122</v>
      </c>
      <c r="E8" s="10">
        <v>96800</v>
      </c>
    </row>
    <row r="9" spans="1:9" x14ac:dyDescent="0.3">
      <c r="A9" t="s">
        <v>170</v>
      </c>
      <c r="B9" s="10">
        <v>103488</v>
      </c>
      <c r="D9" t="s">
        <v>124</v>
      </c>
      <c r="E9" s="10">
        <v>965231</v>
      </c>
    </row>
    <row r="10" spans="1:9" x14ac:dyDescent="0.3">
      <c r="A10" t="s">
        <v>122</v>
      </c>
      <c r="B10" s="10">
        <v>81984</v>
      </c>
      <c r="D10" t="s">
        <v>116</v>
      </c>
      <c r="E10" s="10">
        <v>169400</v>
      </c>
    </row>
    <row r="11" spans="1:9" x14ac:dyDescent="0.3">
      <c r="A11" t="s">
        <v>377</v>
      </c>
      <c r="B11" s="10">
        <v>118272</v>
      </c>
      <c r="D11" t="s">
        <v>114</v>
      </c>
      <c r="E11" s="10">
        <v>135700</v>
      </c>
    </row>
    <row r="12" spans="1:9" x14ac:dyDescent="0.3">
      <c r="A12" t="s">
        <v>124</v>
      </c>
      <c r="B12" s="10">
        <v>118272</v>
      </c>
      <c r="D12" t="s">
        <v>127</v>
      </c>
      <c r="E12" s="10">
        <v>135700</v>
      </c>
    </row>
    <row r="13" spans="1:9" x14ac:dyDescent="0.3">
      <c r="A13" t="s">
        <v>116</v>
      </c>
      <c r="B13" s="10">
        <v>196000</v>
      </c>
      <c r="D13" t="s">
        <v>421</v>
      </c>
      <c r="E13" s="10">
        <v>135700</v>
      </c>
    </row>
    <row r="14" spans="1:9" x14ac:dyDescent="0.3">
      <c r="A14" t="s">
        <v>114</v>
      </c>
      <c r="B14" s="10">
        <v>128128</v>
      </c>
      <c r="D14" t="s">
        <v>117</v>
      </c>
      <c r="E14" s="10">
        <v>135700</v>
      </c>
    </row>
    <row r="15" spans="1:9" x14ac:dyDescent="0.3">
      <c r="A15" t="s">
        <v>127</v>
      </c>
      <c r="B15" s="10">
        <v>128128</v>
      </c>
      <c r="D15" t="s">
        <v>411</v>
      </c>
      <c r="E15" s="10">
        <v>135700</v>
      </c>
    </row>
    <row r="16" spans="1:9" x14ac:dyDescent="0.3">
      <c r="A16" t="s">
        <v>421</v>
      </c>
      <c r="B16" s="10">
        <v>128128</v>
      </c>
      <c r="D16" t="s">
        <v>118</v>
      </c>
      <c r="E16" s="10">
        <v>135700</v>
      </c>
    </row>
    <row r="17" spans="1:8" x14ac:dyDescent="0.3">
      <c r="A17" t="s">
        <v>117</v>
      </c>
      <c r="B17" s="10">
        <v>196000</v>
      </c>
      <c r="D17" t="s">
        <v>119</v>
      </c>
      <c r="E17" s="10">
        <v>154100</v>
      </c>
    </row>
    <row r="18" spans="1:8" x14ac:dyDescent="0.3">
      <c r="A18" t="s">
        <v>411</v>
      </c>
      <c r="B18" s="10">
        <v>128128</v>
      </c>
      <c r="D18" t="s">
        <v>428</v>
      </c>
      <c r="E18" s="10">
        <v>135700</v>
      </c>
    </row>
    <row r="19" spans="1:8" x14ac:dyDescent="0.3">
      <c r="A19" t="s">
        <v>118</v>
      </c>
      <c r="B19" s="10">
        <v>128128</v>
      </c>
      <c r="D19" t="s">
        <v>155</v>
      </c>
      <c r="E19" s="10">
        <v>135700</v>
      </c>
    </row>
    <row r="20" spans="1:8" x14ac:dyDescent="0.3">
      <c r="A20" t="s">
        <v>119</v>
      </c>
      <c r="B20" s="10">
        <v>128128</v>
      </c>
      <c r="D20" t="s">
        <v>156</v>
      </c>
      <c r="E20" s="10">
        <v>154100</v>
      </c>
    </row>
    <row r="21" spans="1:8" x14ac:dyDescent="0.3">
      <c r="A21" t="s">
        <v>428</v>
      </c>
      <c r="B21" s="10">
        <v>128128</v>
      </c>
      <c r="D21" t="s">
        <v>115</v>
      </c>
      <c r="E21" s="10">
        <v>154100</v>
      </c>
    </row>
    <row r="22" spans="1:8" x14ac:dyDescent="0.3">
      <c r="A22" t="s">
        <v>155</v>
      </c>
      <c r="B22" s="10">
        <v>128128</v>
      </c>
      <c r="D22" t="s">
        <v>149</v>
      </c>
      <c r="E22" s="10">
        <v>69700</v>
      </c>
    </row>
    <row r="23" spans="1:8" x14ac:dyDescent="0.3">
      <c r="A23" t="s">
        <v>156</v>
      </c>
      <c r="B23" s="10">
        <v>128128</v>
      </c>
      <c r="D23" t="s">
        <v>75</v>
      </c>
      <c r="E23" s="10">
        <v>140200</v>
      </c>
    </row>
    <row r="24" spans="1:8" x14ac:dyDescent="0.3">
      <c r="A24" t="s">
        <v>115</v>
      </c>
      <c r="B24" s="10">
        <v>128128</v>
      </c>
      <c r="D24" t="s">
        <v>77</v>
      </c>
      <c r="E24" s="10">
        <v>107900</v>
      </c>
    </row>
    <row r="25" spans="1:8" x14ac:dyDescent="0.3">
      <c r="A25" t="s">
        <v>125</v>
      </c>
      <c r="B25" s="10">
        <v>118272</v>
      </c>
      <c r="D25" t="s">
        <v>121</v>
      </c>
      <c r="E25" s="10">
        <v>107900</v>
      </c>
    </row>
    <row r="26" spans="1:8" x14ac:dyDescent="0.3">
      <c r="A26" t="s">
        <v>149</v>
      </c>
      <c r="B26" s="10">
        <v>98000</v>
      </c>
      <c r="D26" t="s">
        <v>120</v>
      </c>
      <c r="E26" s="10">
        <v>107900</v>
      </c>
      <c r="G26" s="11"/>
      <c r="H26" s="11"/>
    </row>
    <row r="27" spans="1:8" x14ac:dyDescent="0.3">
      <c r="A27" t="s">
        <v>431</v>
      </c>
      <c r="B27" s="10">
        <v>118272</v>
      </c>
      <c r="E27" s="10"/>
    </row>
    <row r="28" spans="1:8" x14ac:dyDescent="0.3">
      <c r="A28" t="s">
        <v>75</v>
      </c>
      <c r="B28" s="10">
        <v>128128</v>
      </c>
      <c r="E28" s="10"/>
    </row>
    <row r="29" spans="1:8" x14ac:dyDescent="0.3">
      <c r="A29" t="s">
        <v>77</v>
      </c>
      <c r="B29" s="10">
        <v>128128</v>
      </c>
      <c r="E29" s="10"/>
    </row>
    <row r="30" spans="1:8" x14ac:dyDescent="0.3">
      <c r="A30" t="s">
        <v>121</v>
      </c>
      <c r="B30" s="10">
        <v>25000</v>
      </c>
      <c r="E30" s="10"/>
    </row>
    <row r="31" spans="1:8" x14ac:dyDescent="0.3">
      <c r="A31" t="s">
        <v>120</v>
      </c>
      <c r="B31" s="10">
        <v>128128</v>
      </c>
      <c r="E31" s="10"/>
    </row>
    <row r="32" spans="1:8" ht="14.4" customHeight="1" x14ac:dyDescent="0.4">
      <c r="B32" s="10"/>
      <c r="C32" s="19"/>
    </row>
    <row r="33" spans="1:10" ht="14.4" customHeight="1" x14ac:dyDescent="0.4">
      <c r="B33" s="10"/>
      <c r="C33" s="19"/>
      <c r="D33" s="19"/>
      <c r="E33" s="19"/>
    </row>
    <row r="34" spans="1:10" ht="28.2" customHeight="1" x14ac:dyDescent="0.4">
      <c r="A34" s="151" t="s">
        <v>489</v>
      </c>
      <c r="B34" s="151"/>
      <c r="C34" s="151"/>
      <c r="D34" s="151"/>
      <c r="E34" s="151"/>
      <c r="F34" s="151"/>
      <c r="G34" s="151"/>
      <c r="H34" s="151"/>
      <c r="I34" s="151"/>
    </row>
    <row r="35" spans="1:10" ht="21" x14ac:dyDescent="0.4">
      <c r="A35" s="19"/>
      <c r="B35" s="19"/>
      <c r="D35" s="19"/>
      <c r="E35" s="19"/>
    </row>
    <row r="37" spans="1:10" x14ac:dyDescent="0.3">
      <c r="A37" s="149" t="s">
        <v>581</v>
      </c>
      <c r="B37" s="150"/>
      <c r="D37" s="149" t="s">
        <v>582</v>
      </c>
      <c r="E37" s="150"/>
      <c r="G37" s="147" t="s">
        <v>585</v>
      </c>
      <c r="H37" s="147"/>
    </row>
    <row r="38" spans="1:10" x14ac:dyDescent="0.3">
      <c r="A38" t="s">
        <v>111</v>
      </c>
      <c r="B38" t="s">
        <v>112</v>
      </c>
      <c r="D38" t="s">
        <v>111</v>
      </c>
      <c r="E38" t="s">
        <v>112</v>
      </c>
      <c r="G38" t="s">
        <v>111</v>
      </c>
      <c r="H38" t="s">
        <v>112</v>
      </c>
    </row>
    <row r="39" spans="1:10" x14ac:dyDescent="0.3">
      <c r="A39" t="s">
        <v>294</v>
      </c>
      <c r="B39" s="10">
        <v>65000</v>
      </c>
      <c r="D39" t="s">
        <v>294</v>
      </c>
      <c r="E39" s="10">
        <v>47500</v>
      </c>
      <c r="G39" t="s">
        <v>526</v>
      </c>
      <c r="H39" s="10">
        <v>280000</v>
      </c>
    </row>
    <row r="40" spans="1:10" x14ac:dyDescent="0.3">
      <c r="A40" t="s">
        <v>296</v>
      </c>
      <c r="B40" s="10">
        <v>65000</v>
      </c>
      <c r="D40" t="s">
        <v>296</v>
      </c>
      <c r="E40" s="10">
        <v>47500</v>
      </c>
      <c r="G40" t="s">
        <v>527</v>
      </c>
      <c r="H40" s="10">
        <v>280000</v>
      </c>
    </row>
    <row r="41" spans="1:10" x14ac:dyDescent="0.3">
      <c r="A41" t="s">
        <v>295</v>
      </c>
      <c r="B41" s="10">
        <v>65000</v>
      </c>
      <c r="D41" t="s">
        <v>295</v>
      </c>
      <c r="E41" s="10">
        <v>47500</v>
      </c>
      <c r="G41" t="s">
        <v>528</v>
      </c>
      <c r="H41" s="10">
        <v>420000</v>
      </c>
    </row>
    <row r="42" spans="1:10" x14ac:dyDescent="0.3">
      <c r="A42" t="s">
        <v>388</v>
      </c>
      <c r="B42" s="10">
        <v>75000</v>
      </c>
      <c r="D42" t="s">
        <v>388</v>
      </c>
      <c r="E42" s="10">
        <v>60000</v>
      </c>
      <c r="G42" t="s">
        <v>529</v>
      </c>
      <c r="H42" s="10">
        <v>420000</v>
      </c>
    </row>
    <row r="43" spans="1:10" x14ac:dyDescent="0.3">
      <c r="A43" t="s">
        <v>126</v>
      </c>
      <c r="B43" s="10">
        <v>75000</v>
      </c>
      <c r="D43" t="s">
        <v>126</v>
      </c>
      <c r="E43" s="10">
        <v>60000</v>
      </c>
    </row>
    <row r="44" spans="1:10" x14ac:dyDescent="0.3">
      <c r="A44" t="s">
        <v>123</v>
      </c>
      <c r="B44" s="10">
        <v>75000</v>
      </c>
      <c r="D44" t="s">
        <v>123</v>
      </c>
      <c r="E44" s="10">
        <v>60000</v>
      </c>
    </row>
    <row r="45" spans="1:10" x14ac:dyDescent="0.3">
      <c r="A45" t="s">
        <v>122</v>
      </c>
      <c r="B45" s="10">
        <v>112500</v>
      </c>
      <c r="D45" t="s">
        <v>122</v>
      </c>
      <c r="E45" s="10">
        <v>87000</v>
      </c>
    </row>
    <row r="46" spans="1:10" x14ac:dyDescent="0.3">
      <c r="A46" t="s">
        <v>377</v>
      </c>
      <c r="B46" s="10">
        <v>100000</v>
      </c>
      <c r="D46" t="s">
        <v>377</v>
      </c>
      <c r="E46" s="10">
        <v>119000</v>
      </c>
      <c r="G46" s="145" t="s">
        <v>569</v>
      </c>
      <c r="H46" s="146"/>
      <c r="I46" s="146"/>
      <c r="J46" s="146"/>
    </row>
    <row r="47" spans="1:10" x14ac:dyDescent="0.3">
      <c r="A47" t="s">
        <v>390</v>
      </c>
      <c r="B47" s="10">
        <v>40000</v>
      </c>
      <c r="D47" t="s">
        <v>390</v>
      </c>
      <c r="E47" s="10">
        <v>35000</v>
      </c>
      <c r="G47" t="s">
        <v>111</v>
      </c>
      <c r="H47" t="s">
        <v>581</v>
      </c>
      <c r="I47" t="s">
        <v>582</v>
      </c>
      <c r="J47" t="s">
        <v>586</v>
      </c>
    </row>
    <row r="48" spans="1:10" x14ac:dyDescent="0.3">
      <c r="A48" t="s">
        <v>391</v>
      </c>
      <c r="B48" s="10">
        <v>0</v>
      </c>
      <c r="D48" t="s">
        <v>391</v>
      </c>
      <c r="E48" s="10">
        <v>50000</v>
      </c>
      <c r="G48" s="25" t="s">
        <v>564</v>
      </c>
      <c r="H48" s="26">
        <v>65000</v>
      </c>
      <c r="I48" s="26">
        <v>47500</v>
      </c>
      <c r="J48" s="44">
        <f>ABS(Tabla11[[#This Row],[Proveedor "A"]]-Tabla11[[#This Row],[Proveedor "B"]])</f>
        <v>17500</v>
      </c>
    </row>
    <row r="49" spans="1:10" x14ac:dyDescent="0.3">
      <c r="A49" t="s">
        <v>298</v>
      </c>
      <c r="B49" s="10">
        <v>80000</v>
      </c>
      <c r="D49" t="s">
        <v>298</v>
      </c>
      <c r="E49" s="10">
        <v>79500</v>
      </c>
      <c r="G49" s="20" t="s">
        <v>568</v>
      </c>
      <c r="H49" s="21">
        <v>75000</v>
      </c>
      <c r="I49" s="21">
        <v>60000</v>
      </c>
      <c r="J49" s="44">
        <f>ABS(Tabla11[[#This Row],[Proveedor "A"]]-Tabla11[[#This Row],[Proveedor "B"]])</f>
        <v>15000</v>
      </c>
    </row>
    <row r="50" spans="1:10" x14ac:dyDescent="0.3">
      <c r="A50" t="s">
        <v>124</v>
      </c>
      <c r="B50" s="10">
        <v>80000</v>
      </c>
      <c r="D50" t="s">
        <v>124</v>
      </c>
      <c r="E50" s="10">
        <v>93500</v>
      </c>
      <c r="G50" s="25" t="s">
        <v>122</v>
      </c>
      <c r="H50" s="26">
        <v>112500</v>
      </c>
      <c r="I50" s="26">
        <v>87000</v>
      </c>
      <c r="J50" s="44">
        <f>ABS(Tabla11[[#This Row],[Proveedor "A"]]-Tabla11[[#This Row],[Proveedor "B"]])</f>
        <v>25500</v>
      </c>
    </row>
    <row r="51" spans="1:10" x14ac:dyDescent="0.3">
      <c r="A51" t="s">
        <v>301</v>
      </c>
      <c r="B51" s="10">
        <v>0</v>
      </c>
      <c r="D51" t="s">
        <v>301</v>
      </c>
      <c r="E51" s="10">
        <v>73500</v>
      </c>
      <c r="G51" s="20" t="s">
        <v>566</v>
      </c>
      <c r="H51" s="21">
        <v>100000</v>
      </c>
      <c r="I51" s="21">
        <v>119000</v>
      </c>
      <c r="J51" s="44">
        <f>ABS(Tabla11[[#This Row],[Proveedor "A"]]-Tabla11[[#This Row],[Proveedor "B"]])</f>
        <v>19000</v>
      </c>
    </row>
    <row r="52" spans="1:10" x14ac:dyDescent="0.3">
      <c r="A52" t="s">
        <v>302</v>
      </c>
      <c r="B52" s="10">
        <v>0</v>
      </c>
      <c r="D52" t="s">
        <v>302</v>
      </c>
      <c r="E52" s="10">
        <v>55000</v>
      </c>
      <c r="G52" s="25" t="s">
        <v>567</v>
      </c>
      <c r="H52" s="26">
        <v>50000</v>
      </c>
      <c r="I52" s="26">
        <v>89500</v>
      </c>
      <c r="J52" s="44">
        <f>ABS(Tabla11[[#This Row],[Proveedor "A"]]-Tabla11[[#This Row],[Proveedor "B"]])</f>
        <v>39500</v>
      </c>
    </row>
    <row r="53" spans="1:10" x14ac:dyDescent="0.3">
      <c r="A53" t="s">
        <v>116</v>
      </c>
      <c r="B53" s="10">
        <v>45000</v>
      </c>
      <c r="D53" t="s">
        <v>116</v>
      </c>
      <c r="E53" s="10">
        <v>46000</v>
      </c>
      <c r="G53" s="20" t="s">
        <v>390</v>
      </c>
      <c r="H53" s="21">
        <v>40000</v>
      </c>
      <c r="I53" s="21">
        <v>35000</v>
      </c>
      <c r="J53" s="44">
        <f>ABS(Tabla11[[#This Row],[Proveedor "A"]]-Tabla11[[#This Row],[Proveedor "B"]])</f>
        <v>5000</v>
      </c>
    </row>
    <row r="54" spans="1:10" x14ac:dyDescent="0.3">
      <c r="A54" t="s">
        <v>114</v>
      </c>
      <c r="B54" s="10">
        <v>45000</v>
      </c>
      <c r="D54" t="s">
        <v>114</v>
      </c>
      <c r="E54" s="10">
        <v>46000</v>
      </c>
      <c r="G54" s="25" t="s">
        <v>563</v>
      </c>
      <c r="H54" s="26">
        <v>80000</v>
      </c>
      <c r="I54" s="26">
        <v>79500</v>
      </c>
      <c r="J54" s="44">
        <f>ABS(Tabla11[[#This Row],[Proveedor "A"]]-Tabla11[[#This Row],[Proveedor "B"]])</f>
        <v>500</v>
      </c>
    </row>
    <row r="55" spans="1:10" x14ac:dyDescent="0.3">
      <c r="A55" t="s">
        <v>127</v>
      </c>
      <c r="B55" s="10">
        <v>45000</v>
      </c>
      <c r="D55" t="s">
        <v>127</v>
      </c>
      <c r="E55" s="10">
        <v>46000</v>
      </c>
      <c r="G55" s="20" t="s">
        <v>565</v>
      </c>
      <c r="H55" s="21">
        <v>45000</v>
      </c>
      <c r="I55" s="21">
        <v>46000</v>
      </c>
      <c r="J55" s="44">
        <f>ABS(Tabla11[[#This Row],[Proveedor "A"]]-Tabla11[[#This Row],[Proveedor "B"]])</f>
        <v>1000</v>
      </c>
    </row>
    <row r="56" spans="1:10" x14ac:dyDescent="0.3">
      <c r="A56" t="s">
        <v>421</v>
      </c>
      <c r="B56" s="10">
        <v>45000</v>
      </c>
      <c r="D56" t="s">
        <v>421</v>
      </c>
      <c r="E56" s="10">
        <v>46000</v>
      </c>
      <c r="G56" s="25" t="s">
        <v>300</v>
      </c>
      <c r="H56" s="26">
        <v>100000</v>
      </c>
      <c r="I56" s="26">
        <v>119500</v>
      </c>
      <c r="J56" s="44">
        <f>ABS(Tabla11[[#This Row],[Proveedor "A"]]-Tabla11[[#This Row],[Proveedor "B"]])</f>
        <v>19500</v>
      </c>
    </row>
    <row r="57" spans="1:10" x14ac:dyDescent="0.3">
      <c r="A57" t="s">
        <v>117</v>
      </c>
      <c r="B57" s="10">
        <v>45000</v>
      </c>
      <c r="D57" t="s">
        <v>117</v>
      </c>
      <c r="E57" s="10">
        <v>46000</v>
      </c>
      <c r="G57" s="28" t="s">
        <v>305</v>
      </c>
      <c r="H57" s="29">
        <v>40000</v>
      </c>
      <c r="I57" s="29">
        <v>87000</v>
      </c>
      <c r="J57" s="44">
        <f>ABS(Tabla11[[#This Row],[Proveedor "A"]]-Tabla11[[#This Row],[Proveedor "B"]])</f>
        <v>47000</v>
      </c>
    </row>
    <row r="58" spans="1:10" x14ac:dyDescent="0.3">
      <c r="A58" t="s">
        <v>411</v>
      </c>
      <c r="B58" s="10">
        <v>45000</v>
      </c>
      <c r="D58" t="s">
        <v>411</v>
      </c>
      <c r="E58" s="10">
        <v>46000</v>
      </c>
      <c r="G58" s="27" t="s">
        <v>389</v>
      </c>
      <c r="H58" s="30">
        <v>40000</v>
      </c>
      <c r="I58" s="30">
        <v>27000</v>
      </c>
      <c r="J58" s="44">
        <f>ABS(Tabla11[[#This Row],[Proveedor "A"]]-Tabla11[[#This Row],[Proveedor "B"]])</f>
        <v>13000</v>
      </c>
    </row>
    <row r="59" spans="1:10" x14ac:dyDescent="0.3">
      <c r="A59" t="s">
        <v>118</v>
      </c>
      <c r="B59" s="10">
        <v>45000</v>
      </c>
      <c r="D59" t="s">
        <v>118</v>
      </c>
      <c r="E59" s="10">
        <v>46000</v>
      </c>
      <c r="G59" s="45" t="s">
        <v>574</v>
      </c>
      <c r="H59" s="46">
        <f>SUM(Tabla11[Proveedor "A"])</f>
        <v>747500</v>
      </c>
      <c r="I59" s="46">
        <f>SUM(Tabla11[Proveedor "B"])</f>
        <v>797000</v>
      </c>
      <c r="J59" s="46">
        <f>ABS(Tabla11[[#Totals],[Proveedor "A"]]-Tabla11[[#Totals],[Proveedor "B"]])</f>
        <v>49500</v>
      </c>
    </row>
    <row r="60" spans="1:10" x14ac:dyDescent="0.3">
      <c r="A60" t="s">
        <v>119</v>
      </c>
      <c r="B60" s="10">
        <v>45000</v>
      </c>
      <c r="D60" t="s">
        <v>119</v>
      </c>
      <c r="E60" s="10">
        <v>46000</v>
      </c>
    </row>
    <row r="61" spans="1:10" x14ac:dyDescent="0.3">
      <c r="A61" t="s">
        <v>428</v>
      </c>
      <c r="B61" s="10">
        <v>45000</v>
      </c>
      <c r="D61" t="s">
        <v>428</v>
      </c>
      <c r="E61" s="10">
        <v>46000</v>
      </c>
    </row>
    <row r="62" spans="1:10" x14ac:dyDescent="0.3">
      <c r="A62" t="s">
        <v>155</v>
      </c>
      <c r="B62" s="10">
        <v>45000</v>
      </c>
      <c r="D62" t="s">
        <v>156</v>
      </c>
      <c r="E62" s="10">
        <v>46000</v>
      </c>
    </row>
    <row r="63" spans="1:10" x14ac:dyDescent="0.3">
      <c r="A63" t="s">
        <v>156</v>
      </c>
      <c r="B63" s="10">
        <v>45000</v>
      </c>
      <c r="D63" t="s">
        <v>115</v>
      </c>
      <c r="E63" s="10">
        <v>46000</v>
      </c>
    </row>
    <row r="64" spans="1:10" x14ac:dyDescent="0.3">
      <c r="A64" t="s">
        <v>115</v>
      </c>
      <c r="B64" s="10">
        <v>45000</v>
      </c>
      <c r="D64" t="s">
        <v>510</v>
      </c>
      <c r="E64" s="10">
        <v>46000</v>
      </c>
    </row>
    <row r="65" spans="1:5" x14ac:dyDescent="0.3">
      <c r="A65" t="s">
        <v>300</v>
      </c>
      <c r="B65" s="10">
        <v>100000</v>
      </c>
      <c r="D65" t="s">
        <v>300</v>
      </c>
      <c r="E65" s="10">
        <v>119500</v>
      </c>
    </row>
    <row r="66" spans="1:5" x14ac:dyDescent="0.3">
      <c r="A66" t="s">
        <v>299</v>
      </c>
      <c r="B66" s="10">
        <v>0</v>
      </c>
      <c r="D66" t="s">
        <v>299</v>
      </c>
      <c r="E66" s="10">
        <v>73500</v>
      </c>
    </row>
    <row r="67" spans="1:5" x14ac:dyDescent="0.3">
      <c r="A67" t="s">
        <v>125</v>
      </c>
      <c r="B67" s="10">
        <v>100000</v>
      </c>
      <c r="D67" t="s">
        <v>125</v>
      </c>
      <c r="E67" s="10">
        <v>119000</v>
      </c>
    </row>
    <row r="68" spans="1:5" x14ac:dyDescent="0.3">
      <c r="A68" t="s">
        <v>499</v>
      </c>
      <c r="B68" s="10">
        <v>50000</v>
      </c>
      <c r="D68" t="s">
        <v>562</v>
      </c>
      <c r="E68" s="10">
        <v>89500</v>
      </c>
    </row>
    <row r="69" spans="1:5" x14ac:dyDescent="0.3">
      <c r="A69" t="s">
        <v>305</v>
      </c>
      <c r="B69" s="10">
        <v>40000</v>
      </c>
      <c r="D69" t="s">
        <v>305</v>
      </c>
      <c r="E69" s="10">
        <v>87000</v>
      </c>
    </row>
    <row r="70" spans="1:5" x14ac:dyDescent="0.3">
      <c r="A70" t="s">
        <v>149</v>
      </c>
      <c r="B70" s="10">
        <v>45000</v>
      </c>
      <c r="D70" t="s">
        <v>149</v>
      </c>
      <c r="E70" s="10">
        <v>46000</v>
      </c>
    </row>
    <row r="71" spans="1:5" ht="14.4" customHeight="1" x14ac:dyDescent="0.3">
      <c r="A71" t="s">
        <v>431</v>
      </c>
      <c r="B71" s="10">
        <v>100000</v>
      </c>
      <c r="D71" t="s">
        <v>431</v>
      </c>
      <c r="E71" s="10">
        <v>200000</v>
      </c>
    </row>
    <row r="72" spans="1:5" x14ac:dyDescent="0.3">
      <c r="A72" t="s">
        <v>304</v>
      </c>
      <c r="B72" s="10">
        <v>0</v>
      </c>
      <c r="D72" t="s">
        <v>304</v>
      </c>
      <c r="E72" s="10">
        <v>27000</v>
      </c>
    </row>
    <row r="73" spans="1:5" x14ac:dyDescent="0.3">
      <c r="A73" t="s">
        <v>389</v>
      </c>
      <c r="B73" s="10">
        <v>40000</v>
      </c>
      <c r="D73" t="s">
        <v>389</v>
      </c>
      <c r="E73" s="10">
        <v>47500</v>
      </c>
    </row>
    <row r="74" spans="1:5" x14ac:dyDescent="0.3">
      <c r="B74" s="10"/>
      <c r="D74" t="s">
        <v>530</v>
      </c>
      <c r="E74" s="10">
        <v>89500</v>
      </c>
    </row>
    <row r="75" spans="1:5" x14ac:dyDescent="0.3">
      <c r="B75" s="10"/>
      <c r="D75" s="20" t="s">
        <v>531</v>
      </c>
      <c r="E75" s="21">
        <v>89500</v>
      </c>
    </row>
    <row r="76" spans="1:5" x14ac:dyDescent="0.3">
      <c r="B76" s="10"/>
      <c r="D76" t="s">
        <v>539</v>
      </c>
      <c r="E76" s="10">
        <v>89500</v>
      </c>
    </row>
    <row r="77" spans="1:5" x14ac:dyDescent="0.3">
      <c r="B77" s="10"/>
    </row>
    <row r="78" spans="1:5" x14ac:dyDescent="0.3">
      <c r="B78" s="10"/>
    </row>
    <row r="79" spans="1:5" x14ac:dyDescent="0.3">
      <c r="B79" s="10"/>
    </row>
    <row r="86" spans="1:2" hidden="1" x14ac:dyDescent="0.3">
      <c r="A86" s="148" t="s">
        <v>76</v>
      </c>
      <c r="B86" s="148"/>
    </row>
    <row r="87" spans="1:2" hidden="1" x14ac:dyDescent="0.3">
      <c r="A87" t="s">
        <v>111</v>
      </c>
      <c r="B87" t="s">
        <v>112</v>
      </c>
    </row>
    <row r="88" spans="1:2" hidden="1" x14ac:dyDescent="0.3">
      <c r="A88" t="s">
        <v>294</v>
      </c>
      <c r="B88">
        <v>0</v>
      </c>
    </row>
    <row r="89" spans="1:2" hidden="1" x14ac:dyDescent="0.3">
      <c r="A89" t="s">
        <v>296</v>
      </c>
      <c r="B89">
        <v>0</v>
      </c>
    </row>
    <row r="90" spans="1:2" hidden="1" x14ac:dyDescent="0.3">
      <c r="A90" t="s">
        <v>295</v>
      </c>
      <c r="B90">
        <v>0</v>
      </c>
    </row>
    <row r="91" spans="1:2" hidden="1" x14ac:dyDescent="0.3">
      <c r="A91" t="s">
        <v>388</v>
      </c>
      <c r="B91">
        <v>0</v>
      </c>
    </row>
    <row r="92" spans="1:2" hidden="1" x14ac:dyDescent="0.3">
      <c r="A92" t="s">
        <v>126</v>
      </c>
      <c r="B92">
        <v>0</v>
      </c>
    </row>
    <row r="93" spans="1:2" hidden="1" x14ac:dyDescent="0.3">
      <c r="A93" t="s">
        <v>126</v>
      </c>
      <c r="B93">
        <v>0</v>
      </c>
    </row>
    <row r="94" spans="1:2" hidden="1" x14ac:dyDescent="0.3">
      <c r="A94" t="s">
        <v>123</v>
      </c>
      <c r="B94">
        <v>0</v>
      </c>
    </row>
    <row r="95" spans="1:2" hidden="1" x14ac:dyDescent="0.3">
      <c r="A95" t="s">
        <v>165</v>
      </c>
      <c r="B95">
        <v>0</v>
      </c>
    </row>
    <row r="96" spans="1:2" hidden="1" x14ac:dyDescent="0.3">
      <c r="A96" t="s">
        <v>170</v>
      </c>
      <c r="B96">
        <v>0</v>
      </c>
    </row>
    <row r="97" spans="1:2" hidden="1" x14ac:dyDescent="0.3">
      <c r="A97" t="s">
        <v>297</v>
      </c>
      <c r="B97">
        <v>0</v>
      </c>
    </row>
    <row r="98" spans="1:2" hidden="1" x14ac:dyDescent="0.3">
      <c r="A98" t="s">
        <v>526</v>
      </c>
      <c r="B98">
        <v>0</v>
      </c>
    </row>
    <row r="99" spans="1:2" hidden="1" x14ac:dyDescent="0.3">
      <c r="A99" t="s">
        <v>528</v>
      </c>
      <c r="B99">
        <v>0</v>
      </c>
    </row>
    <row r="100" spans="1:2" hidden="1" x14ac:dyDescent="0.3">
      <c r="A100" t="s">
        <v>527</v>
      </c>
      <c r="B100">
        <v>0</v>
      </c>
    </row>
    <row r="101" spans="1:2" hidden="1" x14ac:dyDescent="0.3">
      <c r="A101" t="s">
        <v>529</v>
      </c>
      <c r="B101">
        <v>0</v>
      </c>
    </row>
    <row r="102" spans="1:2" hidden="1" x14ac:dyDescent="0.3">
      <c r="A102" t="s">
        <v>303</v>
      </c>
      <c r="B102">
        <v>0</v>
      </c>
    </row>
    <row r="103" spans="1:2" hidden="1" x14ac:dyDescent="0.3">
      <c r="A103" t="s">
        <v>122</v>
      </c>
      <c r="B103">
        <v>0</v>
      </c>
    </row>
    <row r="104" spans="1:2" hidden="1" x14ac:dyDescent="0.3">
      <c r="A104" t="s">
        <v>377</v>
      </c>
      <c r="B104">
        <v>0</v>
      </c>
    </row>
    <row r="105" spans="1:2" hidden="1" x14ac:dyDescent="0.3">
      <c r="A105" t="s">
        <v>390</v>
      </c>
      <c r="B105">
        <v>0</v>
      </c>
    </row>
    <row r="106" spans="1:2" hidden="1" x14ac:dyDescent="0.3">
      <c r="A106" t="s">
        <v>391</v>
      </c>
      <c r="B106">
        <v>0</v>
      </c>
    </row>
    <row r="107" spans="1:2" hidden="1" x14ac:dyDescent="0.3">
      <c r="A107" t="s">
        <v>298</v>
      </c>
      <c r="B107">
        <v>0</v>
      </c>
    </row>
    <row r="108" spans="1:2" hidden="1" x14ac:dyDescent="0.3">
      <c r="A108" t="s">
        <v>124</v>
      </c>
      <c r="B108">
        <v>0</v>
      </c>
    </row>
    <row r="109" spans="1:2" hidden="1" x14ac:dyDescent="0.3">
      <c r="A109" t="s">
        <v>301</v>
      </c>
      <c r="B109">
        <v>0</v>
      </c>
    </row>
    <row r="110" spans="1:2" hidden="1" x14ac:dyDescent="0.3">
      <c r="A110" t="s">
        <v>302</v>
      </c>
      <c r="B110">
        <v>0</v>
      </c>
    </row>
    <row r="111" spans="1:2" hidden="1" x14ac:dyDescent="0.3">
      <c r="A111" t="s">
        <v>116</v>
      </c>
      <c r="B111">
        <v>0</v>
      </c>
    </row>
    <row r="112" spans="1:2" hidden="1" x14ac:dyDescent="0.3">
      <c r="A112" t="s">
        <v>114</v>
      </c>
      <c r="B112">
        <v>0</v>
      </c>
    </row>
    <row r="113" spans="1:2" hidden="1" x14ac:dyDescent="0.3">
      <c r="A113" t="s">
        <v>127</v>
      </c>
      <c r="B113">
        <v>0</v>
      </c>
    </row>
    <row r="114" spans="1:2" hidden="1" x14ac:dyDescent="0.3">
      <c r="A114" t="s">
        <v>421</v>
      </c>
      <c r="B114">
        <v>0</v>
      </c>
    </row>
    <row r="115" spans="1:2" hidden="1" x14ac:dyDescent="0.3">
      <c r="A115" t="s">
        <v>117</v>
      </c>
      <c r="B115">
        <v>0</v>
      </c>
    </row>
    <row r="116" spans="1:2" hidden="1" x14ac:dyDescent="0.3">
      <c r="A116" t="s">
        <v>118</v>
      </c>
      <c r="B116">
        <v>0</v>
      </c>
    </row>
    <row r="117" spans="1:2" hidden="1" x14ac:dyDescent="0.3">
      <c r="A117" t="s">
        <v>119</v>
      </c>
      <c r="B117">
        <v>0</v>
      </c>
    </row>
    <row r="118" spans="1:2" hidden="1" x14ac:dyDescent="0.3">
      <c r="A118" t="s">
        <v>428</v>
      </c>
      <c r="B118">
        <v>0</v>
      </c>
    </row>
    <row r="119" spans="1:2" hidden="1" x14ac:dyDescent="0.3">
      <c r="A119" t="s">
        <v>155</v>
      </c>
      <c r="B119">
        <v>0</v>
      </c>
    </row>
    <row r="120" spans="1:2" hidden="1" x14ac:dyDescent="0.3">
      <c r="A120" t="s">
        <v>411</v>
      </c>
      <c r="B120">
        <v>0</v>
      </c>
    </row>
    <row r="121" spans="1:2" ht="12.6" hidden="1" customHeight="1" x14ac:dyDescent="0.3">
      <c r="A121" t="s">
        <v>156</v>
      </c>
      <c r="B121">
        <v>0</v>
      </c>
    </row>
    <row r="122" spans="1:2" hidden="1" x14ac:dyDescent="0.3">
      <c r="A122" t="s">
        <v>115</v>
      </c>
      <c r="B122">
        <v>0</v>
      </c>
    </row>
    <row r="123" spans="1:2" hidden="1" x14ac:dyDescent="0.3">
      <c r="A123" t="s">
        <v>300</v>
      </c>
      <c r="B123">
        <v>0</v>
      </c>
    </row>
    <row r="124" spans="1:2" hidden="1" x14ac:dyDescent="0.3">
      <c r="A124" t="s">
        <v>299</v>
      </c>
      <c r="B124">
        <v>0</v>
      </c>
    </row>
    <row r="125" spans="1:2" hidden="1" x14ac:dyDescent="0.3">
      <c r="A125" t="s">
        <v>125</v>
      </c>
      <c r="B125">
        <v>0</v>
      </c>
    </row>
    <row r="126" spans="1:2" hidden="1" x14ac:dyDescent="0.3">
      <c r="A126" t="s">
        <v>305</v>
      </c>
      <c r="B126">
        <v>0</v>
      </c>
    </row>
    <row r="127" spans="1:2" hidden="1" x14ac:dyDescent="0.3">
      <c r="A127" t="s">
        <v>149</v>
      </c>
      <c r="B127">
        <v>0</v>
      </c>
    </row>
    <row r="128" spans="1:2" hidden="1" x14ac:dyDescent="0.3">
      <c r="A128" t="s">
        <v>431</v>
      </c>
      <c r="B128">
        <v>0</v>
      </c>
    </row>
    <row r="129" spans="1:2" hidden="1" x14ac:dyDescent="0.3">
      <c r="A129" t="s">
        <v>306</v>
      </c>
      <c r="B129">
        <v>0</v>
      </c>
    </row>
    <row r="130" spans="1:2" hidden="1" x14ac:dyDescent="0.3">
      <c r="A130" t="s">
        <v>75</v>
      </c>
      <c r="B130">
        <v>0</v>
      </c>
    </row>
    <row r="131" spans="1:2" hidden="1" x14ac:dyDescent="0.3">
      <c r="A131" t="s">
        <v>77</v>
      </c>
      <c r="B131">
        <v>0</v>
      </c>
    </row>
    <row r="132" spans="1:2" hidden="1" x14ac:dyDescent="0.3">
      <c r="A132" t="s">
        <v>121</v>
      </c>
      <c r="B132">
        <v>0</v>
      </c>
    </row>
    <row r="133" spans="1:2" hidden="1" x14ac:dyDescent="0.3">
      <c r="A133" t="s">
        <v>120</v>
      </c>
      <c r="B133">
        <v>0</v>
      </c>
    </row>
    <row r="134" spans="1:2" hidden="1" x14ac:dyDescent="0.3">
      <c r="A134" t="s">
        <v>304</v>
      </c>
      <c r="B134">
        <v>0</v>
      </c>
    </row>
    <row r="135" spans="1:2" hidden="1" x14ac:dyDescent="0.3">
      <c r="A135" t="s">
        <v>389</v>
      </c>
      <c r="B135">
        <v>0</v>
      </c>
    </row>
  </sheetData>
  <mergeCells count="9">
    <mergeCell ref="A1:F2"/>
    <mergeCell ref="G46:J46"/>
    <mergeCell ref="G37:H37"/>
    <mergeCell ref="A86:B86"/>
    <mergeCell ref="A4:B4"/>
    <mergeCell ref="D4:E4"/>
    <mergeCell ref="A37:B37"/>
    <mergeCell ref="D37:E37"/>
    <mergeCell ref="A34:I34"/>
  </mergeCells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5F45B-9E5B-47FF-82FD-E159E4CE3994}">
  <dimension ref="A1:S219"/>
  <sheetViews>
    <sheetView zoomScaleNormal="100" workbookViewId="0">
      <selection activeCell="I118" sqref="I118"/>
    </sheetView>
  </sheetViews>
  <sheetFormatPr baseColWidth="10" defaultRowHeight="14.4" x14ac:dyDescent="0.3"/>
  <cols>
    <col min="1" max="2" width="27.88671875" customWidth="1"/>
    <col min="3" max="3" width="19" customWidth="1"/>
    <col min="5" max="5" width="15.21875" customWidth="1"/>
    <col min="6" max="6" width="15.109375" customWidth="1"/>
    <col min="7" max="7" width="18.109375" customWidth="1"/>
    <col min="8" max="8" width="17.5546875" customWidth="1"/>
    <col min="11" max="11" width="25.88671875" customWidth="1"/>
    <col min="12" max="12" width="25" customWidth="1"/>
    <col min="13" max="13" width="20.88671875" customWidth="1"/>
    <col min="14" max="14" width="20.6640625" customWidth="1"/>
    <col min="16" max="16" width="15.33203125" bestFit="1" customWidth="1"/>
  </cols>
  <sheetData>
    <row r="1" spans="1:19" ht="15" thickBot="1" x14ac:dyDescent="0.35"/>
    <row r="2" spans="1:19" ht="15" thickBot="1" x14ac:dyDescent="0.35">
      <c r="A2" s="163" t="s">
        <v>621</v>
      </c>
      <c r="B2" s="164"/>
      <c r="C2" s="164"/>
      <c r="D2" s="164"/>
      <c r="E2" s="164"/>
      <c r="F2" s="164"/>
      <c r="G2" s="164"/>
      <c r="H2" s="165"/>
      <c r="L2" t="s">
        <v>638</v>
      </c>
      <c r="N2" s="152"/>
      <c r="O2" s="152"/>
      <c r="P2" s="152"/>
      <c r="Q2" s="152"/>
      <c r="R2" s="152"/>
      <c r="S2" s="152"/>
    </row>
    <row r="3" spans="1:19" ht="15" thickBot="1" x14ac:dyDescent="0.35">
      <c r="A3" s="48" t="s">
        <v>544</v>
      </c>
      <c r="B3" s="48" t="s">
        <v>8</v>
      </c>
      <c r="C3" s="50" t="s">
        <v>111</v>
      </c>
      <c r="D3" s="48" t="s">
        <v>601</v>
      </c>
      <c r="E3" s="51" t="s">
        <v>594</v>
      </c>
      <c r="F3" s="48" t="s">
        <v>595</v>
      </c>
      <c r="G3" s="49" t="s">
        <v>599</v>
      </c>
      <c r="H3" s="52" t="s">
        <v>600</v>
      </c>
    </row>
    <row r="4" spans="1:19" x14ac:dyDescent="0.3">
      <c r="A4" s="166" t="s">
        <v>548</v>
      </c>
      <c r="B4" s="161" t="s">
        <v>620</v>
      </c>
      <c r="C4" s="111" t="s">
        <v>587</v>
      </c>
      <c r="D4" s="89">
        <v>9</v>
      </c>
      <c r="E4" s="90">
        <v>47500</v>
      </c>
      <c r="F4" s="91">
        <f>D4*E4</f>
        <v>427500</v>
      </c>
      <c r="G4" s="153">
        <f>SUM(F4:F12)</f>
        <v>4333000</v>
      </c>
      <c r="H4" s="160">
        <f>SUM(G4:G35)</f>
        <v>7607500</v>
      </c>
      <c r="K4" s="120" t="s">
        <v>544</v>
      </c>
      <c r="L4" s="120" t="s">
        <v>639</v>
      </c>
      <c r="M4" s="120" t="s">
        <v>640</v>
      </c>
      <c r="N4" s="120" t="s">
        <v>557</v>
      </c>
    </row>
    <row r="5" spans="1:19" x14ac:dyDescent="0.3">
      <c r="A5" s="161"/>
      <c r="B5" s="161"/>
      <c r="C5" s="112" t="s">
        <v>591</v>
      </c>
      <c r="D5" s="58">
        <v>2</v>
      </c>
      <c r="E5" s="92">
        <v>60000</v>
      </c>
      <c r="F5" s="93">
        <f t="shared" ref="F5:F12" si="0">D5*E5</f>
        <v>120000</v>
      </c>
      <c r="G5" s="154"/>
      <c r="H5" s="170"/>
      <c r="K5" t="s">
        <v>548</v>
      </c>
      <c r="L5" s="44">
        <f>H4</f>
        <v>7607500</v>
      </c>
      <c r="M5" s="44">
        <f>H139</f>
        <v>11400160</v>
      </c>
      <c r="N5" s="44">
        <f>SUM(L5,M5)</f>
        <v>19007660</v>
      </c>
    </row>
    <row r="6" spans="1:19" x14ac:dyDescent="0.3">
      <c r="A6" s="161"/>
      <c r="B6" s="161"/>
      <c r="C6" s="112" t="s">
        <v>122</v>
      </c>
      <c r="D6" s="58">
        <v>9</v>
      </c>
      <c r="E6" s="92">
        <v>87000</v>
      </c>
      <c r="F6" s="93">
        <f t="shared" si="0"/>
        <v>783000</v>
      </c>
      <c r="G6" s="154"/>
      <c r="H6" s="170"/>
      <c r="K6" t="s">
        <v>549</v>
      </c>
      <c r="L6" s="44">
        <f>H36</f>
        <v>236500</v>
      </c>
      <c r="M6" s="44">
        <f>H161</f>
        <v>1325984</v>
      </c>
      <c r="N6" s="44">
        <f t="shared" ref="N6:N12" si="1">SUM(L6,M6)</f>
        <v>1562484</v>
      </c>
    </row>
    <row r="7" spans="1:19" x14ac:dyDescent="0.3">
      <c r="A7" s="161"/>
      <c r="B7" s="161"/>
      <c r="C7" s="112" t="s">
        <v>593</v>
      </c>
      <c r="D7" s="58">
        <v>1</v>
      </c>
      <c r="E7" s="92">
        <v>79500</v>
      </c>
      <c r="F7" s="93">
        <f t="shared" si="0"/>
        <v>79500</v>
      </c>
      <c r="G7" s="154"/>
      <c r="H7" s="170"/>
      <c r="K7" t="s">
        <v>550</v>
      </c>
      <c r="L7" s="44">
        <f>H39</f>
        <v>4102500</v>
      </c>
      <c r="M7" s="44">
        <f>H169</f>
        <v>2617688</v>
      </c>
      <c r="N7" s="44">
        <f t="shared" si="1"/>
        <v>6720188</v>
      </c>
    </row>
    <row r="8" spans="1:19" x14ac:dyDescent="0.3">
      <c r="A8" s="161"/>
      <c r="B8" s="161"/>
      <c r="C8" s="112" t="s">
        <v>592</v>
      </c>
      <c r="D8" s="58">
        <v>1</v>
      </c>
      <c r="E8" s="92">
        <v>79500</v>
      </c>
      <c r="F8" s="93">
        <f t="shared" si="0"/>
        <v>79500</v>
      </c>
      <c r="G8" s="154"/>
      <c r="H8" s="170"/>
      <c r="K8" t="s">
        <v>551</v>
      </c>
      <c r="L8" s="44">
        <f>H67</f>
        <v>1152500</v>
      </c>
      <c r="M8" s="44">
        <f>H182</f>
        <v>1902208</v>
      </c>
      <c r="N8" s="44">
        <f t="shared" si="1"/>
        <v>3054708</v>
      </c>
    </row>
    <row r="9" spans="1:19" x14ac:dyDescent="0.3">
      <c r="A9" s="161"/>
      <c r="B9" s="161"/>
      <c r="C9" s="112" t="s">
        <v>124</v>
      </c>
      <c r="D9" s="58">
        <v>1</v>
      </c>
      <c r="E9" s="92">
        <v>93500</v>
      </c>
      <c r="F9" s="93">
        <f t="shared" si="0"/>
        <v>93500</v>
      </c>
      <c r="G9" s="154"/>
      <c r="H9" s="170"/>
      <c r="K9" t="s">
        <v>552</v>
      </c>
      <c r="L9" s="44">
        <f>H80</f>
        <v>3127500</v>
      </c>
      <c r="M9" s="44">
        <f>H191</f>
        <v>2456160</v>
      </c>
      <c r="N9" s="44">
        <f t="shared" si="1"/>
        <v>5583660</v>
      </c>
    </row>
    <row r="10" spans="1:19" x14ac:dyDescent="0.3">
      <c r="A10" s="161"/>
      <c r="B10" s="161"/>
      <c r="C10" s="112" t="s">
        <v>301</v>
      </c>
      <c r="D10" s="58">
        <v>3</v>
      </c>
      <c r="E10" s="92">
        <v>73500</v>
      </c>
      <c r="F10" s="93">
        <f t="shared" si="0"/>
        <v>220500</v>
      </c>
      <c r="G10" s="154"/>
      <c r="H10" s="170"/>
      <c r="K10" t="s">
        <v>553</v>
      </c>
      <c r="L10" s="44">
        <f>H106</f>
        <v>210500</v>
      </c>
      <c r="M10" s="44">
        <f>H198</f>
        <v>1460976</v>
      </c>
      <c r="N10" s="44">
        <f t="shared" si="1"/>
        <v>1671476</v>
      </c>
    </row>
    <row r="11" spans="1:19" x14ac:dyDescent="0.3">
      <c r="A11" s="161"/>
      <c r="B11" s="161"/>
      <c r="C11" s="112" t="s">
        <v>300</v>
      </c>
      <c r="D11" s="58">
        <v>5</v>
      </c>
      <c r="E11" s="92">
        <v>119500</v>
      </c>
      <c r="F11" s="93">
        <f t="shared" si="0"/>
        <v>597500</v>
      </c>
      <c r="G11" s="154"/>
      <c r="H11" s="170"/>
      <c r="K11" t="s">
        <v>554</v>
      </c>
      <c r="L11" s="44">
        <f>H109</f>
        <v>6749000</v>
      </c>
      <c r="M11" s="44">
        <f>H208</f>
        <v>2665280</v>
      </c>
      <c r="N11" s="44">
        <f t="shared" si="1"/>
        <v>9414280</v>
      </c>
    </row>
    <row r="12" spans="1:19" ht="15" thickBot="1" x14ac:dyDescent="0.35">
      <c r="A12" s="161"/>
      <c r="B12" s="162"/>
      <c r="C12" s="113" t="s">
        <v>590</v>
      </c>
      <c r="D12" s="59">
        <v>42</v>
      </c>
      <c r="E12" s="94">
        <v>46000</v>
      </c>
      <c r="F12" s="95">
        <f t="shared" si="0"/>
        <v>1932000</v>
      </c>
      <c r="G12" s="155"/>
      <c r="H12" s="170"/>
      <c r="K12" s="120" t="s">
        <v>573</v>
      </c>
      <c r="L12" s="121">
        <f>SUM(L5:L11)</f>
        <v>23186000</v>
      </c>
      <c r="M12" s="121">
        <f>SUM(M5:M11)</f>
        <v>23828456</v>
      </c>
      <c r="N12" s="121">
        <f t="shared" si="1"/>
        <v>47014456</v>
      </c>
    </row>
    <row r="13" spans="1:19" ht="14.4" customHeight="1" x14ac:dyDescent="0.3">
      <c r="A13" s="161"/>
      <c r="B13" s="167" t="s">
        <v>588</v>
      </c>
      <c r="C13" s="111" t="s">
        <v>587</v>
      </c>
      <c r="D13" s="89">
        <v>1</v>
      </c>
      <c r="E13" s="90">
        <v>47500</v>
      </c>
      <c r="F13" s="91">
        <f>D13*E13</f>
        <v>47500</v>
      </c>
      <c r="G13" s="153">
        <f>SUM(F13:F19)</f>
        <v>858500</v>
      </c>
      <c r="H13" s="170"/>
    </row>
    <row r="14" spans="1:19" x14ac:dyDescent="0.3">
      <c r="A14" s="161"/>
      <c r="B14" s="168"/>
      <c r="C14" s="112" t="s">
        <v>591</v>
      </c>
      <c r="D14" s="58">
        <v>1</v>
      </c>
      <c r="E14" s="92">
        <v>60000</v>
      </c>
      <c r="F14" s="93">
        <f t="shared" ref="F14:F108" si="2">D14*E14</f>
        <v>60000</v>
      </c>
      <c r="G14" s="154"/>
      <c r="H14" s="170"/>
    </row>
    <row r="15" spans="1:19" x14ac:dyDescent="0.3">
      <c r="A15" s="161"/>
      <c r="B15" s="168"/>
      <c r="C15" s="112" t="s">
        <v>122</v>
      </c>
      <c r="D15" s="58">
        <v>2</v>
      </c>
      <c r="E15" s="92">
        <v>87000</v>
      </c>
      <c r="F15" s="93">
        <f t="shared" si="2"/>
        <v>174000</v>
      </c>
      <c r="G15" s="154"/>
      <c r="H15" s="170"/>
    </row>
    <row r="16" spans="1:19" x14ac:dyDescent="0.3">
      <c r="A16" s="161"/>
      <c r="B16" s="168"/>
      <c r="C16" s="112" t="s">
        <v>596</v>
      </c>
      <c r="D16" s="58">
        <v>1</v>
      </c>
      <c r="E16" s="92">
        <v>35000</v>
      </c>
      <c r="F16" s="93">
        <f t="shared" si="2"/>
        <v>35000</v>
      </c>
      <c r="G16" s="154"/>
      <c r="H16" s="170"/>
    </row>
    <row r="17" spans="1:8" x14ac:dyDescent="0.3">
      <c r="A17" s="161"/>
      <c r="B17" s="168"/>
      <c r="C17" s="112" t="s">
        <v>300</v>
      </c>
      <c r="D17" s="58">
        <v>2</v>
      </c>
      <c r="E17" s="92">
        <v>119500</v>
      </c>
      <c r="F17" s="93">
        <f t="shared" si="2"/>
        <v>239000</v>
      </c>
      <c r="G17" s="154"/>
      <c r="H17" s="170"/>
    </row>
    <row r="18" spans="1:8" x14ac:dyDescent="0.3">
      <c r="A18" s="161"/>
      <c r="B18" s="168"/>
      <c r="C18" s="112" t="s">
        <v>125</v>
      </c>
      <c r="D18" s="58">
        <v>1</v>
      </c>
      <c r="E18" s="92">
        <v>119000</v>
      </c>
      <c r="F18" s="93">
        <f t="shared" si="2"/>
        <v>119000</v>
      </c>
      <c r="G18" s="154"/>
      <c r="H18" s="170"/>
    </row>
    <row r="19" spans="1:8" ht="15" thickBot="1" x14ac:dyDescent="0.35">
      <c r="A19" s="161"/>
      <c r="B19" s="169"/>
      <c r="C19" s="113" t="s">
        <v>597</v>
      </c>
      <c r="D19" s="59">
        <v>4</v>
      </c>
      <c r="E19" s="94">
        <v>46000</v>
      </c>
      <c r="F19" s="95">
        <f t="shared" si="2"/>
        <v>184000</v>
      </c>
      <c r="G19" s="155"/>
      <c r="H19" s="170"/>
    </row>
    <row r="20" spans="1:8" x14ac:dyDescent="0.3">
      <c r="A20" s="161"/>
      <c r="B20" s="167" t="s">
        <v>598</v>
      </c>
      <c r="C20" s="111" t="s">
        <v>587</v>
      </c>
      <c r="D20" s="89">
        <v>1</v>
      </c>
      <c r="E20" s="90">
        <v>47500</v>
      </c>
      <c r="F20" s="91">
        <f t="shared" si="2"/>
        <v>47500</v>
      </c>
      <c r="G20" s="153">
        <f>SUM(F20:F24)</f>
        <v>585000</v>
      </c>
      <c r="H20" s="170"/>
    </row>
    <row r="21" spans="1:8" x14ac:dyDescent="0.3">
      <c r="A21" s="161"/>
      <c r="B21" s="168"/>
      <c r="C21" s="112" t="s">
        <v>591</v>
      </c>
      <c r="D21" s="58">
        <v>1</v>
      </c>
      <c r="E21" s="92">
        <v>60000</v>
      </c>
      <c r="F21" s="93">
        <f t="shared" si="2"/>
        <v>60000</v>
      </c>
      <c r="G21" s="154"/>
      <c r="H21" s="170"/>
    </row>
    <row r="22" spans="1:8" x14ac:dyDescent="0.3">
      <c r="A22" s="161"/>
      <c r="B22" s="168"/>
      <c r="C22" s="112" t="s">
        <v>122</v>
      </c>
      <c r="D22" s="58">
        <v>2</v>
      </c>
      <c r="E22" s="92">
        <v>87000</v>
      </c>
      <c r="F22" s="93">
        <f t="shared" si="2"/>
        <v>174000</v>
      </c>
      <c r="G22" s="154"/>
      <c r="H22" s="170"/>
    </row>
    <row r="23" spans="1:8" x14ac:dyDescent="0.3">
      <c r="A23" s="161"/>
      <c r="B23" s="168"/>
      <c r="C23" s="112" t="s">
        <v>300</v>
      </c>
      <c r="D23" s="58">
        <v>1</v>
      </c>
      <c r="E23" s="92">
        <v>119500</v>
      </c>
      <c r="F23" s="93">
        <f t="shared" si="2"/>
        <v>119500</v>
      </c>
      <c r="G23" s="154"/>
      <c r="H23" s="170"/>
    </row>
    <row r="24" spans="1:8" ht="15" thickBot="1" x14ac:dyDescent="0.35">
      <c r="A24" s="161"/>
      <c r="B24" s="169"/>
      <c r="C24" s="113" t="s">
        <v>565</v>
      </c>
      <c r="D24" s="59">
        <v>4</v>
      </c>
      <c r="E24" s="94">
        <v>46000</v>
      </c>
      <c r="F24" s="95">
        <f t="shared" si="2"/>
        <v>184000</v>
      </c>
      <c r="G24" s="155"/>
      <c r="H24" s="170"/>
    </row>
    <row r="25" spans="1:8" ht="15" thickBot="1" x14ac:dyDescent="0.35">
      <c r="A25" s="161"/>
      <c r="B25" s="69" t="s">
        <v>25</v>
      </c>
      <c r="C25" s="114" t="s">
        <v>122</v>
      </c>
      <c r="D25" s="69">
        <v>2</v>
      </c>
      <c r="E25" s="78">
        <v>87000</v>
      </c>
      <c r="F25" s="96">
        <f t="shared" si="2"/>
        <v>174000</v>
      </c>
      <c r="G25" s="70">
        <f>F25</f>
        <v>174000</v>
      </c>
      <c r="H25" s="170"/>
    </row>
    <row r="26" spans="1:8" x14ac:dyDescent="0.3">
      <c r="A26" s="161"/>
      <c r="B26" s="167" t="s">
        <v>22</v>
      </c>
      <c r="C26" s="111" t="s">
        <v>122</v>
      </c>
      <c r="D26" s="89">
        <v>2</v>
      </c>
      <c r="E26" s="90">
        <v>87000</v>
      </c>
      <c r="F26" s="91">
        <f t="shared" si="2"/>
        <v>174000</v>
      </c>
      <c r="G26" s="153">
        <f>SUM(F26:F28)</f>
        <v>769500</v>
      </c>
      <c r="H26" s="170"/>
    </row>
    <row r="27" spans="1:8" x14ac:dyDescent="0.3">
      <c r="A27" s="161"/>
      <c r="B27" s="158"/>
      <c r="C27" s="115" t="s">
        <v>125</v>
      </c>
      <c r="D27" s="53">
        <v>4</v>
      </c>
      <c r="E27" s="97">
        <v>119000</v>
      </c>
      <c r="F27" s="62">
        <f t="shared" si="2"/>
        <v>476000</v>
      </c>
      <c r="G27" s="156"/>
      <c r="H27" s="170"/>
    </row>
    <row r="28" spans="1:8" ht="15" thickBot="1" x14ac:dyDescent="0.35">
      <c r="A28" s="161"/>
      <c r="B28" s="169"/>
      <c r="C28" s="116" t="s">
        <v>300</v>
      </c>
      <c r="D28" s="59">
        <v>1</v>
      </c>
      <c r="E28" s="94">
        <v>119500</v>
      </c>
      <c r="F28" s="95">
        <f t="shared" si="2"/>
        <v>119500</v>
      </c>
      <c r="G28" s="155"/>
      <c r="H28" s="170"/>
    </row>
    <row r="29" spans="1:8" x14ac:dyDescent="0.3">
      <c r="A29" s="161"/>
      <c r="B29" s="157" t="s">
        <v>50</v>
      </c>
      <c r="C29" s="117" t="s">
        <v>587</v>
      </c>
      <c r="D29" s="53">
        <v>1</v>
      </c>
      <c r="E29" s="97">
        <v>47500</v>
      </c>
      <c r="F29" s="54">
        <f t="shared" si="2"/>
        <v>47500</v>
      </c>
      <c r="G29" s="160">
        <f>SUM(F29:F35)</f>
        <v>887500</v>
      </c>
      <c r="H29" s="170"/>
    </row>
    <row r="30" spans="1:8" x14ac:dyDescent="0.3">
      <c r="A30" s="161"/>
      <c r="B30" s="158"/>
      <c r="C30" s="117" t="s">
        <v>591</v>
      </c>
      <c r="D30" s="53">
        <v>1</v>
      </c>
      <c r="E30" s="97">
        <v>60000</v>
      </c>
      <c r="F30" s="62">
        <f t="shared" si="2"/>
        <v>60000</v>
      </c>
      <c r="G30" s="161"/>
      <c r="H30" s="170"/>
    </row>
    <row r="31" spans="1:8" x14ac:dyDescent="0.3">
      <c r="A31" s="161"/>
      <c r="B31" s="158"/>
      <c r="C31" s="117" t="s">
        <v>122</v>
      </c>
      <c r="D31" s="53">
        <v>4</v>
      </c>
      <c r="E31" s="97">
        <v>87000</v>
      </c>
      <c r="F31" s="62">
        <f t="shared" si="2"/>
        <v>348000</v>
      </c>
      <c r="G31" s="161"/>
      <c r="H31" s="170"/>
    </row>
    <row r="32" spans="1:8" x14ac:dyDescent="0.3">
      <c r="A32" s="161"/>
      <c r="B32" s="158"/>
      <c r="C32" s="117" t="s">
        <v>596</v>
      </c>
      <c r="D32" s="53">
        <v>1</v>
      </c>
      <c r="E32" s="97">
        <v>35000</v>
      </c>
      <c r="F32" s="62">
        <f t="shared" si="2"/>
        <v>35000</v>
      </c>
      <c r="G32" s="161"/>
      <c r="H32" s="170"/>
    </row>
    <row r="33" spans="1:14" x14ac:dyDescent="0.3">
      <c r="A33" s="161"/>
      <c r="B33" s="158"/>
      <c r="C33" s="117" t="s">
        <v>124</v>
      </c>
      <c r="D33" s="53">
        <v>1</v>
      </c>
      <c r="E33" s="97">
        <v>93500</v>
      </c>
      <c r="F33" s="62">
        <f t="shared" si="2"/>
        <v>93500</v>
      </c>
      <c r="G33" s="161"/>
      <c r="H33" s="170"/>
    </row>
    <row r="34" spans="1:14" x14ac:dyDescent="0.3">
      <c r="A34" s="161"/>
      <c r="B34" s="158"/>
      <c r="C34" s="117" t="s">
        <v>300</v>
      </c>
      <c r="D34" s="53">
        <v>1</v>
      </c>
      <c r="E34" s="97">
        <v>119500</v>
      </c>
      <c r="F34" s="62">
        <f t="shared" si="2"/>
        <v>119500</v>
      </c>
      <c r="G34" s="161"/>
      <c r="H34" s="170"/>
    </row>
    <row r="35" spans="1:14" ht="15" thickBot="1" x14ac:dyDescent="0.35">
      <c r="A35" s="162"/>
      <c r="B35" s="159"/>
      <c r="C35" s="117" t="s">
        <v>597</v>
      </c>
      <c r="D35" s="53">
        <v>4</v>
      </c>
      <c r="E35" s="97">
        <v>46000</v>
      </c>
      <c r="F35" s="63">
        <f t="shared" si="2"/>
        <v>184000</v>
      </c>
      <c r="G35" s="162"/>
      <c r="H35" s="171"/>
    </row>
    <row r="36" spans="1:14" x14ac:dyDescent="0.3">
      <c r="A36" s="166" t="s">
        <v>549</v>
      </c>
      <c r="B36" s="157" t="s">
        <v>32</v>
      </c>
      <c r="C36" s="118" t="s">
        <v>122</v>
      </c>
      <c r="D36" s="56">
        <v>1</v>
      </c>
      <c r="E36" s="71">
        <v>87000</v>
      </c>
      <c r="F36" s="65">
        <f t="shared" si="2"/>
        <v>87000</v>
      </c>
      <c r="G36" s="160">
        <f>SUM(F36:F38)</f>
        <v>236500</v>
      </c>
      <c r="H36" s="160">
        <f>G36</f>
        <v>236500</v>
      </c>
    </row>
    <row r="37" spans="1:14" x14ac:dyDescent="0.3">
      <c r="A37" s="161"/>
      <c r="B37" s="158"/>
      <c r="C37" s="117" t="s">
        <v>123</v>
      </c>
      <c r="D37" s="53">
        <v>1</v>
      </c>
      <c r="E37" s="73">
        <v>60000</v>
      </c>
      <c r="F37" s="67">
        <f t="shared" si="2"/>
        <v>60000</v>
      </c>
      <c r="G37" s="161"/>
      <c r="H37" s="161"/>
    </row>
    <row r="38" spans="1:14" ht="15" thickBot="1" x14ac:dyDescent="0.35">
      <c r="A38" s="162"/>
      <c r="B38" s="159"/>
      <c r="C38" s="119" t="s">
        <v>125</v>
      </c>
      <c r="D38" s="55">
        <v>1</v>
      </c>
      <c r="E38" s="74">
        <v>89500</v>
      </c>
      <c r="F38" s="68">
        <f t="shared" si="2"/>
        <v>89500</v>
      </c>
      <c r="G38" s="162"/>
      <c r="H38" s="162"/>
      <c r="K38" t="s">
        <v>642</v>
      </c>
      <c r="L38" s="10"/>
      <c r="M38" s="10"/>
    </row>
    <row r="39" spans="1:14" x14ac:dyDescent="0.3">
      <c r="A39" s="166" t="s">
        <v>550</v>
      </c>
      <c r="B39" s="166" t="s">
        <v>603</v>
      </c>
      <c r="C39" s="53" t="s">
        <v>587</v>
      </c>
      <c r="D39" s="60">
        <v>1</v>
      </c>
      <c r="E39" s="98">
        <v>65000</v>
      </c>
      <c r="F39" s="99">
        <f t="shared" si="2"/>
        <v>65000</v>
      </c>
      <c r="G39" s="160">
        <f>SUM(F39:F45)</f>
        <v>810000</v>
      </c>
      <c r="H39" s="160">
        <f>SUM(G39:G66)</f>
        <v>4102500</v>
      </c>
      <c r="L39" s="10"/>
      <c r="M39" s="10"/>
    </row>
    <row r="40" spans="1:14" x14ac:dyDescent="0.3">
      <c r="A40" s="161"/>
      <c r="B40" s="161"/>
      <c r="C40" s="53" t="s">
        <v>591</v>
      </c>
      <c r="D40" s="58">
        <v>1</v>
      </c>
      <c r="E40" s="100">
        <v>75000</v>
      </c>
      <c r="F40" s="101">
        <f t="shared" si="2"/>
        <v>75000</v>
      </c>
      <c r="G40" s="161"/>
      <c r="H40" s="161"/>
      <c r="K40" s="122" t="s">
        <v>544</v>
      </c>
      <c r="L40" s="123" t="s">
        <v>641</v>
      </c>
      <c r="M40" s="123" t="s">
        <v>643</v>
      </c>
      <c r="N40" s="122" t="s">
        <v>557</v>
      </c>
    </row>
    <row r="41" spans="1:14" x14ac:dyDescent="0.3">
      <c r="A41" s="161"/>
      <c r="B41" s="161"/>
      <c r="C41" s="53" t="s">
        <v>122</v>
      </c>
      <c r="D41" s="58">
        <v>2</v>
      </c>
      <c r="E41" s="100">
        <v>112500</v>
      </c>
      <c r="F41" s="101">
        <f t="shared" si="2"/>
        <v>225000</v>
      </c>
      <c r="G41" s="161"/>
      <c r="H41" s="161"/>
      <c r="K41" t="s">
        <v>543</v>
      </c>
      <c r="L41" s="44">
        <f ca="1">Datos!U4</f>
        <v>5188400</v>
      </c>
      <c r="M41" s="10">
        <f ca="1">Datos!T4</f>
        <v>10236856</v>
      </c>
      <c r="N41" s="44">
        <f ca="1">Datos!V4</f>
        <v>15425256</v>
      </c>
    </row>
    <row r="42" spans="1:14" x14ac:dyDescent="0.3">
      <c r="A42" s="161"/>
      <c r="B42" s="161"/>
      <c r="C42" s="53" t="s">
        <v>596</v>
      </c>
      <c r="D42" s="58">
        <v>1</v>
      </c>
      <c r="E42" s="100">
        <v>40000</v>
      </c>
      <c r="F42" s="101">
        <f t="shared" si="2"/>
        <v>40000</v>
      </c>
      <c r="G42" s="161"/>
      <c r="H42" s="161"/>
      <c r="K42" t="s">
        <v>545</v>
      </c>
      <c r="L42" s="44">
        <f ca="1">Datos!U5</f>
        <v>4370275</v>
      </c>
      <c r="M42" s="10">
        <f ca="1">Datos!T5</f>
        <v>3206435.9600000009</v>
      </c>
      <c r="N42" s="44">
        <f ca="1">Datos!V5</f>
        <v>7576710.9600000009</v>
      </c>
    </row>
    <row r="43" spans="1:14" x14ac:dyDescent="0.3">
      <c r="A43" s="161"/>
      <c r="B43" s="161"/>
      <c r="C43" s="53" t="s">
        <v>124</v>
      </c>
      <c r="D43" s="58">
        <v>1</v>
      </c>
      <c r="E43" s="100">
        <v>80000</v>
      </c>
      <c r="F43" s="101">
        <f t="shared" si="2"/>
        <v>80000</v>
      </c>
      <c r="G43" s="161"/>
      <c r="H43" s="161"/>
      <c r="K43" t="s">
        <v>546</v>
      </c>
      <c r="L43" s="44">
        <f ca="1">Datos!U6</f>
        <v>5072375</v>
      </c>
      <c r="M43" s="10">
        <f ca="1">Datos!T6</f>
        <v>5934215.8400000017</v>
      </c>
      <c r="N43" s="44">
        <f ca="1">Datos!V6</f>
        <v>11006590.840000002</v>
      </c>
    </row>
    <row r="44" spans="1:14" x14ac:dyDescent="0.3">
      <c r="A44" s="161"/>
      <c r="B44" s="161"/>
      <c r="C44" s="53" t="s">
        <v>300</v>
      </c>
      <c r="D44" s="102">
        <v>1</v>
      </c>
      <c r="E44" s="103">
        <v>100000</v>
      </c>
      <c r="F44" s="104">
        <f t="shared" si="2"/>
        <v>100000</v>
      </c>
      <c r="G44" s="161"/>
      <c r="H44" s="161"/>
      <c r="K44" t="s">
        <v>547</v>
      </c>
      <c r="L44" s="44">
        <f ca="1">Datos!U7</f>
        <v>2374050</v>
      </c>
      <c r="M44" s="10">
        <f ca="1">Datos!T7</f>
        <v>943622.39999999979</v>
      </c>
      <c r="N44" s="44">
        <f ca="1">Datos!V7</f>
        <v>3317672.4</v>
      </c>
    </row>
    <row r="45" spans="1:14" ht="15" thickBot="1" x14ac:dyDescent="0.35">
      <c r="A45" s="161"/>
      <c r="B45" s="162"/>
      <c r="C45" s="55" t="s">
        <v>565</v>
      </c>
      <c r="D45" s="59">
        <v>5</v>
      </c>
      <c r="E45" s="105">
        <v>45000</v>
      </c>
      <c r="F45" s="106">
        <f t="shared" si="2"/>
        <v>225000</v>
      </c>
      <c r="G45" s="162"/>
      <c r="H45" s="161"/>
      <c r="K45" t="s">
        <v>548</v>
      </c>
      <c r="L45" s="44">
        <f>L5</f>
        <v>7607500</v>
      </c>
      <c r="M45" s="10">
        <f>M5</f>
        <v>11400160</v>
      </c>
      <c r="N45" s="44">
        <f>N5</f>
        <v>19007660</v>
      </c>
    </row>
    <row r="46" spans="1:14" ht="15" customHeight="1" x14ac:dyDescent="0.3">
      <c r="A46" s="161"/>
      <c r="B46" s="157" t="s">
        <v>43</v>
      </c>
      <c r="C46" s="53" t="s">
        <v>294</v>
      </c>
      <c r="D46" s="60">
        <v>1</v>
      </c>
      <c r="E46" s="107">
        <v>65000</v>
      </c>
      <c r="F46" s="57">
        <f t="shared" si="2"/>
        <v>65000</v>
      </c>
      <c r="G46" s="160">
        <f>SUM(F46:F54)</f>
        <v>1747500</v>
      </c>
      <c r="H46" s="161"/>
      <c r="K46" t="s">
        <v>549</v>
      </c>
      <c r="L46" s="44">
        <f t="shared" ref="L46:L51" si="3">L6</f>
        <v>236500</v>
      </c>
      <c r="M46" s="10">
        <f t="shared" ref="M46:M51" si="4">M6</f>
        <v>1325984</v>
      </c>
      <c r="N46" s="44">
        <f t="shared" ref="N46:N51" si="5">N6</f>
        <v>1562484</v>
      </c>
    </row>
    <row r="47" spans="1:14" x14ac:dyDescent="0.3">
      <c r="A47" s="161"/>
      <c r="B47" s="158"/>
      <c r="C47" s="53" t="s">
        <v>388</v>
      </c>
      <c r="D47" s="58">
        <v>1</v>
      </c>
      <c r="E47" s="100">
        <v>75000</v>
      </c>
      <c r="F47" s="93">
        <f t="shared" si="2"/>
        <v>75000</v>
      </c>
      <c r="G47" s="161"/>
      <c r="H47" s="161"/>
      <c r="K47" t="s">
        <v>550</v>
      </c>
      <c r="L47" s="44">
        <f t="shared" si="3"/>
        <v>4102500</v>
      </c>
      <c r="M47" s="10">
        <f t="shared" si="4"/>
        <v>2617688</v>
      </c>
      <c r="N47" s="44">
        <f t="shared" si="5"/>
        <v>6720188</v>
      </c>
    </row>
    <row r="48" spans="1:14" x14ac:dyDescent="0.3">
      <c r="A48" s="161"/>
      <c r="B48" s="158"/>
      <c r="C48" s="53" t="s">
        <v>122</v>
      </c>
      <c r="D48" s="58">
        <v>3</v>
      </c>
      <c r="E48" s="100">
        <v>112500</v>
      </c>
      <c r="F48" s="93">
        <f t="shared" si="2"/>
        <v>337500</v>
      </c>
      <c r="G48" s="161"/>
      <c r="H48" s="161"/>
      <c r="K48" t="s">
        <v>551</v>
      </c>
      <c r="L48" s="44">
        <f t="shared" si="3"/>
        <v>1152500</v>
      </c>
      <c r="M48" s="10">
        <f t="shared" si="4"/>
        <v>1902208</v>
      </c>
      <c r="N48" s="44">
        <f t="shared" si="5"/>
        <v>3054708</v>
      </c>
    </row>
    <row r="49" spans="1:16" x14ac:dyDescent="0.3">
      <c r="A49" s="161"/>
      <c r="B49" s="158"/>
      <c r="C49" s="53" t="s">
        <v>377</v>
      </c>
      <c r="D49" s="58">
        <v>1</v>
      </c>
      <c r="E49" s="100">
        <v>100000</v>
      </c>
      <c r="F49" s="93">
        <f t="shared" si="2"/>
        <v>100000</v>
      </c>
      <c r="G49" s="161"/>
      <c r="H49" s="161"/>
      <c r="K49" t="s">
        <v>552</v>
      </c>
      <c r="L49" s="44">
        <f t="shared" si="3"/>
        <v>3127500</v>
      </c>
      <c r="M49" s="10">
        <f t="shared" si="4"/>
        <v>2456160</v>
      </c>
      <c r="N49" s="44">
        <f t="shared" si="5"/>
        <v>5583660</v>
      </c>
    </row>
    <row r="50" spans="1:16" x14ac:dyDescent="0.3">
      <c r="A50" s="161"/>
      <c r="B50" s="158"/>
      <c r="C50" s="53" t="s">
        <v>596</v>
      </c>
      <c r="D50" s="58">
        <v>1</v>
      </c>
      <c r="E50" s="100">
        <v>40000</v>
      </c>
      <c r="F50" s="93">
        <f t="shared" si="2"/>
        <v>40000</v>
      </c>
      <c r="G50" s="161"/>
      <c r="H50" s="161"/>
      <c r="K50" t="s">
        <v>553</v>
      </c>
      <c r="L50" s="44">
        <f t="shared" si="3"/>
        <v>210500</v>
      </c>
      <c r="M50" s="10">
        <f t="shared" si="4"/>
        <v>1460976</v>
      </c>
      <c r="N50" s="44">
        <f t="shared" si="5"/>
        <v>1671476</v>
      </c>
    </row>
    <row r="51" spans="1:16" x14ac:dyDescent="0.3">
      <c r="A51" s="161"/>
      <c r="B51" s="158"/>
      <c r="C51" s="53" t="s">
        <v>124</v>
      </c>
      <c r="D51" s="58">
        <v>1</v>
      </c>
      <c r="E51" s="100">
        <v>80000</v>
      </c>
      <c r="F51" s="93">
        <f t="shared" si="2"/>
        <v>80000</v>
      </c>
      <c r="G51" s="161"/>
      <c r="H51" s="161"/>
      <c r="K51" t="s">
        <v>554</v>
      </c>
      <c r="L51" s="44">
        <f t="shared" si="3"/>
        <v>6749000</v>
      </c>
      <c r="M51" s="10">
        <f t="shared" si="4"/>
        <v>2665280</v>
      </c>
      <c r="N51" s="44">
        <f t="shared" si="5"/>
        <v>9414280</v>
      </c>
    </row>
    <row r="52" spans="1:16" x14ac:dyDescent="0.3">
      <c r="A52" s="161"/>
      <c r="B52" s="158"/>
      <c r="C52" s="53" t="s">
        <v>565</v>
      </c>
      <c r="D52" s="58">
        <v>10</v>
      </c>
      <c r="E52" s="100">
        <v>45000</v>
      </c>
      <c r="F52" s="93">
        <f t="shared" si="2"/>
        <v>450000</v>
      </c>
      <c r="G52" s="161"/>
      <c r="H52" s="161"/>
      <c r="K52" s="122" t="s">
        <v>644</v>
      </c>
      <c r="L52" s="123">
        <f ca="1">SUM(L41:L51)</f>
        <v>40191100</v>
      </c>
      <c r="M52" s="123">
        <f ca="1">SUM(M41:M51)</f>
        <v>44149586.200000003</v>
      </c>
      <c r="N52" s="124">
        <f ca="1">SUM(L52:M52)</f>
        <v>84340686.200000003</v>
      </c>
      <c r="P52" s="44"/>
    </row>
    <row r="53" spans="1:16" x14ac:dyDescent="0.3">
      <c r="A53" s="161"/>
      <c r="B53" s="158"/>
      <c r="C53" s="53" t="s">
        <v>300</v>
      </c>
      <c r="D53" s="58">
        <v>2</v>
      </c>
      <c r="E53" s="100">
        <v>100000</v>
      </c>
      <c r="F53" s="93">
        <f t="shared" si="2"/>
        <v>200000</v>
      </c>
      <c r="G53" s="161"/>
      <c r="H53" s="161"/>
      <c r="L53" s="10"/>
      <c r="M53" s="10"/>
    </row>
    <row r="54" spans="1:16" ht="15" thickBot="1" x14ac:dyDescent="0.35">
      <c r="A54" s="161"/>
      <c r="B54" s="159"/>
      <c r="C54" s="53" t="s">
        <v>125</v>
      </c>
      <c r="D54" s="102">
        <v>4</v>
      </c>
      <c r="E54" s="103">
        <v>100000</v>
      </c>
      <c r="F54" s="108">
        <f t="shared" si="2"/>
        <v>400000</v>
      </c>
      <c r="G54" s="162"/>
      <c r="H54" s="161"/>
      <c r="L54" s="10"/>
      <c r="M54" s="10"/>
    </row>
    <row r="55" spans="1:16" x14ac:dyDescent="0.3">
      <c r="A55" s="161"/>
      <c r="B55" s="166" t="s">
        <v>602</v>
      </c>
      <c r="C55" s="56" t="s">
        <v>587</v>
      </c>
      <c r="D55" s="60">
        <v>1</v>
      </c>
      <c r="E55" s="107">
        <v>65000</v>
      </c>
      <c r="F55" s="57">
        <f t="shared" si="2"/>
        <v>65000</v>
      </c>
      <c r="G55" s="160">
        <f>SUM(F55:F64)</f>
        <v>1265000</v>
      </c>
      <c r="H55" s="161"/>
      <c r="L55" s="10"/>
      <c r="M55" s="10"/>
    </row>
    <row r="56" spans="1:16" x14ac:dyDescent="0.3">
      <c r="A56" s="161"/>
      <c r="B56" s="161"/>
      <c r="C56" s="53" t="s">
        <v>591</v>
      </c>
      <c r="D56" s="58">
        <v>1</v>
      </c>
      <c r="E56" s="100">
        <v>75000</v>
      </c>
      <c r="F56" s="93">
        <f t="shared" si="2"/>
        <v>75000</v>
      </c>
      <c r="G56" s="161"/>
      <c r="H56" s="161"/>
      <c r="L56" s="10"/>
      <c r="M56" s="10"/>
    </row>
    <row r="57" spans="1:16" x14ac:dyDescent="0.3">
      <c r="A57" s="161"/>
      <c r="B57" s="161"/>
      <c r="C57" s="53" t="s">
        <v>589</v>
      </c>
      <c r="D57" s="58">
        <v>1</v>
      </c>
      <c r="E57" s="100">
        <v>112500</v>
      </c>
      <c r="F57" s="93">
        <f t="shared" si="2"/>
        <v>112500</v>
      </c>
      <c r="G57" s="161"/>
      <c r="H57" s="161"/>
      <c r="L57" s="10"/>
      <c r="M57" s="10"/>
    </row>
    <row r="58" spans="1:16" x14ac:dyDescent="0.3">
      <c r="A58" s="161"/>
      <c r="B58" s="161"/>
      <c r="C58" s="53" t="s">
        <v>377</v>
      </c>
      <c r="D58" s="58">
        <v>1</v>
      </c>
      <c r="E58" s="100">
        <v>100000</v>
      </c>
      <c r="F58" s="93">
        <f t="shared" si="2"/>
        <v>100000</v>
      </c>
      <c r="G58" s="161"/>
      <c r="H58" s="161"/>
      <c r="L58" s="10"/>
      <c r="M58" s="10"/>
    </row>
    <row r="59" spans="1:16" x14ac:dyDescent="0.3">
      <c r="A59" s="161"/>
      <c r="B59" s="161"/>
      <c r="C59" s="53" t="s">
        <v>596</v>
      </c>
      <c r="D59" s="58">
        <v>1</v>
      </c>
      <c r="E59" s="100">
        <v>40000</v>
      </c>
      <c r="F59" s="93">
        <f t="shared" si="2"/>
        <v>40000</v>
      </c>
      <c r="G59" s="161"/>
      <c r="H59" s="161"/>
      <c r="L59" s="10"/>
      <c r="M59" s="10"/>
    </row>
    <row r="60" spans="1:16" x14ac:dyDescent="0.3">
      <c r="A60" s="161"/>
      <c r="B60" s="161"/>
      <c r="C60" s="53" t="s">
        <v>124</v>
      </c>
      <c r="D60" s="58">
        <v>1</v>
      </c>
      <c r="E60" s="100">
        <v>80000</v>
      </c>
      <c r="F60" s="93">
        <f t="shared" si="2"/>
        <v>80000</v>
      </c>
      <c r="G60" s="161"/>
      <c r="H60" s="161"/>
      <c r="L60" s="10"/>
      <c r="M60" s="10"/>
    </row>
    <row r="61" spans="1:16" x14ac:dyDescent="0.3">
      <c r="A61" s="161"/>
      <c r="B61" s="161"/>
      <c r="C61" s="53" t="s">
        <v>300</v>
      </c>
      <c r="D61" s="58">
        <v>1</v>
      </c>
      <c r="E61" s="100">
        <v>100000</v>
      </c>
      <c r="F61" s="93">
        <f t="shared" si="2"/>
        <v>100000</v>
      </c>
      <c r="G61" s="161"/>
      <c r="H61" s="161"/>
      <c r="L61" s="10"/>
      <c r="M61" s="10"/>
    </row>
    <row r="62" spans="1:16" x14ac:dyDescent="0.3">
      <c r="A62" s="161"/>
      <c r="B62" s="161"/>
      <c r="C62" s="53" t="s">
        <v>565</v>
      </c>
      <c r="D62" s="58">
        <v>4</v>
      </c>
      <c r="E62" s="100">
        <v>45000</v>
      </c>
      <c r="F62" s="93">
        <f t="shared" si="2"/>
        <v>180000</v>
      </c>
      <c r="G62" s="161"/>
      <c r="H62" s="161"/>
      <c r="L62" s="10"/>
      <c r="M62" s="10"/>
    </row>
    <row r="63" spans="1:16" x14ac:dyDescent="0.3">
      <c r="A63" s="161"/>
      <c r="B63" s="161"/>
      <c r="C63" s="53" t="s">
        <v>431</v>
      </c>
      <c r="D63" s="58">
        <v>4</v>
      </c>
      <c r="E63" s="100">
        <v>100000</v>
      </c>
      <c r="F63" s="93">
        <f t="shared" si="2"/>
        <v>400000</v>
      </c>
      <c r="G63" s="161"/>
      <c r="H63" s="161"/>
    </row>
    <row r="64" spans="1:16" ht="15" thickBot="1" x14ac:dyDescent="0.35">
      <c r="A64" s="161"/>
      <c r="B64" s="162"/>
      <c r="C64" s="53" t="s">
        <v>604</v>
      </c>
      <c r="D64" s="59">
        <v>1</v>
      </c>
      <c r="E64" s="105">
        <v>112500</v>
      </c>
      <c r="F64" s="95">
        <f t="shared" si="2"/>
        <v>112500</v>
      </c>
      <c r="G64" s="162"/>
      <c r="H64" s="161"/>
    </row>
    <row r="65" spans="1:13" x14ac:dyDescent="0.3">
      <c r="A65" s="161"/>
      <c r="B65" s="166" t="s">
        <v>605</v>
      </c>
      <c r="C65" s="56" t="s">
        <v>300</v>
      </c>
      <c r="D65" s="56">
        <v>1</v>
      </c>
      <c r="E65" s="80">
        <v>100000</v>
      </c>
      <c r="F65" s="54">
        <f t="shared" si="2"/>
        <v>100000</v>
      </c>
      <c r="G65" s="160">
        <f>SUM(F65:F66)</f>
        <v>280000</v>
      </c>
      <c r="H65" s="161"/>
    </row>
    <row r="66" spans="1:13" ht="15" thickBot="1" x14ac:dyDescent="0.35">
      <c r="A66" s="162"/>
      <c r="B66" s="162"/>
      <c r="C66" s="55" t="s">
        <v>565</v>
      </c>
      <c r="D66" s="55">
        <v>4</v>
      </c>
      <c r="E66" s="82">
        <v>45000</v>
      </c>
      <c r="F66" s="63">
        <f t="shared" si="2"/>
        <v>180000</v>
      </c>
      <c r="G66" s="162"/>
      <c r="H66" s="162"/>
    </row>
    <row r="67" spans="1:13" x14ac:dyDescent="0.3">
      <c r="A67" s="166" t="s">
        <v>551</v>
      </c>
      <c r="B67" s="166" t="s">
        <v>605</v>
      </c>
      <c r="C67" s="56" t="s">
        <v>587</v>
      </c>
      <c r="D67" s="56">
        <v>2</v>
      </c>
      <c r="E67" s="80">
        <v>65000</v>
      </c>
      <c r="F67" s="54">
        <f t="shared" si="2"/>
        <v>130000</v>
      </c>
      <c r="G67" s="160">
        <f>SUM(E67:E76)</f>
        <v>740000</v>
      </c>
      <c r="H67" s="172">
        <f>SUM(G67:G79)</f>
        <v>1152500</v>
      </c>
    </row>
    <row r="68" spans="1:13" x14ac:dyDescent="0.3">
      <c r="A68" s="161"/>
      <c r="B68" s="161"/>
      <c r="C68" s="53" t="s">
        <v>123</v>
      </c>
      <c r="D68" s="53">
        <v>1</v>
      </c>
      <c r="E68" s="86">
        <v>75000</v>
      </c>
      <c r="F68" s="62">
        <f t="shared" si="2"/>
        <v>75000</v>
      </c>
      <c r="G68" s="161"/>
      <c r="H68" s="173"/>
    </row>
    <row r="69" spans="1:13" x14ac:dyDescent="0.3">
      <c r="A69" s="161"/>
      <c r="B69" s="161"/>
      <c r="C69" s="53" t="s">
        <v>122</v>
      </c>
      <c r="D69" s="53">
        <v>4</v>
      </c>
      <c r="E69" s="86">
        <v>112500</v>
      </c>
      <c r="F69" s="62">
        <f t="shared" si="2"/>
        <v>450000</v>
      </c>
      <c r="G69" s="161"/>
      <c r="H69" s="173"/>
    </row>
    <row r="70" spans="1:13" x14ac:dyDescent="0.3">
      <c r="A70" s="161"/>
      <c r="B70" s="161"/>
      <c r="C70" s="53" t="s">
        <v>377</v>
      </c>
      <c r="D70" s="53">
        <v>3</v>
      </c>
      <c r="E70" s="86">
        <v>100000</v>
      </c>
      <c r="F70" s="62">
        <f t="shared" si="2"/>
        <v>300000</v>
      </c>
      <c r="G70" s="161"/>
      <c r="H70" s="173"/>
    </row>
    <row r="71" spans="1:13" x14ac:dyDescent="0.3">
      <c r="A71" s="161"/>
      <c r="B71" s="161"/>
      <c r="C71" s="53" t="s">
        <v>124</v>
      </c>
      <c r="D71" s="53">
        <v>3</v>
      </c>
      <c r="E71" s="86">
        <v>80000</v>
      </c>
      <c r="F71" s="62">
        <f t="shared" si="2"/>
        <v>240000</v>
      </c>
      <c r="G71" s="161"/>
      <c r="H71" s="173"/>
    </row>
    <row r="72" spans="1:13" x14ac:dyDescent="0.3">
      <c r="A72" s="161"/>
      <c r="B72" s="161"/>
      <c r="C72" s="53" t="s">
        <v>606</v>
      </c>
      <c r="D72" s="53">
        <v>4</v>
      </c>
      <c r="E72" s="86">
        <v>45000</v>
      </c>
      <c r="F72" s="62">
        <f t="shared" si="2"/>
        <v>180000</v>
      </c>
      <c r="G72" s="161"/>
      <c r="H72" s="173"/>
    </row>
    <row r="73" spans="1:13" x14ac:dyDescent="0.3">
      <c r="A73" s="161"/>
      <c r="B73" s="161"/>
      <c r="C73" s="53" t="s">
        <v>300</v>
      </c>
      <c r="D73" s="53">
        <v>9</v>
      </c>
      <c r="E73" s="86">
        <v>10000</v>
      </c>
      <c r="F73" s="62">
        <f t="shared" si="2"/>
        <v>90000</v>
      </c>
      <c r="G73" s="161"/>
      <c r="H73" s="173"/>
    </row>
    <row r="74" spans="1:13" x14ac:dyDescent="0.3">
      <c r="A74" s="161"/>
      <c r="B74" s="161"/>
      <c r="C74" s="53" t="s">
        <v>607</v>
      </c>
      <c r="D74" s="53">
        <v>8</v>
      </c>
      <c r="E74" s="86">
        <v>100000</v>
      </c>
      <c r="F74" s="62">
        <f t="shared" si="2"/>
        <v>800000</v>
      </c>
      <c r="G74" s="161"/>
      <c r="H74" s="173"/>
    </row>
    <row r="75" spans="1:13" x14ac:dyDescent="0.3">
      <c r="A75" s="161"/>
      <c r="B75" s="161"/>
      <c r="C75" s="53" t="s">
        <v>604</v>
      </c>
      <c r="D75" s="53">
        <v>1</v>
      </c>
      <c r="E75" s="86">
        <v>112500</v>
      </c>
      <c r="F75" s="62">
        <f t="shared" si="2"/>
        <v>112500</v>
      </c>
      <c r="G75" s="161"/>
      <c r="H75" s="173"/>
    </row>
    <row r="76" spans="1:13" ht="15" thickBot="1" x14ac:dyDescent="0.35">
      <c r="A76" s="161"/>
      <c r="B76" s="162"/>
      <c r="C76" s="53" t="s">
        <v>389</v>
      </c>
      <c r="D76" s="53">
        <v>3</v>
      </c>
      <c r="E76" s="86">
        <v>40000</v>
      </c>
      <c r="F76" s="62">
        <f t="shared" si="2"/>
        <v>120000</v>
      </c>
      <c r="G76" s="162"/>
      <c r="H76" s="173"/>
    </row>
    <row r="77" spans="1:13" ht="15" thickBot="1" x14ac:dyDescent="0.35">
      <c r="A77" s="161"/>
      <c r="B77" s="69" t="s">
        <v>608</v>
      </c>
      <c r="C77" s="69" t="s">
        <v>125</v>
      </c>
      <c r="D77" s="69">
        <v>1</v>
      </c>
      <c r="E77" s="76">
        <v>100000</v>
      </c>
      <c r="F77" s="96">
        <f t="shared" si="2"/>
        <v>100000</v>
      </c>
      <c r="G77" s="96">
        <f>F77</f>
        <v>100000</v>
      </c>
      <c r="H77" s="173"/>
      <c r="K77" s="126" t="s">
        <v>645</v>
      </c>
      <c r="L77" s="47">
        <v>9.5000000000000001E-2</v>
      </c>
    </row>
    <row r="78" spans="1:13" ht="14.4" customHeight="1" x14ac:dyDescent="0.3">
      <c r="A78" s="161"/>
      <c r="B78" s="157" t="s">
        <v>609</v>
      </c>
      <c r="C78" s="53" t="s">
        <v>122</v>
      </c>
      <c r="D78" s="53">
        <v>1</v>
      </c>
      <c r="E78" s="86">
        <v>112500</v>
      </c>
      <c r="F78" s="62">
        <f t="shared" si="2"/>
        <v>112500</v>
      </c>
      <c r="G78" s="170">
        <f>SUM(F78:F79)</f>
        <v>312500</v>
      </c>
      <c r="H78" s="173"/>
    </row>
    <row r="79" spans="1:13" ht="15" thickBot="1" x14ac:dyDescent="0.35">
      <c r="A79" s="162"/>
      <c r="B79" s="159"/>
      <c r="C79" s="55" t="s">
        <v>125</v>
      </c>
      <c r="D79" s="55">
        <v>2</v>
      </c>
      <c r="E79" s="82">
        <v>100000</v>
      </c>
      <c r="F79" s="63">
        <f t="shared" si="2"/>
        <v>200000</v>
      </c>
      <c r="G79" s="162"/>
      <c r="H79" s="174"/>
      <c r="K79" s="61" t="s">
        <v>646</v>
      </c>
      <c r="L79" s="61"/>
    </row>
    <row r="80" spans="1:13" ht="15" thickBot="1" x14ac:dyDescent="0.35">
      <c r="A80" s="166" t="s">
        <v>552</v>
      </c>
      <c r="B80" s="69" t="s">
        <v>605</v>
      </c>
      <c r="C80" s="69" t="s">
        <v>610</v>
      </c>
      <c r="D80" s="69">
        <v>4</v>
      </c>
      <c r="E80" s="76">
        <v>45000</v>
      </c>
      <c r="F80" s="96">
        <f t="shared" si="2"/>
        <v>180000</v>
      </c>
      <c r="G80" s="70">
        <f>F80</f>
        <v>180000</v>
      </c>
      <c r="H80" s="160">
        <f>SUM(G80:G105)</f>
        <v>3127500</v>
      </c>
      <c r="K80" s="126"/>
      <c r="L80" s="126" t="s">
        <v>650</v>
      </c>
      <c r="M80" s="126" t="s">
        <v>651</v>
      </c>
    </row>
    <row r="81" spans="1:16" x14ac:dyDescent="0.3">
      <c r="A81" s="161"/>
      <c r="B81" s="166" t="s">
        <v>28</v>
      </c>
      <c r="C81" s="56" t="s">
        <v>122</v>
      </c>
      <c r="D81" s="56">
        <v>1</v>
      </c>
      <c r="E81" s="80">
        <v>112500</v>
      </c>
      <c r="F81" s="54">
        <f t="shared" si="2"/>
        <v>112500</v>
      </c>
      <c r="G81" s="160">
        <f>SUM(F81:F82)</f>
        <v>212500</v>
      </c>
      <c r="H81" s="161"/>
      <c r="K81" t="s">
        <v>647</v>
      </c>
      <c r="L81" s="44">
        <f ca="1">L52</f>
        <v>40191100</v>
      </c>
      <c r="M81" s="44">
        <f ca="1">L81*(1+$L$77)</f>
        <v>44009254.5</v>
      </c>
      <c r="P81" s="44"/>
    </row>
    <row r="82" spans="1:16" ht="15" thickBot="1" x14ac:dyDescent="0.35">
      <c r="A82" s="161"/>
      <c r="B82" s="162"/>
      <c r="C82" s="55" t="s">
        <v>125</v>
      </c>
      <c r="D82" s="55">
        <v>1</v>
      </c>
      <c r="E82" s="82">
        <v>100000</v>
      </c>
      <c r="F82" s="63">
        <f t="shared" si="2"/>
        <v>100000</v>
      </c>
      <c r="G82" s="162"/>
      <c r="H82" s="161"/>
      <c r="K82" t="s">
        <v>648</v>
      </c>
      <c r="L82" s="44">
        <f ca="1">M52</f>
        <v>44149586.200000003</v>
      </c>
      <c r="M82" s="44">
        <f ca="1">L82*(1+$L$77)</f>
        <v>48343796.888999999</v>
      </c>
      <c r="P82" s="44"/>
    </row>
    <row r="83" spans="1:16" x14ac:dyDescent="0.3">
      <c r="A83" s="161"/>
      <c r="B83" s="166" t="s">
        <v>41</v>
      </c>
      <c r="C83" s="56" t="s">
        <v>122</v>
      </c>
      <c r="D83" s="56">
        <v>1</v>
      </c>
      <c r="E83" s="80">
        <v>112500</v>
      </c>
      <c r="F83" s="54">
        <f t="shared" si="2"/>
        <v>112500</v>
      </c>
      <c r="G83" s="160">
        <f>SUM(F83:F84)</f>
        <v>212500</v>
      </c>
      <c r="H83" s="161"/>
      <c r="K83" s="126" t="s">
        <v>649</v>
      </c>
      <c r="L83" s="127">
        <f ca="1">N52</f>
        <v>84340686.200000003</v>
      </c>
      <c r="M83" s="127">
        <f ca="1">L83*(1+$L$77)</f>
        <v>92353051.388999999</v>
      </c>
      <c r="P83" s="44"/>
    </row>
    <row r="84" spans="1:16" ht="15" thickBot="1" x14ac:dyDescent="0.35">
      <c r="A84" s="161"/>
      <c r="B84" s="162"/>
      <c r="C84" s="55" t="s">
        <v>125</v>
      </c>
      <c r="D84" s="55">
        <v>1</v>
      </c>
      <c r="E84" s="82">
        <v>100000</v>
      </c>
      <c r="F84" s="63">
        <f t="shared" si="2"/>
        <v>100000</v>
      </c>
      <c r="G84" s="162"/>
      <c r="H84" s="161"/>
    </row>
    <row r="85" spans="1:16" x14ac:dyDescent="0.3">
      <c r="A85" s="161"/>
      <c r="B85" s="166" t="s">
        <v>42</v>
      </c>
      <c r="C85" s="56" t="s">
        <v>122</v>
      </c>
      <c r="D85" s="56">
        <v>1</v>
      </c>
      <c r="E85" s="80">
        <v>112500</v>
      </c>
      <c r="F85" s="54">
        <f t="shared" si="2"/>
        <v>112500</v>
      </c>
      <c r="G85" s="160">
        <f>SUM(F85:F86)</f>
        <v>312500</v>
      </c>
      <c r="H85" s="161"/>
    </row>
    <row r="86" spans="1:16" ht="15" thickBot="1" x14ac:dyDescent="0.35">
      <c r="A86" s="161"/>
      <c r="B86" s="162"/>
      <c r="C86" s="55" t="s">
        <v>125</v>
      </c>
      <c r="D86" s="55">
        <v>2</v>
      </c>
      <c r="E86" s="82">
        <v>100000</v>
      </c>
      <c r="F86" s="63">
        <f t="shared" si="2"/>
        <v>200000</v>
      </c>
      <c r="G86" s="162"/>
      <c r="H86" s="161"/>
    </row>
    <row r="87" spans="1:16" x14ac:dyDescent="0.3">
      <c r="A87" s="161"/>
      <c r="B87" s="166" t="s">
        <v>45</v>
      </c>
      <c r="C87" s="56" t="s">
        <v>122</v>
      </c>
      <c r="D87" s="56">
        <v>1</v>
      </c>
      <c r="E87" s="80">
        <v>112500</v>
      </c>
      <c r="F87" s="54">
        <f t="shared" si="2"/>
        <v>112500</v>
      </c>
      <c r="G87" s="160">
        <f>SUM(F87:F88)</f>
        <v>312500</v>
      </c>
      <c r="H87" s="161"/>
    </row>
    <row r="88" spans="1:16" ht="15" thickBot="1" x14ac:dyDescent="0.35">
      <c r="A88" s="161"/>
      <c r="B88" s="162"/>
      <c r="C88" s="55" t="s">
        <v>125</v>
      </c>
      <c r="D88" s="55">
        <v>2</v>
      </c>
      <c r="E88" s="82">
        <v>100000</v>
      </c>
      <c r="F88" s="63">
        <f t="shared" si="2"/>
        <v>200000</v>
      </c>
      <c r="G88" s="162"/>
      <c r="H88" s="161"/>
    </row>
    <row r="89" spans="1:16" x14ac:dyDescent="0.3">
      <c r="A89" s="161"/>
      <c r="B89" s="166" t="s">
        <v>46</v>
      </c>
      <c r="C89" s="56" t="s">
        <v>122</v>
      </c>
      <c r="D89" s="56">
        <v>1</v>
      </c>
      <c r="E89" s="80">
        <v>112500</v>
      </c>
      <c r="F89" s="54">
        <f t="shared" si="2"/>
        <v>112500</v>
      </c>
      <c r="G89" s="160">
        <f>SUM(F89:F90)</f>
        <v>212500</v>
      </c>
      <c r="H89" s="161"/>
    </row>
    <row r="90" spans="1:16" ht="15" thickBot="1" x14ac:dyDescent="0.35">
      <c r="A90" s="161"/>
      <c r="B90" s="162"/>
      <c r="C90" s="55" t="s">
        <v>125</v>
      </c>
      <c r="D90" s="55">
        <v>1</v>
      </c>
      <c r="E90" s="82">
        <v>100000</v>
      </c>
      <c r="F90" s="63">
        <f t="shared" si="2"/>
        <v>100000</v>
      </c>
      <c r="G90" s="162"/>
      <c r="H90" s="161"/>
    </row>
    <row r="91" spans="1:16" ht="15" thickBot="1" x14ac:dyDescent="0.35">
      <c r="A91" s="161"/>
      <c r="B91" s="69" t="s">
        <v>611</v>
      </c>
      <c r="C91" s="69" t="s">
        <v>122</v>
      </c>
      <c r="D91" s="69">
        <v>1</v>
      </c>
      <c r="E91" s="76">
        <v>112500</v>
      </c>
      <c r="F91" s="96">
        <f t="shared" si="2"/>
        <v>112500</v>
      </c>
      <c r="G91" s="70">
        <f>F91</f>
        <v>112500</v>
      </c>
      <c r="H91" s="161"/>
    </row>
    <row r="92" spans="1:16" ht="15" thickBot="1" x14ac:dyDescent="0.35">
      <c r="A92" s="161"/>
      <c r="B92" s="69" t="s">
        <v>612</v>
      </c>
      <c r="C92" s="69" t="s">
        <v>613</v>
      </c>
      <c r="D92" s="69">
        <v>2</v>
      </c>
      <c r="E92" s="76">
        <v>112500</v>
      </c>
      <c r="F92" s="96">
        <f t="shared" si="2"/>
        <v>225000</v>
      </c>
      <c r="G92" s="70">
        <f>F92</f>
        <v>225000</v>
      </c>
      <c r="H92" s="161"/>
    </row>
    <row r="93" spans="1:16" x14ac:dyDescent="0.3">
      <c r="A93" s="161"/>
      <c r="B93" s="166" t="s">
        <v>48</v>
      </c>
      <c r="C93" s="56" t="s">
        <v>122</v>
      </c>
      <c r="D93" s="56">
        <v>1</v>
      </c>
      <c r="E93" s="80">
        <v>112500</v>
      </c>
      <c r="F93" s="54">
        <f t="shared" si="2"/>
        <v>112500</v>
      </c>
      <c r="G93" s="160">
        <f>SUM(F93:F94)</f>
        <v>212500</v>
      </c>
      <c r="H93" s="161"/>
    </row>
    <row r="94" spans="1:16" ht="15" thickBot="1" x14ac:dyDescent="0.35">
      <c r="A94" s="161"/>
      <c r="B94" s="162"/>
      <c r="C94" s="55" t="s">
        <v>125</v>
      </c>
      <c r="D94" s="55">
        <v>1</v>
      </c>
      <c r="E94" s="82">
        <v>100000</v>
      </c>
      <c r="F94" s="63">
        <f t="shared" si="2"/>
        <v>100000</v>
      </c>
      <c r="G94" s="162"/>
      <c r="H94" s="161"/>
    </row>
    <row r="95" spans="1:16" x14ac:dyDescent="0.3">
      <c r="A95" s="161"/>
      <c r="B95" s="166" t="s">
        <v>51</v>
      </c>
      <c r="C95" s="56" t="s">
        <v>122</v>
      </c>
      <c r="D95" s="56">
        <v>1</v>
      </c>
      <c r="E95" s="80">
        <v>112500</v>
      </c>
      <c r="F95" s="54">
        <f t="shared" si="2"/>
        <v>112500</v>
      </c>
      <c r="G95" s="160">
        <f>SUM(F95:F96)</f>
        <v>212500</v>
      </c>
      <c r="H95" s="161"/>
    </row>
    <row r="96" spans="1:16" ht="15" thickBot="1" x14ac:dyDescent="0.35">
      <c r="A96" s="161"/>
      <c r="B96" s="162"/>
      <c r="C96" s="55" t="s">
        <v>125</v>
      </c>
      <c r="D96" s="55">
        <v>1</v>
      </c>
      <c r="E96" s="82">
        <v>100000</v>
      </c>
      <c r="F96" s="63">
        <f t="shared" si="2"/>
        <v>100000</v>
      </c>
      <c r="G96" s="162"/>
      <c r="H96" s="161"/>
    </row>
    <row r="97" spans="1:8" x14ac:dyDescent="0.3">
      <c r="A97" s="161"/>
      <c r="B97" s="166" t="s">
        <v>603</v>
      </c>
      <c r="C97" s="56" t="s">
        <v>587</v>
      </c>
      <c r="D97" s="56">
        <v>1</v>
      </c>
      <c r="E97" s="80">
        <v>65000</v>
      </c>
      <c r="F97" s="54">
        <f t="shared" si="2"/>
        <v>65000</v>
      </c>
      <c r="G97" s="160">
        <f>SUM(F97:F101)</f>
        <v>497500</v>
      </c>
      <c r="H97" s="161"/>
    </row>
    <row r="98" spans="1:8" x14ac:dyDescent="0.3">
      <c r="A98" s="161"/>
      <c r="B98" s="161"/>
      <c r="C98" s="53" t="s">
        <v>123</v>
      </c>
      <c r="D98" s="53">
        <v>1</v>
      </c>
      <c r="E98" s="86">
        <v>75000</v>
      </c>
      <c r="F98" s="62">
        <f t="shared" si="2"/>
        <v>75000</v>
      </c>
      <c r="G98" s="170"/>
      <c r="H98" s="161"/>
    </row>
    <row r="99" spans="1:8" x14ac:dyDescent="0.3">
      <c r="A99" s="161"/>
      <c r="B99" s="161"/>
      <c r="C99" s="53" t="s">
        <v>122</v>
      </c>
      <c r="D99" s="53">
        <v>1</v>
      </c>
      <c r="E99" s="86">
        <v>112500</v>
      </c>
      <c r="F99" s="62">
        <f t="shared" si="2"/>
        <v>112500</v>
      </c>
      <c r="G99" s="170"/>
      <c r="H99" s="161"/>
    </row>
    <row r="100" spans="1:8" x14ac:dyDescent="0.3">
      <c r="A100" s="161"/>
      <c r="B100" s="161"/>
      <c r="C100" s="53" t="s">
        <v>300</v>
      </c>
      <c r="D100" s="53">
        <v>2</v>
      </c>
      <c r="E100" s="86">
        <v>100000</v>
      </c>
      <c r="F100" s="62">
        <f t="shared" si="2"/>
        <v>200000</v>
      </c>
      <c r="G100" s="170"/>
      <c r="H100" s="161"/>
    </row>
    <row r="101" spans="1:8" ht="15" thickBot="1" x14ac:dyDescent="0.35">
      <c r="A101" s="161"/>
      <c r="B101" s="162"/>
      <c r="C101" s="55" t="s">
        <v>610</v>
      </c>
      <c r="D101" s="55">
        <v>1</v>
      </c>
      <c r="E101" s="82">
        <v>45000</v>
      </c>
      <c r="F101" s="63">
        <f t="shared" si="2"/>
        <v>45000</v>
      </c>
      <c r="G101" s="171"/>
      <c r="H101" s="161"/>
    </row>
    <row r="102" spans="1:8" x14ac:dyDescent="0.3">
      <c r="A102" s="161"/>
      <c r="B102" s="166" t="s">
        <v>52</v>
      </c>
      <c r="C102" s="56" t="s">
        <v>122</v>
      </c>
      <c r="D102" s="56">
        <v>1</v>
      </c>
      <c r="E102" s="80">
        <v>112500</v>
      </c>
      <c r="F102" s="54">
        <f t="shared" si="2"/>
        <v>112500</v>
      </c>
      <c r="G102" s="160">
        <f>SUM(F102:F103)</f>
        <v>212500</v>
      </c>
      <c r="H102" s="161"/>
    </row>
    <row r="103" spans="1:8" ht="15" thickBot="1" x14ac:dyDescent="0.35">
      <c r="A103" s="161"/>
      <c r="B103" s="162"/>
      <c r="C103" s="55" t="s">
        <v>125</v>
      </c>
      <c r="D103" s="55">
        <v>1</v>
      </c>
      <c r="E103" s="82">
        <v>100000</v>
      </c>
      <c r="F103" s="63">
        <f t="shared" si="2"/>
        <v>100000</v>
      </c>
      <c r="G103" s="162"/>
      <c r="H103" s="161"/>
    </row>
    <row r="104" spans="1:8" x14ac:dyDescent="0.3">
      <c r="A104" s="161"/>
      <c r="B104" s="166" t="s">
        <v>55</v>
      </c>
      <c r="C104" s="56" t="s">
        <v>122</v>
      </c>
      <c r="D104" s="56">
        <v>1</v>
      </c>
      <c r="E104" s="80">
        <v>112500</v>
      </c>
      <c r="F104" s="54">
        <f t="shared" si="2"/>
        <v>112500</v>
      </c>
      <c r="G104" s="160">
        <f>SUM(F104:F105)</f>
        <v>212500</v>
      </c>
      <c r="H104" s="161"/>
    </row>
    <row r="105" spans="1:8" ht="15" thickBot="1" x14ac:dyDescent="0.35">
      <c r="A105" s="162"/>
      <c r="B105" s="162"/>
      <c r="C105" s="55" t="s">
        <v>125</v>
      </c>
      <c r="D105" s="55">
        <v>1</v>
      </c>
      <c r="E105" s="82">
        <v>100000</v>
      </c>
      <c r="F105" s="63">
        <f t="shared" si="2"/>
        <v>100000</v>
      </c>
      <c r="G105" s="162"/>
      <c r="H105" s="162"/>
    </row>
    <row r="106" spans="1:8" x14ac:dyDescent="0.3">
      <c r="A106" s="166" t="s">
        <v>553</v>
      </c>
      <c r="B106" s="175" t="s">
        <v>620</v>
      </c>
      <c r="C106" s="56" t="s">
        <v>300</v>
      </c>
      <c r="D106" s="56">
        <v>1</v>
      </c>
      <c r="E106" s="80">
        <v>119500</v>
      </c>
      <c r="F106" s="54">
        <f t="shared" si="2"/>
        <v>119500</v>
      </c>
      <c r="G106" s="160">
        <f>SUM(F106:F107)</f>
        <v>165500</v>
      </c>
      <c r="H106" s="160">
        <f>SUM(G106:G108)</f>
        <v>210500</v>
      </c>
    </row>
    <row r="107" spans="1:8" ht="15" thickBot="1" x14ac:dyDescent="0.35">
      <c r="A107" s="161"/>
      <c r="B107" s="174"/>
      <c r="C107" s="55" t="s">
        <v>610</v>
      </c>
      <c r="D107" s="55">
        <v>1</v>
      </c>
      <c r="E107" s="82">
        <v>46000</v>
      </c>
      <c r="F107" s="63">
        <f t="shared" si="2"/>
        <v>46000</v>
      </c>
      <c r="G107" s="162"/>
      <c r="H107" s="161"/>
    </row>
    <row r="108" spans="1:8" ht="15" thickBot="1" x14ac:dyDescent="0.35">
      <c r="A108" s="162"/>
      <c r="B108" s="69" t="s">
        <v>602</v>
      </c>
      <c r="C108" s="55" t="s">
        <v>610</v>
      </c>
      <c r="D108" s="55">
        <v>1</v>
      </c>
      <c r="E108" s="82">
        <v>45000</v>
      </c>
      <c r="F108" s="63">
        <f t="shared" si="2"/>
        <v>45000</v>
      </c>
      <c r="G108" s="96">
        <f>F108</f>
        <v>45000</v>
      </c>
      <c r="H108" s="162"/>
    </row>
    <row r="109" spans="1:8" x14ac:dyDescent="0.3">
      <c r="A109" s="166" t="s">
        <v>554</v>
      </c>
      <c r="B109" s="161" t="s">
        <v>620</v>
      </c>
      <c r="C109" s="111" t="s">
        <v>587</v>
      </c>
      <c r="D109" s="89">
        <v>9</v>
      </c>
      <c r="E109" s="90">
        <v>47500</v>
      </c>
      <c r="F109" s="91">
        <f>D109*E109</f>
        <v>427500</v>
      </c>
      <c r="G109" s="153">
        <f>SUM(F109:F117)</f>
        <v>4333000</v>
      </c>
      <c r="H109" s="160">
        <f>SUM(G109:G133)</f>
        <v>6749000</v>
      </c>
    </row>
    <row r="110" spans="1:8" x14ac:dyDescent="0.3">
      <c r="A110" s="161"/>
      <c r="B110" s="161"/>
      <c r="C110" s="112" t="s">
        <v>591</v>
      </c>
      <c r="D110" s="58">
        <v>2</v>
      </c>
      <c r="E110" s="92">
        <v>60000</v>
      </c>
      <c r="F110" s="93">
        <f t="shared" ref="F110:F133" si="6">D110*E110</f>
        <v>120000</v>
      </c>
      <c r="G110" s="154"/>
      <c r="H110" s="161"/>
    </row>
    <row r="111" spans="1:8" x14ac:dyDescent="0.3">
      <c r="A111" s="161"/>
      <c r="B111" s="161"/>
      <c r="C111" s="112" t="s">
        <v>122</v>
      </c>
      <c r="D111" s="58">
        <v>9</v>
      </c>
      <c r="E111" s="92">
        <v>87000</v>
      </c>
      <c r="F111" s="93">
        <f t="shared" si="6"/>
        <v>783000</v>
      </c>
      <c r="G111" s="154"/>
      <c r="H111" s="161"/>
    </row>
    <row r="112" spans="1:8" x14ac:dyDescent="0.3">
      <c r="A112" s="161"/>
      <c r="B112" s="161"/>
      <c r="C112" s="112" t="s">
        <v>593</v>
      </c>
      <c r="D112" s="58">
        <v>1</v>
      </c>
      <c r="E112" s="92">
        <v>79500</v>
      </c>
      <c r="F112" s="93">
        <f t="shared" si="6"/>
        <v>79500</v>
      </c>
      <c r="G112" s="154"/>
      <c r="H112" s="161"/>
    </row>
    <row r="113" spans="1:8" x14ac:dyDescent="0.3">
      <c r="A113" s="161"/>
      <c r="B113" s="161"/>
      <c r="C113" s="112" t="s">
        <v>592</v>
      </c>
      <c r="D113" s="58">
        <v>1</v>
      </c>
      <c r="E113" s="92">
        <v>79500</v>
      </c>
      <c r="F113" s="93">
        <f t="shared" si="6"/>
        <v>79500</v>
      </c>
      <c r="G113" s="154"/>
      <c r="H113" s="161"/>
    </row>
    <row r="114" spans="1:8" x14ac:dyDescent="0.3">
      <c r="A114" s="161"/>
      <c r="B114" s="161"/>
      <c r="C114" s="112" t="s">
        <v>124</v>
      </c>
      <c r="D114" s="58">
        <v>1</v>
      </c>
      <c r="E114" s="92">
        <v>93500</v>
      </c>
      <c r="F114" s="93">
        <f t="shared" si="6"/>
        <v>93500</v>
      </c>
      <c r="G114" s="154"/>
      <c r="H114" s="161"/>
    </row>
    <row r="115" spans="1:8" x14ac:dyDescent="0.3">
      <c r="A115" s="161"/>
      <c r="B115" s="161"/>
      <c r="C115" s="112" t="s">
        <v>301</v>
      </c>
      <c r="D115" s="58">
        <v>3</v>
      </c>
      <c r="E115" s="92">
        <v>73500</v>
      </c>
      <c r="F115" s="93">
        <f t="shared" si="6"/>
        <v>220500</v>
      </c>
      <c r="G115" s="154"/>
      <c r="H115" s="161"/>
    </row>
    <row r="116" spans="1:8" x14ac:dyDescent="0.3">
      <c r="A116" s="161"/>
      <c r="B116" s="161"/>
      <c r="C116" s="112" t="s">
        <v>300</v>
      </c>
      <c r="D116" s="58">
        <v>5</v>
      </c>
      <c r="E116" s="92">
        <v>119500</v>
      </c>
      <c r="F116" s="93">
        <f t="shared" si="6"/>
        <v>597500</v>
      </c>
      <c r="G116" s="154"/>
      <c r="H116" s="161"/>
    </row>
    <row r="117" spans="1:8" ht="15" thickBot="1" x14ac:dyDescent="0.35">
      <c r="A117" s="161"/>
      <c r="B117" s="162"/>
      <c r="C117" s="113" t="s">
        <v>590</v>
      </c>
      <c r="D117" s="59">
        <v>42</v>
      </c>
      <c r="E117" s="94">
        <v>46000</v>
      </c>
      <c r="F117" s="95">
        <f t="shared" si="6"/>
        <v>1932000</v>
      </c>
      <c r="G117" s="155"/>
      <c r="H117" s="161"/>
    </row>
    <row r="118" spans="1:8" x14ac:dyDescent="0.3">
      <c r="A118" s="161"/>
      <c r="B118" s="167" t="s">
        <v>598</v>
      </c>
      <c r="C118" s="111" t="s">
        <v>587</v>
      </c>
      <c r="D118" s="89">
        <v>1</v>
      </c>
      <c r="E118" s="90">
        <v>47500</v>
      </c>
      <c r="F118" s="91">
        <f t="shared" si="6"/>
        <v>47500</v>
      </c>
      <c r="G118" s="153">
        <f>SUM(F118:F122)</f>
        <v>585000</v>
      </c>
      <c r="H118" s="161"/>
    </row>
    <row r="119" spans="1:8" x14ac:dyDescent="0.3">
      <c r="A119" s="161"/>
      <c r="B119" s="168"/>
      <c r="C119" s="112" t="s">
        <v>591</v>
      </c>
      <c r="D119" s="58">
        <v>1</v>
      </c>
      <c r="E119" s="92">
        <v>60000</v>
      </c>
      <c r="F119" s="93">
        <f t="shared" si="6"/>
        <v>60000</v>
      </c>
      <c r="G119" s="154"/>
      <c r="H119" s="161"/>
    </row>
    <row r="120" spans="1:8" x14ac:dyDescent="0.3">
      <c r="A120" s="161"/>
      <c r="B120" s="168"/>
      <c r="C120" s="112" t="s">
        <v>122</v>
      </c>
      <c r="D120" s="58">
        <v>2</v>
      </c>
      <c r="E120" s="92">
        <v>87000</v>
      </c>
      <c r="F120" s="93">
        <f t="shared" si="6"/>
        <v>174000</v>
      </c>
      <c r="G120" s="154"/>
      <c r="H120" s="161"/>
    </row>
    <row r="121" spans="1:8" x14ac:dyDescent="0.3">
      <c r="A121" s="161"/>
      <c r="B121" s="168"/>
      <c r="C121" s="112" t="s">
        <v>300</v>
      </c>
      <c r="D121" s="58">
        <v>1</v>
      </c>
      <c r="E121" s="92">
        <v>119500</v>
      </c>
      <c r="F121" s="93">
        <f t="shared" si="6"/>
        <v>119500</v>
      </c>
      <c r="G121" s="154"/>
      <c r="H121" s="161"/>
    </row>
    <row r="122" spans="1:8" ht="15" thickBot="1" x14ac:dyDescent="0.35">
      <c r="A122" s="161"/>
      <c r="B122" s="169"/>
      <c r="C122" s="113" t="s">
        <v>565</v>
      </c>
      <c r="D122" s="59">
        <v>4</v>
      </c>
      <c r="E122" s="94">
        <v>46000</v>
      </c>
      <c r="F122" s="95">
        <f t="shared" si="6"/>
        <v>184000</v>
      </c>
      <c r="G122" s="155"/>
      <c r="H122" s="161"/>
    </row>
    <row r="123" spans="1:8" ht="15" thickBot="1" x14ac:dyDescent="0.35">
      <c r="A123" s="161"/>
      <c r="B123" s="69" t="s">
        <v>25</v>
      </c>
      <c r="C123" s="114" t="s">
        <v>122</v>
      </c>
      <c r="D123" s="69">
        <v>2</v>
      </c>
      <c r="E123" s="78">
        <v>87000</v>
      </c>
      <c r="F123" s="96">
        <f t="shared" si="6"/>
        <v>174000</v>
      </c>
      <c r="G123" s="70">
        <f>F123</f>
        <v>174000</v>
      </c>
      <c r="H123" s="161"/>
    </row>
    <row r="124" spans="1:8" x14ac:dyDescent="0.3">
      <c r="A124" s="161"/>
      <c r="B124" s="167" t="s">
        <v>22</v>
      </c>
      <c r="C124" s="111" t="s">
        <v>122</v>
      </c>
      <c r="D124" s="89">
        <v>2</v>
      </c>
      <c r="E124" s="90">
        <v>87000</v>
      </c>
      <c r="F124" s="91">
        <f t="shared" si="6"/>
        <v>174000</v>
      </c>
      <c r="G124" s="153">
        <f>SUM(F124:F126)</f>
        <v>769500</v>
      </c>
      <c r="H124" s="161"/>
    </row>
    <row r="125" spans="1:8" x14ac:dyDescent="0.3">
      <c r="A125" s="161"/>
      <c r="B125" s="158"/>
      <c r="C125" s="115" t="s">
        <v>125</v>
      </c>
      <c r="D125" s="53">
        <v>4</v>
      </c>
      <c r="E125" s="97">
        <v>119000</v>
      </c>
      <c r="F125" s="62">
        <f t="shared" si="6"/>
        <v>476000</v>
      </c>
      <c r="G125" s="156"/>
      <c r="H125" s="161"/>
    </row>
    <row r="126" spans="1:8" ht="15" thickBot="1" x14ac:dyDescent="0.35">
      <c r="A126" s="161"/>
      <c r="B126" s="169"/>
      <c r="C126" s="116" t="s">
        <v>300</v>
      </c>
      <c r="D126" s="59">
        <v>1</v>
      </c>
      <c r="E126" s="94">
        <v>119500</v>
      </c>
      <c r="F126" s="95">
        <f t="shared" si="6"/>
        <v>119500</v>
      </c>
      <c r="G126" s="155"/>
      <c r="H126" s="161"/>
    </row>
    <row r="127" spans="1:8" x14ac:dyDescent="0.3">
      <c r="A127" s="161"/>
      <c r="B127" s="157" t="s">
        <v>50</v>
      </c>
      <c r="C127" s="118" t="s">
        <v>587</v>
      </c>
      <c r="D127" s="56">
        <v>1</v>
      </c>
      <c r="E127" s="72">
        <v>47500</v>
      </c>
      <c r="F127" s="54">
        <f t="shared" si="6"/>
        <v>47500</v>
      </c>
      <c r="G127" s="160">
        <f>SUM(F127:F133)</f>
        <v>887500</v>
      </c>
      <c r="H127" s="161"/>
    </row>
    <row r="128" spans="1:8" x14ac:dyDescent="0.3">
      <c r="A128" s="161"/>
      <c r="B128" s="158"/>
      <c r="C128" s="117" t="s">
        <v>591</v>
      </c>
      <c r="D128" s="53">
        <v>1</v>
      </c>
      <c r="E128" s="109">
        <v>60000</v>
      </c>
      <c r="F128" s="62">
        <f t="shared" si="6"/>
        <v>60000</v>
      </c>
      <c r="G128" s="161"/>
      <c r="H128" s="161"/>
    </row>
    <row r="129" spans="1:8" x14ac:dyDescent="0.3">
      <c r="A129" s="161"/>
      <c r="B129" s="158"/>
      <c r="C129" s="117" t="s">
        <v>122</v>
      </c>
      <c r="D129" s="53">
        <v>4</v>
      </c>
      <c r="E129" s="109">
        <v>87000</v>
      </c>
      <c r="F129" s="62">
        <f t="shared" si="6"/>
        <v>348000</v>
      </c>
      <c r="G129" s="161"/>
      <c r="H129" s="161"/>
    </row>
    <row r="130" spans="1:8" x14ac:dyDescent="0.3">
      <c r="A130" s="161"/>
      <c r="B130" s="158"/>
      <c r="C130" s="117" t="s">
        <v>596</v>
      </c>
      <c r="D130" s="53">
        <v>1</v>
      </c>
      <c r="E130" s="109">
        <v>35000</v>
      </c>
      <c r="F130" s="62">
        <f t="shared" si="6"/>
        <v>35000</v>
      </c>
      <c r="G130" s="161"/>
      <c r="H130" s="161"/>
    </row>
    <row r="131" spans="1:8" x14ac:dyDescent="0.3">
      <c r="A131" s="161"/>
      <c r="B131" s="158"/>
      <c r="C131" s="117" t="s">
        <v>124</v>
      </c>
      <c r="D131" s="53">
        <v>1</v>
      </c>
      <c r="E131" s="109">
        <v>93500</v>
      </c>
      <c r="F131" s="62">
        <f t="shared" si="6"/>
        <v>93500</v>
      </c>
      <c r="G131" s="161"/>
      <c r="H131" s="161"/>
    </row>
    <row r="132" spans="1:8" x14ac:dyDescent="0.3">
      <c r="A132" s="161"/>
      <c r="B132" s="158"/>
      <c r="C132" s="117" t="s">
        <v>300</v>
      </c>
      <c r="D132" s="53">
        <v>1</v>
      </c>
      <c r="E132" s="109">
        <v>119500</v>
      </c>
      <c r="F132" s="62">
        <f t="shared" si="6"/>
        <v>119500</v>
      </c>
      <c r="G132" s="161"/>
      <c r="H132" s="161"/>
    </row>
    <row r="133" spans="1:8" ht="15" thickBot="1" x14ac:dyDescent="0.35">
      <c r="A133" s="162"/>
      <c r="B133" s="159"/>
      <c r="C133" s="119" t="s">
        <v>597</v>
      </c>
      <c r="D133" s="55">
        <v>4</v>
      </c>
      <c r="E133" s="110">
        <v>46000</v>
      </c>
      <c r="F133" s="63">
        <f t="shared" si="6"/>
        <v>184000</v>
      </c>
      <c r="G133" s="162"/>
      <c r="H133" s="162"/>
    </row>
    <row r="134" spans="1:8" ht="15" thickBot="1" x14ac:dyDescent="0.35">
      <c r="A134" s="177" t="s">
        <v>637</v>
      </c>
      <c r="B134" s="178"/>
      <c r="C134" s="178"/>
      <c r="D134" s="178"/>
      <c r="E134" s="178"/>
      <c r="F134" s="178"/>
      <c r="G134" s="179"/>
      <c r="H134" s="64">
        <f>SUM(H4:H133)</f>
        <v>23186000</v>
      </c>
    </row>
    <row r="136" spans="1:8" ht="15" thickBot="1" x14ac:dyDescent="0.35"/>
    <row r="137" spans="1:8" ht="15" thickBot="1" x14ac:dyDescent="0.35">
      <c r="A137" s="177" t="s">
        <v>636</v>
      </c>
      <c r="B137" s="178"/>
      <c r="C137" s="178"/>
      <c r="D137" s="178"/>
      <c r="E137" s="178"/>
      <c r="F137" s="178"/>
      <c r="G137" s="178"/>
      <c r="H137" s="179"/>
    </row>
    <row r="138" spans="1:8" ht="15" thickBot="1" x14ac:dyDescent="0.35">
      <c r="A138" s="48" t="s">
        <v>544</v>
      </c>
      <c r="B138" s="48" t="s">
        <v>8</v>
      </c>
      <c r="C138" s="50" t="s">
        <v>111</v>
      </c>
      <c r="D138" s="48" t="s">
        <v>601</v>
      </c>
      <c r="E138" s="51" t="s">
        <v>594</v>
      </c>
      <c r="F138" s="48" t="s">
        <v>595</v>
      </c>
      <c r="G138" s="49" t="s">
        <v>599</v>
      </c>
      <c r="H138" s="52" t="s">
        <v>600</v>
      </c>
    </row>
    <row r="139" spans="1:8" ht="15" thickBot="1" x14ac:dyDescent="0.35">
      <c r="A139" s="166" t="s">
        <v>548</v>
      </c>
      <c r="B139" s="166" t="s">
        <v>51</v>
      </c>
      <c r="C139" s="56" t="s">
        <v>622</v>
      </c>
      <c r="D139" s="56">
        <v>1</v>
      </c>
      <c r="E139" s="71">
        <v>81984</v>
      </c>
      <c r="F139" s="72">
        <f>E139*D139</f>
        <v>81984</v>
      </c>
      <c r="G139" s="160">
        <f>SUM(F139:F141)</f>
        <v>313600</v>
      </c>
      <c r="H139" s="160">
        <f>SUM(G139:G160)</f>
        <v>11400160</v>
      </c>
    </row>
    <row r="140" spans="1:8" x14ac:dyDescent="0.3">
      <c r="A140" s="161"/>
      <c r="B140" s="161"/>
      <c r="C140" s="53" t="s">
        <v>75</v>
      </c>
      <c r="D140" s="53">
        <v>1</v>
      </c>
      <c r="E140" s="73">
        <v>128128</v>
      </c>
      <c r="F140" s="71">
        <f t="shared" ref="F140:F165" si="7">E140*D140</f>
        <v>128128</v>
      </c>
      <c r="G140" s="173"/>
      <c r="H140" s="161"/>
    </row>
    <row r="141" spans="1:8" ht="15" thickBot="1" x14ac:dyDescent="0.35">
      <c r="A141" s="161"/>
      <c r="B141" s="162"/>
      <c r="C141" s="55" t="s">
        <v>623</v>
      </c>
      <c r="D141" s="55">
        <v>1</v>
      </c>
      <c r="E141" s="74">
        <v>103488</v>
      </c>
      <c r="F141" s="74">
        <f t="shared" si="7"/>
        <v>103488</v>
      </c>
      <c r="G141" s="174"/>
      <c r="H141" s="161"/>
    </row>
    <row r="142" spans="1:8" x14ac:dyDescent="0.3">
      <c r="A142" s="161"/>
      <c r="B142" s="166" t="s">
        <v>46</v>
      </c>
      <c r="C142" s="56" t="s">
        <v>623</v>
      </c>
      <c r="D142" s="56">
        <v>1</v>
      </c>
      <c r="E142" s="71">
        <v>103488</v>
      </c>
      <c r="F142" s="71">
        <f t="shared" si="7"/>
        <v>103488</v>
      </c>
      <c r="G142" s="172">
        <f>SUM(F142:F143)</f>
        <v>185472</v>
      </c>
      <c r="H142" s="161"/>
    </row>
    <row r="143" spans="1:8" ht="15" thickBot="1" x14ac:dyDescent="0.35">
      <c r="A143" s="161"/>
      <c r="B143" s="162"/>
      <c r="C143" s="55" t="s">
        <v>622</v>
      </c>
      <c r="D143" s="55">
        <v>1</v>
      </c>
      <c r="E143" s="74">
        <v>81984</v>
      </c>
      <c r="F143" s="74">
        <f t="shared" si="7"/>
        <v>81984</v>
      </c>
      <c r="G143" s="176"/>
      <c r="H143" s="161"/>
    </row>
    <row r="144" spans="1:8" ht="15" thickBot="1" x14ac:dyDescent="0.35">
      <c r="A144" s="161"/>
      <c r="B144" s="69" t="s">
        <v>624</v>
      </c>
      <c r="C144" s="69" t="s">
        <v>122</v>
      </c>
      <c r="D144" s="69">
        <v>1</v>
      </c>
      <c r="E144" s="75">
        <v>81984</v>
      </c>
      <c r="F144" s="75">
        <f t="shared" si="7"/>
        <v>81984</v>
      </c>
      <c r="G144" s="70">
        <f>F144</f>
        <v>81984</v>
      </c>
      <c r="H144" s="161"/>
    </row>
    <row r="145" spans="1:8" ht="15" thickBot="1" x14ac:dyDescent="0.35">
      <c r="A145" s="161"/>
      <c r="B145" s="69" t="s">
        <v>48</v>
      </c>
      <c r="C145" s="69" t="s">
        <v>122</v>
      </c>
      <c r="D145" s="69">
        <v>1</v>
      </c>
      <c r="E145" s="75">
        <v>81984</v>
      </c>
      <c r="F145" s="75">
        <f t="shared" si="7"/>
        <v>81984</v>
      </c>
      <c r="G145" s="70">
        <f>F145</f>
        <v>81984</v>
      </c>
      <c r="H145" s="161"/>
    </row>
    <row r="146" spans="1:8" ht="15" thickBot="1" x14ac:dyDescent="0.35">
      <c r="A146" s="161"/>
      <c r="B146" s="69" t="s">
        <v>53</v>
      </c>
      <c r="C146" s="69" t="s">
        <v>75</v>
      </c>
      <c r="D146" s="69">
        <v>1</v>
      </c>
      <c r="E146" s="75">
        <v>128128</v>
      </c>
      <c r="F146" s="75">
        <f t="shared" si="7"/>
        <v>128128</v>
      </c>
      <c r="G146" s="70">
        <f>F146</f>
        <v>128128</v>
      </c>
      <c r="H146" s="161"/>
    </row>
    <row r="147" spans="1:8" x14ac:dyDescent="0.3">
      <c r="A147" s="161"/>
      <c r="B147" s="166" t="s">
        <v>605</v>
      </c>
      <c r="C147" s="56" t="s">
        <v>120</v>
      </c>
      <c r="D147" s="56">
        <v>10</v>
      </c>
      <c r="E147" s="71">
        <v>128128</v>
      </c>
      <c r="F147" s="71">
        <f t="shared" si="7"/>
        <v>1281280</v>
      </c>
      <c r="G147" s="172">
        <f>SUM(F147:F149)</f>
        <v>2409792</v>
      </c>
      <c r="H147" s="161"/>
    </row>
    <row r="148" spans="1:8" x14ac:dyDescent="0.3">
      <c r="A148" s="161"/>
      <c r="B148" s="161"/>
      <c r="C148" s="53" t="s">
        <v>623</v>
      </c>
      <c r="D148" s="53">
        <v>1</v>
      </c>
      <c r="E148" s="73">
        <v>103488</v>
      </c>
      <c r="F148" s="73">
        <f t="shared" si="7"/>
        <v>103488</v>
      </c>
      <c r="G148" s="173"/>
      <c r="H148" s="161"/>
    </row>
    <row r="149" spans="1:8" ht="15" thickBot="1" x14ac:dyDescent="0.35">
      <c r="A149" s="161"/>
      <c r="B149" s="162"/>
      <c r="C149" s="55" t="s">
        <v>75</v>
      </c>
      <c r="D149" s="55">
        <v>8</v>
      </c>
      <c r="E149" s="74">
        <v>128128</v>
      </c>
      <c r="F149" s="74">
        <f t="shared" si="7"/>
        <v>1025024</v>
      </c>
      <c r="G149" s="174"/>
      <c r="H149" s="161"/>
    </row>
    <row r="150" spans="1:8" x14ac:dyDescent="0.3">
      <c r="A150" s="161"/>
      <c r="B150" s="166" t="s">
        <v>620</v>
      </c>
      <c r="C150" s="56" t="s">
        <v>123</v>
      </c>
      <c r="D150" s="56">
        <v>1</v>
      </c>
      <c r="E150" s="71">
        <v>118272</v>
      </c>
      <c r="F150" s="71">
        <f t="shared" si="7"/>
        <v>118272</v>
      </c>
      <c r="G150" s="172">
        <f>SUM(F150:F158)</f>
        <v>7833456</v>
      </c>
      <c r="H150" s="161"/>
    </row>
    <row r="151" spans="1:8" x14ac:dyDescent="0.3">
      <c r="A151" s="161"/>
      <c r="B151" s="161"/>
      <c r="C151" s="53" t="s">
        <v>623</v>
      </c>
      <c r="D151" s="53">
        <v>1</v>
      </c>
      <c r="E151" s="73">
        <v>109488</v>
      </c>
      <c r="F151" s="73">
        <f t="shared" si="7"/>
        <v>109488</v>
      </c>
      <c r="G151" s="156"/>
      <c r="H151" s="161"/>
    </row>
    <row r="152" spans="1:8" x14ac:dyDescent="0.3">
      <c r="A152" s="161"/>
      <c r="B152" s="161"/>
      <c r="C152" s="53" t="s">
        <v>122</v>
      </c>
      <c r="D152" s="53">
        <v>6</v>
      </c>
      <c r="E152" s="73">
        <v>81984</v>
      </c>
      <c r="F152" s="73">
        <f t="shared" si="7"/>
        <v>491904</v>
      </c>
      <c r="G152" s="156"/>
      <c r="H152" s="161"/>
    </row>
    <row r="153" spans="1:8" x14ac:dyDescent="0.3">
      <c r="A153" s="161"/>
      <c r="B153" s="161"/>
      <c r="C153" s="53" t="s">
        <v>124</v>
      </c>
      <c r="D153" s="53">
        <v>4</v>
      </c>
      <c r="E153" s="73">
        <v>118272</v>
      </c>
      <c r="F153" s="73">
        <f t="shared" si="7"/>
        <v>473088</v>
      </c>
      <c r="G153" s="156"/>
      <c r="H153" s="161"/>
    </row>
    <row r="154" spans="1:8" x14ac:dyDescent="0.3">
      <c r="A154" s="161"/>
      <c r="B154" s="161"/>
      <c r="C154" s="53" t="s">
        <v>125</v>
      </c>
      <c r="D154" s="53">
        <v>3</v>
      </c>
      <c r="E154" s="73">
        <v>118272</v>
      </c>
      <c r="F154" s="73">
        <f t="shared" si="7"/>
        <v>354816</v>
      </c>
      <c r="G154" s="156"/>
      <c r="H154" s="161"/>
    </row>
    <row r="155" spans="1:8" x14ac:dyDescent="0.3">
      <c r="A155" s="161"/>
      <c r="B155" s="161"/>
      <c r="C155" s="53" t="s">
        <v>610</v>
      </c>
      <c r="D155" s="53">
        <v>22</v>
      </c>
      <c r="E155" s="73">
        <v>128128</v>
      </c>
      <c r="F155" s="73">
        <f t="shared" si="7"/>
        <v>2818816</v>
      </c>
      <c r="G155" s="156"/>
      <c r="H155" s="161"/>
    </row>
    <row r="156" spans="1:8" x14ac:dyDescent="0.3">
      <c r="A156" s="161"/>
      <c r="B156" s="161"/>
      <c r="C156" s="53" t="s">
        <v>626</v>
      </c>
      <c r="D156" s="53">
        <v>2</v>
      </c>
      <c r="E156" s="73">
        <v>196000</v>
      </c>
      <c r="F156" s="73">
        <f t="shared" si="7"/>
        <v>392000</v>
      </c>
      <c r="G156" s="156"/>
      <c r="H156" s="161"/>
    </row>
    <row r="157" spans="1:8" x14ac:dyDescent="0.3">
      <c r="A157" s="161"/>
      <c r="B157" s="161"/>
      <c r="C157" s="53" t="s">
        <v>75</v>
      </c>
      <c r="D157" s="53">
        <v>21</v>
      </c>
      <c r="E157" s="73">
        <v>128128</v>
      </c>
      <c r="F157" s="73">
        <f t="shared" si="7"/>
        <v>2690688</v>
      </c>
      <c r="G157" s="156"/>
      <c r="H157" s="161"/>
    </row>
    <row r="158" spans="1:8" ht="15" thickBot="1" x14ac:dyDescent="0.35">
      <c r="A158" s="161"/>
      <c r="B158" s="162"/>
      <c r="C158" s="55" t="s">
        <v>120</v>
      </c>
      <c r="D158" s="55">
        <v>3</v>
      </c>
      <c r="E158" s="74">
        <v>128128</v>
      </c>
      <c r="F158" s="74">
        <f t="shared" si="7"/>
        <v>384384</v>
      </c>
      <c r="G158" s="176"/>
      <c r="H158" s="161"/>
    </row>
    <row r="159" spans="1:8" x14ac:dyDescent="0.3">
      <c r="A159" s="161"/>
      <c r="B159" s="166" t="s">
        <v>602</v>
      </c>
      <c r="C159" s="56" t="s">
        <v>623</v>
      </c>
      <c r="D159" s="56">
        <v>1</v>
      </c>
      <c r="E159" s="71">
        <v>109488</v>
      </c>
      <c r="F159" s="71">
        <f t="shared" si="7"/>
        <v>109488</v>
      </c>
      <c r="G159" s="172">
        <f>SUM(F159:F160)</f>
        <v>365744</v>
      </c>
      <c r="H159" s="161"/>
    </row>
    <row r="160" spans="1:8" ht="15" thickBot="1" x14ac:dyDescent="0.35">
      <c r="A160" s="162"/>
      <c r="B160" s="162"/>
      <c r="C160" s="55" t="s">
        <v>610</v>
      </c>
      <c r="D160" s="55">
        <v>2</v>
      </c>
      <c r="E160" s="74">
        <v>128128</v>
      </c>
      <c r="F160" s="74">
        <f t="shared" si="7"/>
        <v>256256</v>
      </c>
      <c r="G160" s="176"/>
      <c r="H160" s="162"/>
    </row>
    <row r="161" spans="1:8" ht="15" thickBot="1" x14ac:dyDescent="0.35">
      <c r="A161" s="166" t="s">
        <v>549</v>
      </c>
      <c r="B161" s="69" t="s">
        <v>45</v>
      </c>
      <c r="C161" s="69" t="s">
        <v>623</v>
      </c>
      <c r="D161" s="69">
        <v>1</v>
      </c>
      <c r="E161" s="75">
        <v>109488</v>
      </c>
      <c r="F161" s="75">
        <f t="shared" si="7"/>
        <v>109488</v>
      </c>
      <c r="G161" s="70">
        <f>F161</f>
        <v>109488</v>
      </c>
      <c r="H161" s="160">
        <f>SUM(G161:G168)</f>
        <v>1325984</v>
      </c>
    </row>
    <row r="162" spans="1:8" x14ac:dyDescent="0.3">
      <c r="A162" s="161"/>
      <c r="B162" s="166" t="s">
        <v>41</v>
      </c>
      <c r="C162" s="56" t="s">
        <v>623</v>
      </c>
      <c r="D162" s="56">
        <v>1</v>
      </c>
      <c r="E162" s="71">
        <v>109488</v>
      </c>
      <c r="F162" s="71">
        <f t="shared" si="7"/>
        <v>109488</v>
      </c>
      <c r="G162" s="172">
        <f>SUM(F162:F164)</f>
        <v>319600</v>
      </c>
      <c r="H162" s="161"/>
    </row>
    <row r="163" spans="1:8" x14ac:dyDescent="0.3">
      <c r="A163" s="161"/>
      <c r="B163" s="161"/>
      <c r="C163" s="53" t="s">
        <v>122</v>
      </c>
      <c r="D163" s="53">
        <v>1</v>
      </c>
      <c r="E163" s="73">
        <v>81984</v>
      </c>
      <c r="F163" s="73">
        <f t="shared" si="7"/>
        <v>81984</v>
      </c>
      <c r="G163" s="156"/>
      <c r="H163" s="161"/>
    </row>
    <row r="164" spans="1:8" ht="15" thickBot="1" x14ac:dyDescent="0.35">
      <c r="A164" s="161"/>
      <c r="B164" s="162"/>
      <c r="C164" s="55" t="s">
        <v>75</v>
      </c>
      <c r="D164" s="55">
        <v>1</v>
      </c>
      <c r="E164" s="74">
        <v>128128</v>
      </c>
      <c r="F164" s="74">
        <f t="shared" si="7"/>
        <v>128128</v>
      </c>
      <c r="G164" s="174"/>
      <c r="H164" s="161"/>
    </row>
    <row r="165" spans="1:8" ht="15" thickBot="1" x14ac:dyDescent="0.35">
      <c r="A165" s="161"/>
      <c r="B165" s="69" t="s">
        <v>25</v>
      </c>
      <c r="C165" s="69" t="s">
        <v>75</v>
      </c>
      <c r="D165" s="69">
        <v>1</v>
      </c>
      <c r="E165" s="75">
        <v>128128</v>
      </c>
      <c r="F165" s="75">
        <f t="shared" si="7"/>
        <v>128128</v>
      </c>
      <c r="G165" s="70">
        <f>F165</f>
        <v>128128</v>
      </c>
      <c r="H165" s="161"/>
    </row>
    <row r="166" spans="1:8" ht="15" thickBot="1" x14ac:dyDescent="0.35">
      <c r="A166" s="161"/>
      <c r="B166" s="69" t="s">
        <v>625</v>
      </c>
      <c r="C166" s="69" t="s">
        <v>75</v>
      </c>
      <c r="D166" s="69">
        <v>4</v>
      </c>
      <c r="E166" s="75">
        <v>128128</v>
      </c>
      <c r="F166" s="75">
        <f t="shared" ref="F166:F176" si="8">E166*D166</f>
        <v>512512</v>
      </c>
      <c r="G166" s="70">
        <f>F166</f>
        <v>512512</v>
      </c>
      <c r="H166" s="161"/>
    </row>
    <row r="167" spans="1:8" x14ac:dyDescent="0.3">
      <c r="A167" s="161"/>
      <c r="B167" s="166" t="s">
        <v>33</v>
      </c>
      <c r="C167" s="56" t="s">
        <v>77</v>
      </c>
      <c r="D167" s="56">
        <v>1</v>
      </c>
      <c r="E167" s="71">
        <v>128128</v>
      </c>
      <c r="F167" s="71">
        <f t="shared" si="8"/>
        <v>128128</v>
      </c>
      <c r="G167" s="172">
        <f>SUM(F167:F168)</f>
        <v>256256</v>
      </c>
      <c r="H167" s="161"/>
    </row>
    <row r="168" spans="1:8" ht="15" thickBot="1" x14ac:dyDescent="0.35">
      <c r="A168" s="162"/>
      <c r="B168" s="162"/>
      <c r="C168" s="55" t="s">
        <v>75</v>
      </c>
      <c r="D168" s="55">
        <v>1</v>
      </c>
      <c r="E168" s="74">
        <v>128128</v>
      </c>
      <c r="F168" s="74">
        <f t="shared" si="8"/>
        <v>128128</v>
      </c>
      <c r="G168" s="176"/>
      <c r="H168" s="162"/>
    </row>
    <row r="169" spans="1:8" x14ac:dyDescent="0.3">
      <c r="A169" s="166" t="s">
        <v>550</v>
      </c>
      <c r="B169" s="166" t="s">
        <v>28</v>
      </c>
      <c r="C169" s="56" t="s">
        <v>628</v>
      </c>
      <c r="D169" s="56">
        <v>1</v>
      </c>
      <c r="E169" s="71">
        <v>128128</v>
      </c>
      <c r="F169" s="71">
        <f t="shared" si="8"/>
        <v>128128</v>
      </c>
      <c r="G169" s="172">
        <f>SUM(F169:F170)</f>
        <v>256256</v>
      </c>
      <c r="H169" s="160">
        <f>SUM(G169:G181)</f>
        <v>2617688</v>
      </c>
    </row>
    <row r="170" spans="1:8" ht="15" thickBot="1" x14ac:dyDescent="0.35">
      <c r="A170" s="161"/>
      <c r="B170" s="162"/>
      <c r="C170" s="55" t="s">
        <v>627</v>
      </c>
      <c r="D170" s="55">
        <v>1</v>
      </c>
      <c r="E170" s="74">
        <v>128128</v>
      </c>
      <c r="F170" s="74">
        <f t="shared" si="8"/>
        <v>128128</v>
      </c>
      <c r="G170" s="174"/>
      <c r="H170" s="161"/>
    </row>
    <row r="171" spans="1:8" x14ac:dyDescent="0.3">
      <c r="A171" s="161"/>
      <c r="B171" s="166" t="s">
        <v>620</v>
      </c>
      <c r="C171" s="56" t="s">
        <v>610</v>
      </c>
      <c r="D171" s="56">
        <v>6</v>
      </c>
      <c r="E171" s="71">
        <v>128128</v>
      </c>
      <c r="F171" s="71">
        <f t="shared" si="8"/>
        <v>768768</v>
      </c>
      <c r="G171" s="172">
        <f xml:space="preserve"> SUM(F171:F172)</f>
        <v>964768</v>
      </c>
      <c r="H171" s="161"/>
    </row>
    <row r="172" spans="1:8" ht="15" thickBot="1" x14ac:dyDescent="0.35">
      <c r="A172" s="161"/>
      <c r="B172" s="162"/>
      <c r="C172" s="55" t="s">
        <v>626</v>
      </c>
      <c r="D172" s="55">
        <v>1</v>
      </c>
      <c r="E172" s="74">
        <v>196000</v>
      </c>
      <c r="F172" s="74">
        <f t="shared" si="8"/>
        <v>196000</v>
      </c>
      <c r="G172" s="174"/>
      <c r="H172" s="161"/>
    </row>
    <row r="173" spans="1:8" x14ac:dyDescent="0.3">
      <c r="A173" s="161"/>
      <c r="B173" s="166" t="s">
        <v>47</v>
      </c>
      <c r="C173" s="56" t="s">
        <v>623</v>
      </c>
      <c r="D173" s="56">
        <v>1</v>
      </c>
      <c r="E173" s="71">
        <v>109488</v>
      </c>
      <c r="F173" s="71">
        <f t="shared" si="8"/>
        <v>109488</v>
      </c>
      <c r="G173" s="172">
        <f>SUM(F173:F175)</f>
        <v>319600</v>
      </c>
      <c r="H173" s="161"/>
    </row>
    <row r="174" spans="1:8" x14ac:dyDescent="0.3">
      <c r="A174" s="161"/>
      <c r="B174" s="161"/>
      <c r="C174" s="53" t="s">
        <v>122</v>
      </c>
      <c r="D174" s="53">
        <v>1</v>
      </c>
      <c r="E174" s="73">
        <v>81984</v>
      </c>
      <c r="F174" s="73">
        <f t="shared" si="8"/>
        <v>81984</v>
      </c>
      <c r="G174" s="156"/>
      <c r="H174" s="161"/>
    </row>
    <row r="175" spans="1:8" ht="15" thickBot="1" x14ac:dyDescent="0.35">
      <c r="A175" s="161"/>
      <c r="B175" s="162"/>
      <c r="C175" s="55" t="s">
        <v>627</v>
      </c>
      <c r="D175" s="55">
        <v>1</v>
      </c>
      <c r="E175" s="74">
        <v>128128</v>
      </c>
      <c r="F175" s="74">
        <f t="shared" si="8"/>
        <v>128128</v>
      </c>
      <c r="G175" s="176"/>
      <c r="H175" s="161"/>
    </row>
    <row r="176" spans="1:8" ht="15" thickBot="1" x14ac:dyDescent="0.35">
      <c r="A176" s="161"/>
      <c r="B176" s="166" t="s">
        <v>629</v>
      </c>
      <c r="C176" s="69" t="s">
        <v>122</v>
      </c>
      <c r="D176" s="69">
        <v>1</v>
      </c>
      <c r="E176" s="75">
        <v>81984</v>
      </c>
      <c r="F176" s="75">
        <f t="shared" si="8"/>
        <v>81984</v>
      </c>
      <c r="G176" s="160">
        <f>SUM(F176:F177)</f>
        <v>210112</v>
      </c>
      <c r="H176" s="161"/>
    </row>
    <row r="177" spans="1:8" ht="15" thickBot="1" x14ac:dyDescent="0.35">
      <c r="A177" s="161"/>
      <c r="B177" s="162"/>
      <c r="C177" s="56" t="s">
        <v>75</v>
      </c>
      <c r="D177" s="56">
        <v>1</v>
      </c>
      <c r="E177" s="71">
        <v>128128</v>
      </c>
      <c r="F177" s="71">
        <v>128128</v>
      </c>
      <c r="G177" s="171"/>
      <c r="H177" s="161"/>
    </row>
    <row r="178" spans="1:8" x14ac:dyDescent="0.3">
      <c r="A178" s="161"/>
      <c r="B178" s="166" t="s">
        <v>44</v>
      </c>
      <c r="C178" s="56" t="s">
        <v>122</v>
      </c>
      <c r="D178" s="56">
        <v>3</v>
      </c>
      <c r="E178" s="71">
        <v>81984</v>
      </c>
      <c r="F178" s="71">
        <f t="shared" ref="F178:F218" si="9">E178*D178</f>
        <v>245952</v>
      </c>
      <c r="G178" s="172">
        <f>SUM(F178:F179)</f>
        <v>502208</v>
      </c>
      <c r="H178" s="161"/>
    </row>
    <row r="179" spans="1:8" ht="15" thickBot="1" x14ac:dyDescent="0.35">
      <c r="A179" s="161"/>
      <c r="B179" s="162"/>
      <c r="C179" s="55" t="s">
        <v>75</v>
      </c>
      <c r="D179" s="55">
        <v>2</v>
      </c>
      <c r="E179" s="74">
        <v>128128</v>
      </c>
      <c r="F179" s="74">
        <f t="shared" si="9"/>
        <v>256256</v>
      </c>
      <c r="G179" s="174"/>
      <c r="H179" s="161"/>
    </row>
    <row r="180" spans="1:8" ht="15" thickBot="1" x14ac:dyDescent="0.35">
      <c r="A180" s="161"/>
      <c r="B180" s="69" t="s">
        <v>55</v>
      </c>
      <c r="C180" s="69" t="s">
        <v>75</v>
      </c>
      <c r="D180" s="69">
        <v>2</v>
      </c>
      <c r="E180" s="75">
        <v>128128</v>
      </c>
      <c r="F180" s="75">
        <f t="shared" si="9"/>
        <v>256256</v>
      </c>
      <c r="G180" s="70">
        <f xml:space="preserve"> F180</f>
        <v>256256</v>
      </c>
      <c r="H180" s="161"/>
    </row>
    <row r="181" spans="1:8" ht="15" thickBot="1" x14ac:dyDescent="0.35">
      <c r="A181" s="162"/>
      <c r="B181" s="69" t="s">
        <v>52</v>
      </c>
      <c r="C181" s="69" t="s">
        <v>623</v>
      </c>
      <c r="D181" s="69">
        <v>1</v>
      </c>
      <c r="E181" s="75">
        <v>108488</v>
      </c>
      <c r="F181" s="75">
        <f t="shared" si="9"/>
        <v>108488</v>
      </c>
      <c r="G181" s="70">
        <f>F181</f>
        <v>108488</v>
      </c>
      <c r="H181" s="162"/>
    </row>
    <row r="182" spans="1:8" ht="15" thickBot="1" x14ac:dyDescent="0.35">
      <c r="A182" s="166" t="s">
        <v>551</v>
      </c>
      <c r="B182" s="166" t="s">
        <v>608</v>
      </c>
      <c r="C182" s="69" t="s">
        <v>125</v>
      </c>
      <c r="D182" s="69">
        <v>1</v>
      </c>
      <c r="E182" s="76">
        <v>118272</v>
      </c>
      <c r="F182" s="76">
        <f t="shared" si="9"/>
        <v>118272</v>
      </c>
      <c r="G182" s="160">
        <f>SUM(F182:F183)</f>
        <v>246400</v>
      </c>
      <c r="H182" s="160">
        <f>SUM(G182:G190)</f>
        <v>1902208</v>
      </c>
    </row>
    <row r="183" spans="1:8" ht="15" thickBot="1" x14ac:dyDescent="0.35">
      <c r="A183" s="161"/>
      <c r="B183" s="162"/>
      <c r="C183" s="69" t="s">
        <v>632</v>
      </c>
      <c r="D183" s="69">
        <v>1</v>
      </c>
      <c r="E183" s="76">
        <v>128128</v>
      </c>
      <c r="F183" s="76">
        <f t="shared" si="9"/>
        <v>128128</v>
      </c>
      <c r="G183" s="171"/>
      <c r="H183" s="170"/>
    </row>
    <row r="184" spans="1:8" ht="15" thickBot="1" x14ac:dyDescent="0.35">
      <c r="A184" s="161"/>
      <c r="B184" s="77" t="s">
        <v>609</v>
      </c>
      <c r="C184" s="69" t="s">
        <v>75</v>
      </c>
      <c r="D184" s="69">
        <v>2</v>
      </c>
      <c r="E184" s="76">
        <v>128128</v>
      </c>
      <c r="F184" s="76">
        <f t="shared" si="9"/>
        <v>256256</v>
      </c>
      <c r="G184" s="70">
        <f t="shared" ref="G184:G186" si="10">F184</f>
        <v>256256</v>
      </c>
      <c r="H184" s="161"/>
    </row>
    <row r="185" spans="1:8" ht="15" thickBot="1" x14ac:dyDescent="0.35">
      <c r="A185" s="161"/>
      <c r="B185" s="69" t="s">
        <v>630</v>
      </c>
      <c r="C185" s="69" t="s">
        <v>125</v>
      </c>
      <c r="D185" s="69">
        <v>1</v>
      </c>
      <c r="E185" s="76">
        <v>118272</v>
      </c>
      <c r="F185" s="76">
        <f t="shared" si="9"/>
        <v>118272</v>
      </c>
      <c r="G185" s="70">
        <f t="shared" si="10"/>
        <v>118272</v>
      </c>
      <c r="H185" s="161"/>
    </row>
    <row r="186" spans="1:8" ht="15" thickBot="1" x14ac:dyDescent="0.35">
      <c r="A186" s="161"/>
      <c r="B186" s="69" t="s">
        <v>33</v>
      </c>
      <c r="C186" s="69" t="s">
        <v>75</v>
      </c>
      <c r="D186" s="69">
        <v>1</v>
      </c>
      <c r="E186" s="78">
        <v>128128</v>
      </c>
      <c r="F186" s="76">
        <f t="shared" si="9"/>
        <v>128128</v>
      </c>
      <c r="G186" s="70">
        <f t="shared" si="10"/>
        <v>128128</v>
      </c>
      <c r="H186" s="161"/>
    </row>
    <row r="187" spans="1:8" x14ac:dyDescent="0.3">
      <c r="A187" s="161"/>
      <c r="B187" s="166" t="s">
        <v>47</v>
      </c>
      <c r="C187" s="56" t="s">
        <v>627</v>
      </c>
      <c r="D187" s="56">
        <v>2</v>
      </c>
      <c r="E187" s="79">
        <v>128128</v>
      </c>
      <c r="F187" s="80">
        <f t="shared" si="9"/>
        <v>256256</v>
      </c>
      <c r="G187" s="160">
        <f>SUM(F187:F188)</f>
        <v>384384</v>
      </c>
      <c r="H187" s="161"/>
    </row>
    <row r="188" spans="1:8" ht="15" thickBot="1" x14ac:dyDescent="0.35">
      <c r="A188" s="161"/>
      <c r="B188" s="162"/>
      <c r="C188" s="55" t="s">
        <v>75</v>
      </c>
      <c r="D188" s="55">
        <v>1</v>
      </c>
      <c r="E188" s="81">
        <v>128128</v>
      </c>
      <c r="F188" s="82">
        <f t="shared" si="9"/>
        <v>128128</v>
      </c>
      <c r="G188" s="162"/>
      <c r="H188" s="161"/>
    </row>
    <row r="189" spans="1:8" x14ac:dyDescent="0.3">
      <c r="A189" s="161"/>
      <c r="B189" s="166" t="s">
        <v>602</v>
      </c>
      <c r="C189" s="56" t="s">
        <v>75</v>
      </c>
      <c r="D189" s="56">
        <v>4</v>
      </c>
      <c r="E189" s="79">
        <v>128128</v>
      </c>
      <c r="F189" s="80">
        <f t="shared" si="9"/>
        <v>512512</v>
      </c>
      <c r="G189" s="160">
        <f>SUM(F189:F190)</f>
        <v>768768</v>
      </c>
      <c r="H189" s="161"/>
    </row>
    <row r="190" spans="1:8" ht="15" thickBot="1" x14ac:dyDescent="0.35">
      <c r="A190" s="162"/>
      <c r="B190" s="162"/>
      <c r="C190" s="55" t="s">
        <v>610</v>
      </c>
      <c r="D190" s="55">
        <v>2</v>
      </c>
      <c r="E190" s="81">
        <v>128128</v>
      </c>
      <c r="F190" s="82">
        <f t="shared" si="9"/>
        <v>256256</v>
      </c>
      <c r="G190" s="162"/>
      <c r="H190" s="162"/>
    </row>
    <row r="191" spans="1:8" x14ac:dyDescent="0.3">
      <c r="A191" s="166" t="s">
        <v>552</v>
      </c>
      <c r="B191" s="166" t="s">
        <v>605</v>
      </c>
      <c r="C191" s="56" t="s">
        <v>75</v>
      </c>
      <c r="D191" s="56">
        <v>7</v>
      </c>
      <c r="E191" s="83">
        <v>128128</v>
      </c>
      <c r="F191" s="80">
        <f t="shared" si="9"/>
        <v>896896</v>
      </c>
      <c r="G191" s="160">
        <f>SUM(F191:F192)</f>
        <v>1025024</v>
      </c>
      <c r="H191" s="160">
        <f>SUM(G191:G197)</f>
        <v>2456160</v>
      </c>
    </row>
    <row r="192" spans="1:8" ht="15" thickBot="1" x14ac:dyDescent="0.35">
      <c r="A192" s="161"/>
      <c r="B192" s="162"/>
      <c r="C192" s="55" t="s">
        <v>631</v>
      </c>
      <c r="D192" s="55">
        <v>1</v>
      </c>
      <c r="E192" s="84">
        <v>128128</v>
      </c>
      <c r="F192" s="82">
        <f t="shared" si="9"/>
        <v>128128</v>
      </c>
      <c r="G192" s="162"/>
      <c r="H192" s="161"/>
    </row>
    <row r="193" spans="1:8" x14ac:dyDescent="0.3">
      <c r="A193" s="161"/>
      <c r="B193" s="166" t="s">
        <v>620</v>
      </c>
      <c r="C193" s="56" t="s">
        <v>122</v>
      </c>
      <c r="D193" s="56">
        <v>1</v>
      </c>
      <c r="E193" s="83">
        <v>81984</v>
      </c>
      <c r="F193" s="80">
        <f t="shared" si="9"/>
        <v>81984</v>
      </c>
      <c r="G193" s="160">
        <f>SUM(F193:F195)</f>
        <v>662368</v>
      </c>
      <c r="H193" s="161"/>
    </row>
    <row r="194" spans="1:8" x14ac:dyDescent="0.3">
      <c r="A194" s="161"/>
      <c r="B194" s="161"/>
      <c r="C194" s="53" t="s">
        <v>610</v>
      </c>
      <c r="D194" s="53">
        <v>3</v>
      </c>
      <c r="E194" s="85">
        <v>128128</v>
      </c>
      <c r="F194" s="86">
        <f t="shared" si="9"/>
        <v>384384</v>
      </c>
      <c r="G194" s="161"/>
      <c r="H194" s="161"/>
    </row>
    <row r="195" spans="1:8" ht="15" thickBot="1" x14ac:dyDescent="0.35">
      <c r="A195" s="161"/>
      <c r="B195" s="162"/>
      <c r="C195" s="55" t="s">
        <v>626</v>
      </c>
      <c r="D195" s="55">
        <v>1</v>
      </c>
      <c r="E195" s="84">
        <v>196000</v>
      </c>
      <c r="F195" s="82">
        <f t="shared" si="9"/>
        <v>196000</v>
      </c>
      <c r="G195" s="162"/>
      <c r="H195" s="161"/>
    </row>
    <row r="196" spans="1:8" x14ac:dyDescent="0.3">
      <c r="A196" s="161"/>
      <c r="B196" s="166" t="s">
        <v>44</v>
      </c>
      <c r="C196" s="56" t="s">
        <v>627</v>
      </c>
      <c r="D196" s="56">
        <v>3</v>
      </c>
      <c r="E196" s="83">
        <v>128128</v>
      </c>
      <c r="F196" s="80">
        <f t="shared" si="9"/>
        <v>384384</v>
      </c>
      <c r="G196" s="160">
        <f>SUM(F196:F197)</f>
        <v>768768</v>
      </c>
      <c r="H196" s="161"/>
    </row>
    <row r="197" spans="1:8" ht="15" thickBot="1" x14ac:dyDescent="0.35">
      <c r="A197" s="162"/>
      <c r="B197" s="162"/>
      <c r="C197" s="55" t="s">
        <v>75</v>
      </c>
      <c r="D197" s="55">
        <v>3</v>
      </c>
      <c r="E197" s="84">
        <v>128128</v>
      </c>
      <c r="F197" s="82">
        <f t="shared" si="9"/>
        <v>384384</v>
      </c>
      <c r="G197" s="162"/>
      <c r="H197" s="162"/>
    </row>
    <row r="198" spans="1:8" ht="15" thickBot="1" x14ac:dyDescent="0.35">
      <c r="A198" s="166" t="s">
        <v>553</v>
      </c>
      <c r="B198" s="87" t="s">
        <v>633</v>
      </c>
      <c r="C198" s="69" t="s">
        <v>75</v>
      </c>
      <c r="D198" s="69">
        <v>1</v>
      </c>
      <c r="E198" s="88">
        <v>128128</v>
      </c>
      <c r="F198" s="76">
        <f t="shared" si="9"/>
        <v>128128</v>
      </c>
      <c r="G198" s="70">
        <f>F198</f>
        <v>128128</v>
      </c>
      <c r="H198" s="160">
        <f>SUM(G198:G207)</f>
        <v>1460976</v>
      </c>
    </row>
    <row r="199" spans="1:8" ht="15" thickBot="1" x14ac:dyDescent="0.35">
      <c r="A199" s="161"/>
      <c r="B199" s="87" t="s">
        <v>620</v>
      </c>
      <c r="C199" s="69" t="s">
        <v>627</v>
      </c>
      <c r="D199" s="69">
        <v>1</v>
      </c>
      <c r="E199" s="88">
        <v>128128</v>
      </c>
      <c r="F199" s="76">
        <f t="shared" si="9"/>
        <v>128128</v>
      </c>
      <c r="G199" s="70">
        <f t="shared" ref="G199" si="11">F199</f>
        <v>128128</v>
      </c>
      <c r="H199" s="161"/>
    </row>
    <row r="200" spans="1:8" ht="15" thickBot="1" x14ac:dyDescent="0.35">
      <c r="A200" s="161"/>
      <c r="B200" s="166" t="s">
        <v>634</v>
      </c>
      <c r="C200" s="69" t="s">
        <v>623</v>
      </c>
      <c r="D200" s="69">
        <v>1</v>
      </c>
      <c r="E200" s="88">
        <v>108488</v>
      </c>
      <c r="F200" s="76">
        <f t="shared" si="9"/>
        <v>108488</v>
      </c>
      <c r="G200" s="160">
        <f>SUM(F200:F201)</f>
        <v>364744</v>
      </c>
      <c r="H200" s="161"/>
    </row>
    <row r="201" spans="1:8" ht="15" thickBot="1" x14ac:dyDescent="0.35">
      <c r="A201" s="161"/>
      <c r="B201" s="162"/>
      <c r="C201" s="69" t="s">
        <v>627</v>
      </c>
      <c r="D201" s="69">
        <v>2</v>
      </c>
      <c r="E201" s="88">
        <v>128128</v>
      </c>
      <c r="F201" s="76">
        <f t="shared" si="9"/>
        <v>256256</v>
      </c>
      <c r="G201" s="171"/>
      <c r="H201" s="161"/>
    </row>
    <row r="202" spans="1:8" ht="15" thickBot="1" x14ac:dyDescent="0.35">
      <c r="A202" s="161"/>
      <c r="B202" s="166" t="s">
        <v>629</v>
      </c>
      <c r="C202" s="69" t="s">
        <v>623</v>
      </c>
      <c r="D202" s="69">
        <v>1</v>
      </c>
      <c r="E202" s="88">
        <v>109488</v>
      </c>
      <c r="F202" s="76">
        <f t="shared" si="9"/>
        <v>109488</v>
      </c>
      <c r="G202" s="160">
        <f>SUM(F202:F203)</f>
        <v>365744</v>
      </c>
      <c r="H202" s="161"/>
    </row>
    <row r="203" spans="1:8" ht="15" thickBot="1" x14ac:dyDescent="0.35">
      <c r="A203" s="161"/>
      <c r="B203" s="162"/>
      <c r="C203" s="69" t="s">
        <v>627</v>
      </c>
      <c r="D203" s="69">
        <v>2</v>
      </c>
      <c r="E203" s="88">
        <v>128128</v>
      </c>
      <c r="F203" s="76">
        <f t="shared" si="9"/>
        <v>256256</v>
      </c>
      <c r="G203" s="171"/>
      <c r="H203" s="161"/>
    </row>
    <row r="204" spans="1:8" ht="15" thickBot="1" x14ac:dyDescent="0.35">
      <c r="A204" s="161"/>
      <c r="B204" s="166" t="s">
        <v>635</v>
      </c>
      <c r="C204" s="69" t="s">
        <v>627</v>
      </c>
      <c r="D204" s="69">
        <v>1</v>
      </c>
      <c r="E204" s="88">
        <v>128128</v>
      </c>
      <c r="F204" s="76">
        <f t="shared" si="9"/>
        <v>128128</v>
      </c>
      <c r="G204" s="160">
        <f>SUM(F204:F205)</f>
        <v>237616</v>
      </c>
      <c r="H204" s="161"/>
    </row>
    <row r="205" spans="1:8" ht="15" thickBot="1" x14ac:dyDescent="0.35">
      <c r="A205" s="161"/>
      <c r="B205" s="162"/>
      <c r="C205" s="56" t="s">
        <v>623</v>
      </c>
      <c r="D205" s="56">
        <v>1</v>
      </c>
      <c r="E205" s="83">
        <v>109488</v>
      </c>
      <c r="F205" s="80">
        <f t="shared" si="9"/>
        <v>109488</v>
      </c>
      <c r="G205" s="171"/>
      <c r="H205" s="161"/>
    </row>
    <row r="206" spans="1:8" x14ac:dyDescent="0.3">
      <c r="A206" s="161"/>
      <c r="B206" s="166" t="s">
        <v>624</v>
      </c>
      <c r="C206" s="56" t="s">
        <v>623</v>
      </c>
      <c r="D206" s="56">
        <v>1</v>
      </c>
      <c r="E206" s="83">
        <v>108488</v>
      </c>
      <c r="F206" s="80">
        <f t="shared" si="9"/>
        <v>108488</v>
      </c>
      <c r="G206" s="160">
        <f>SUM(F206:F207)</f>
        <v>236616</v>
      </c>
      <c r="H206" s="161"/>
    </row>
    <row r="207" spans="1:8" ht="15" thickBot="1" x14ac:dyDescent="0.35">
      <c r="A207" s="162"/>
      <c r="B207" s="162"/>
      <c r="C207" s="55" t="s">
        <v>75</v>
      </c>
      <c r="D207" s="55">
        <v>1</v>
      </c>
      <c r="E207" s="84">
        <v>128128</v>
      </c>
      <c r="F207" s="82">
        <f t="shared" si="9"/>
        <v>128128</v>
      </c>
      <c r="G207" s="162"/>
      <c r="H207" s="162"/>
    </row>
    <row r="208" spans="1:8" ht="15" thickBot="1" x14ac:dyDescent="0.35">
      <c r="A208" s="166" t="s">
        <v>554</v>
      </c>
      <c r="B208" s="87" t="s">
        <v>28</v>
      </c>
      <c r="C208" s="69" t="s">
        <v>623</v>
      </c>
      <c r="D208" s="69">
        <v>1</v>
      </c>
      <c r="E208" s="88">
        <v>109488</v>
      </c>
      <c r="F208" s="76">
        <f t="shared" si="9"/>
        <v>109488</v>
      </c>
      <c r="G208" s="70">
        <f>F208</f>
        <v>109488</v>
      </c>
      <c r="H208" s="160">
        <f>SUM(G208:G218)</f>
        <v>2665280</v>
      </c>
    </row>
    <row r="209" spans="1:8" x14ac:dyDescent="0.3">
      <c r="A209" s="161"/>
      <c r="B209" s="166" t="s">
        <v>620</v>
      </c>
      <c r="C209" s="56" t="s">
        <v>125</v>
      </c>
      <c r="D209" s="56">
        <v>1</v>
      </c>
      <c r="E209" s="83">
        <v>118272</v>
      </c>
      <c r="F209" s="80">
        <f t="shared" si="9"/>
        <v>118272</v>
      </c>
      <c r="G209" s="160">
        <f>SUM(F209:F213)</f>
        <v>1211168</v>
      </c>
      <c r="H209" s="161"/>
    </row>
    <row r="210" spans="1:8" x14ac:dyDescent="0.3">
      <c r="A210" s="161"/>
      <c r="B210" s="161"/>
      <c r="C210" s="53" t="s">
        <v>627</v>
      </c>
      <c r="D210" s="53">
        <v>2</v>
      </c>
      <c r="E210" s="85">
        <v>128128</v>
      </c>
      <c r="F210" s="86">
        <f t="shared" si="9"/>
        <v>256256</v>
      </c>
      <c r="G210" s="161"/>
      <c r="H210" s="161"/>
    </row>
    <row r="211" spans="1:8" x14ac:dyDescent="0.3">
      <c r="A211" s="161"/>
      <c r="B211" s="161"/>
      <c r="C211" s="53" t="s">
        <v>75</v>
      </c>
      <c r="D211" s="53">
        <v>2</v>
      </c>
      <c r="E211" s="85">
        <v>128128</v>
      </c>
      <c r="F211" s="86">
        <f t="shared" si="9"/>
        <v>256256</v>
      </c>
      <c r="G211" s="161"/>
      <c r="H211" s="161"/>
    </row>
    <row r="212" spans="1:8" x14ac:dyDescent="0.3">
      <c r="A212" s="161"/>
      <c r="B212" s="161"/>
      <c r="C212" s="53" t="s">
        <v>626</v>
      </c>
      <c r="D212" s="53">
        <v>1</v>
      </c>
      <c r="E212" s="85">
        <v>196000</v>
      </c>
      <c r="F212" s="86">
        <f t="shared" si="9"/>
        <v>196000</v>
      </c>
      <c r="G212" s="161"/>
      <c r="H212" s="161"/>
    </row>
    <row r="213" spans="1:8" ht="15" thickBot="1" x14ac:dyDescent="0.35">
      <c r="A213" s="161"/>
      <c r="B213" s="162"/>
      <c r="C213" s="55" t="s">
        <v>610</v>
      </c>
      <c r="D213" s="55">
        <v>3</v>
      </c>
      <c r="E213" s="84">
        <v>128128</v>
      </c>
      <c r="F213" s="82">
        <f t="shared" si="9"/>
        <v>384384</v>
      </c>
      <c r="G213" s="162"/>
      <c r="H213" s="161"/>
    </row>
    <row r="214" spans="1:8" ht="15" thickBot="1" x14ac:dyDescent="0.35">
      <c r="A214" s="161"/>
      <c r="B214" s="87" t="s">
        <v>605</v>
      </c>
      <c r="C214" s="69" t="s">
        <v>610</v>
      </c>
      <c r="D214" s="69">
        <v>5</v>
      </c>
      <c r="E214" s="88">
        <v>128128</v>
      </c>
      <c r="F214" s="76">
        <f t="shared" si="9"/>
        <v>640640</v>
      </c>
      <c r="G214" s="70">
        <f>F214</f>
        <v>640640</v>
      </c>
      <c r="H214" s="161"/>
    </row>
    <row r="215" spans="1:8" x14ac:dyDescent="0.3">
      <c r="A215" s="161"/>
      <c r="B215" s="166" t="s">
        <v>602</v>
      </c>
      <c r="C215" s="56" t="s">
        <v>627</v>
      </c>
      <c r="D215" s="56">
        <v>2</v>
      </c>
      <c r="E215" s="83">
        <v>128128</v>
      </c>
      <c r="F215" s="80">
        <f t="shared" si="9"/>
        <v>256256</v>
      </c>
      <c r="G215" s="160">
        <f>SUM(F215:F217)</f>
        <v>622000</v>
      </c>
      <c r="H215" s="161"/>
    </row>
    <row r="216" spans="1:8" x14ac:dyDescent="0.3">
      <c r="A216" s="161"/>
      <c r="B216" s="161"/>
      <c r="C216" s="53" t="s">
        <v>610</v>
      </c>
      <c r="D216" s="53">
        <v>2</v>
      </c>
      <c r="E216" s="85">
        <v>128128</v>
      </c>
      <c r="F216" s="86">
        <f t="shared" si="9"/>
        <v>256256</v>
      </c>
      <c r="G216" s="170"/>
      <c r="H216" s="161"/>
    </row>
    <row r="217" spans="1:8" ht="15" thickBot="1" x14ac:dyDescent="0.35">
      <c r="A217" s="161"/>
      <c r="B217" s="162"/>
      <c r="C217" s="55" t="s">
        <v>623</v>
      </c>
      <c r="D217" s="55">
        <v>1</v>
      </c>
      <c r="E217" s="84">
        <v>109488</v>
      </c>
      <c r="F217" s="82">
        <f t="shared" si="9"/>
        <v>109488</v>
      </c>
      <c r="G217" s="171"/>
      <c r="H217" s="161"/>
    </row>
    <row r="218" spans="1:8" ht="15" thickBot="1" x14ac:dyDescent="0.35">
      <c r="A218" s="162"/>
      <c r="B218" s="87" t="s">
        <v>45</v>
      </c>
      <c r="C218" s="69" t="s">
        <v>622</v>
      </c>
      <c r="D218" s="69">
        <v>1</v>
      </c>
      <c r="E218" s="88">
        <v>81984</v>
      </c>
      <c r="F218" s="76">
        <f t="shared" si="9"/>
        <v>81984</v>
      </c>
      <c r="G218" s="70">
        <f>F218</f>
        <v>81984</v>
      </c>
      <c r="H218" s="162"/>
    </row>
    <row r="219" spans="1:8" ht="15" thickBot="1" x14ac:dyDescent="0.35">
      <c r="A219" s="177" t="s">
        <v>637</v>
      </c>
      <c r="B219" s="178"/>
      <c r="C219" s="178"/>
      <c r="D219" s="178"/>
      <c r="E219" s="178"/>
      <c r="F219" s="178"/>
      <c r="G219" s="179"/>
      <c r="H219" s="66">
        <f>SUM(H139:H218)</f>
        <v>23828456</v>
      </c>
    </row>
  </sheetData>
  <sortState xmlns:xlrd2="http://schemas.microsoft.com/office/spreadsheetml/2017/richdata2" ref="C150:D158">
    <sortCondition ref="C150:C158"/>
  </sortState>
  <mergeCells count="137">
    <mergeCell ref="H208:H218"/>
    <mergeCell ref="A137:H137"/>
    <mergeCell ref="A134:G134"/>
    <mergeCell ref="A208:A218"/>
    <mergeCell ref="A219:G219"/>
    <mergeCell ref="B209:B213"/>
    <mergeCell ref="G209:G213"/>
    <mergeCell ref="G215:G217"/>
    <mergeCell ref="B215:B217"/>
    <mergeCell ref="H191:H197"/>
    <mergeCell ref="A198:A207"/>
    <mergeCell ref="G206:G207"/>
    <mergeCell ref="B206:B207"/>
    <mergeCell ref="H198:H207"/>
    <mergeCell ref="B200:B201"/>
    <mergeCell ref="G200:G201"/>
    <mergeCell ref="B202:B203"/>
    <mergeCell ref="G202:G203"/>
    <mergeCell ref="B204:B205"/>
    <mergeCell ref="G204:G205"/>
    <mergeCell ref="B196:B197"/>
    <mergeCell ref="G191:G192"/>
    <mergeCell ref="G193:G195"/>
    <mergeCell ref="G196:G197"/>
    <mergeCell ref="A191:A197"/>
    <mergeCell ref="A182:A190"/>
    <mergeCell ref="B182:B183"/>
    <mergeCell ref="G182:G183"/>
    <mergeCell ref="B191:B192"/>
    <mergeCell ref="B193:B195"/>
    <mergeCell ref="B187:B188"/>
    <mergeCell ref="G187:G188"/>
    <mergeCell ref="G189:G190"/>
    <mergeCell ref="H182:H190"/>
    <mergeCell ref="B189:B190"/>
    <mergeCell ref="G173:G175"/>
    <mergeCell ref="G178:G179"/>
    <mergeCell ref="B167:B168"/>
    <mergeCell ref="B169:B170"/>
    <mergeCell ref="B171:B172"/>
    <mergeCell ref="B173:B175"/>
    <mergeCell ref="B178:B179"/>
    <mergeCell ref="B176:B177"/>
    <mergeCell ref="G176:G177"/>
    <mergeCell ref="A139:A160"/>
    <mergeCell ref="H139:H160"/>
    <mergeCell ref="G167:G168"/>
    <mergeCell ref="G169:G170"/>
    <mergeCell ref="G171:G172"/>
    <mergeCell ref="A161:A168"/>
    <mergeCell ref="A169:A181"/>
    <mergeCell ref="H161:H168"/>
    <mergeCell ref="H169:H181"/>
    <mergeCell ref="B150:B158"/>
    <mergeCell ref="G162:G164"/>
    <mergeCell ref="B162:B164"/>
    <mergeCell ref="G159:G160"/>
    <mergeCell ref="B159:B160"/>
    <mergeCell ref="G150:G158"/>
    <mergeCell ref="B139:B141"/>
    <mergeCell ref="G139:G141"/>
    <mergeCell ref="G142:G143"/>
    <mergeCell ref="B142:B143"/>
    <mergeCell ref="B147:B149"/>
    <mergeCell ref="G147:G149"/>
    <mergeCell ref="B124:B126"/>
    <mergeCell ref="G124:G126"/>
    <mergeCell ref="B127:B133"/>
    <mergeCell ref="G127:G133"/>
    <mergeCell ref="B118:B122"/>
    <mergeCell ref="G118:G122"/>
    <mergeCell ref="A80:A105"/>
    <mergeCell ref="H80:H105"/>
    <mergeCell ref="A4:A35"/>
    <mergeCell ref="B109:B117"/>
    <mergeCell ref="G109:G117"/>
    <mergeCell ref="A106:A108"/>
    <mergeCell ref="B106:B107"/>
    <mergeCell ref="G106:G107"/>
    <mergeCell ref="A109:A133"/>
    <mergeCell ref="H106:H108"/>
    <mergeCell ref="H109:H133"/>
    <mergeCell ref="G102:G103"/>
    <mergeCell ref="G104:G105"/>
    <mergeCell ref="B85:B86"/>
    <mergeCell ref="B87:B88"/>
    <mergeCell ref="B89:B90"/>
    <mergeCell ref="B93:B94"/>
    <mergeCell ref="B95:B96"/>
    <mergeCell ref="B97:B101"/>
    <mergeCell ref="B102:B103"/>
    <mergeCell ref="B104:B105"/>
    <mergeCell ref="G87:G88"/>
    <mergeCell ref="G89:G90"/>
    <mergeCell ref="G93:G94"/>
    <mergeCell ref="G95:G96"/>
    <mergeCell ref="G97:G101"/>
    <mergeCell ref="B81:B82"/>
    <mergeCell ref="G81:G82"/>
    <mergeCell ref="B83:B84"/>
    <mergeCell ref="G83:G84"/>
    <mergeCell ref="G85:G86"/>
    <mergeCell ref="B78:B79"/>
    <mergeCell ref="A67:A79"/>
    <mergeCell ref="G67:G76"/>
    <mergeCell ref="G78:G79"/>
    <mergeCell ref="H67:H79"/>
    <mergeCell ref="B65:B66"/>
    <mergeCell ref="G65:G66"/>
    <mergeCell ref="A39:A66"/>
    <mergeCell ref="H39:H66"/>
    <mergeCell ref="B67:B76"/>
    <mergeCell ref="G46:G54"/>
    <mergeCell ref="B46:B54"/>
    <mergeCell ref="G55:G64"/>
    <mergeCell ref="B55:B64"/>
    <mergeCell ref="G20:G24"/>
    <mergeCell ref="G26:G28"/>
    <mergeCell ref="B29:B35"/>
    <mergeCell ref="G29:G35"/>
    <mergeCell ref="A2:H2"/>
    <mergeCell ref="B39:B45"/>
    <mergeCell ref="G39:G45"/>
    <mergeCell ref="R2:S2"/>
    <mergeCell ref="B4:B12"/>
    <mergeCell ref="B13:B19"/>
    <mergeCell ref="G4:G12"/>
    <mergeCell ref="G13:G19"/>
    <mergeCell ref="N2:O2"/>
    <mergeCell ref="P2:Q2"/>
    <mergeCell ref="B20:B24"/>
    <mergeCell ref="B26:B28"/>
    <mergeCell ref="A36:A38"/>
    <mergeCell ref="G36:G38"/>
    <mergeCell ref="B36:B38"/>
    <mergeCell ref="H36:H38"/>
    <mergeCell ref="H4:H35"/>
  </mergeCells>
  <phoneticPr fontId="11" type="noConversion"/>
  <pageMargins left="0.7" right="0.7" top="0.75" bottom="0.75" header="0.3" footer="0.3"/>
  <pageSetup paperSize="9" orientation="portrait" r:id="rId1"/>
  <ignoredErrors>
    <ignoredError sqref="G6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6F7C-EE43-4D4F-8960-568B6526AE78}">
  <dimension ref="A1:AA291"/>
  <sheetViews>
    <sheetView topLeftCell="A165" zoomScale="80" zoomScaleNormal="80" workbookViewId="0">
      <selection activeCell="W119" sqref="W119"/>
    </sheetView>
  </sheetViews>
  <sheetFormatPr baseColWidth="10" defaultColWidth="0" defaultRowHeight="13.8" x14ac:dyDescent="0.3"/>
  <cols>
    <col min="1" max="1" width="25.6640625" style="1" customWidth="1"/>
    <col min="2" max="2" width="13.44140625" style="1" customWidth="1"/>
    <col min="3" max="3" width="17.44140625" style="1" customWidth="1"/>
    <col min="4" max="4" width="22.6640625" style="1" customWidth="1"/>
    <col min="5" max="5" width="14.5546875" style="1" customWidth="1"/>
    <col min="6" max="6" width="13.44140625" style="1" customWidth="1"/>
    <col min="7" max="7" width="12.6640625" style="1" customWidth="1"/>
    <col min="8" max="8" width="14.6640625" style="1" customWidth="1"/>
    <col min="9" max="10" width="14.88671875" style="1" customWidth="1"/>
    <col min="11" max="11" width="14.6640625" style="1" customWidth="1"/>
    <col min="12" max="12" width="17.6640625" style="1" customWidth="1"/>
    <col min="13" max="13" width="16.109375" style="1" customWidth="1"/>
    <col min="14" max="14" width="13.6640625" style="1" customWidth="1"/>
    <col min="15" max="16" width="14.88671875" style="1" customWidth="1"/>
    <col min="17" max="17" width="16.6640625" style="1" customWidth="1"/>
    <col min="18" max="18" width="8.88671875" style="1" customWidth="1"/>
    <col min="19" max="19" width="24.88671875" style="1" customWidth="1"/>
    <col min="20" max="20" width="21.88671875" style="1" customWidth="1"/>
    <col min="21" max="21" width="17.33203125" style="1" customWidth="1"/>
    <col min="22" max="22" width="19.5546875" style="1" customWidth="1"/>
    <col min="23" max="23" width="15.33203125" style="1" customWidth="1"/>
    <col min="24" max="24" width="18.109375" style="1" hidden="1" customWidth="1"/>
    <col min="25" max="25" width="4.88671875" style="1" hidden="1" customWidth="1"/>
    <col min="26" max="27" width="8.6640625" style="1" hidden="1" customWidth="1"/>
    <col min="28" max="16384" width="11.44140625" style="1" hidden="1"/>
  </cols>
  <sheetData>
    <row r="1" spans="1:22" ht="32.25" customHeight="1" thickBot="1" x14ac:dyDescent="0.35">
      <c r="A1" s="142" t="s">
        <v>559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8"/>
      <c r="S1" s="143" t="s">
        <v>69</v>
      </c>
      <c r="T1" s="143"/>
      <c r="U1" s="143"/>
      <c r="V1" s="143"/>
    </row>
    <row r="2" spans="1:22" ht="14.4" thickTop="1" x14ac:dyDescent="0.3"/>
    <row r="3" spans="1:22" s="2" customFormat="1" ht="37.200000000000003" customHeigh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6</v>
      </c>
      <c r="G3" s="2" t="s">
        <v>5</v>
      </c>
      <c r="H3" s="2" t="s">
        <v>71</v>
      </c>
      <c r="I3" s="2" t="s">
        <v>130</v>
      </c>
      <c r="J3" s="2" t="s">
        <v>68</v>
      </c>
      <c r="K3" s="2" t="s">
        <v>561</v>
      </c>
      <c r="L3" s="2" t="s">
        <v>7</v>
      </c>
      <c r="M3" s="2" t="s">
        <v>66</v>
      </c>
      <c r="N3" s="2" t="s">
        <v>70</v>
      </c>
      <c r="O3" s="2" t="s">
        <v>393</v>
      </c>
      <c r="P3" s="2" t="s">
        <v>67</v>
      </c>
      <c r="Q3" s="2" t="s">
        <v>560</v>
      </c>
      <c r="S3" s="23" t="s">
        <v>544</v>
      </c>
      <c r="T3" s="23" t="s">
        <v>556</v>
      </c>
      <c r="U3" s="23" t="s">
        <v>555</v>
      </c>
      <c r="V3" s="23" t="s">
        <v>557</v>
      </c>
    </row>
    <row r="4" spans="1:22" x14ac:dyDescent="0.3">
      <c r="A4" s="8"/>
      <c r="B4" s="8"/>
      <c r="C4" s="8"/>
      <c r="D4" s="8"/>
      <c r="E4" s="13"/>
      <c r="F4" s="16"/>
      <c r="G4" s="8"/>
      <c r="H4" s="8"/>
      <c r="I4" s="8"/>
      <c r="J4" s="9"/>
      <c r="K4" s="9"/>
      <c r="L4" s="8"/>
      <c r="M4" s="16"/>
      <c r="N4" s="8"/>
      <c r="O4" s="8"/>
      <c r="P4" s="9"/>
      <c r="Q4" s="9"/>
      <c r="S4" s="22" t="s">
        <v>543</v>
      </c>
      <c r="T4" s="22">
        <f t="array" ref="T4">SUMPRODUCT((TEXT($F$4:$F$281,"mmmm")=S4)*1,$K$4:$K$281)</f>
        <v>0</v>
      </c>
      <c r="U4" s="22">
        <f t="array" ref="U4">SUMPRODUCT((TEXT(Tabla114[Fehca
Mant. Preventivo],"mmmm")=S4)*1,Tabla114[Valor Prev + IVA])</f>
        <v>0</v>
      </c>
      <c r="V4" s="22">
        <f>SUM(Tabla315[[#This Row],[Total Calibración]],Tabla315[[#This Row],[Total Preventivo]])</f>
        <v>0</v>
      </c>
    </row>
    <row r="5" spans="1:22" x14ac:dyDescent="0.3">
      <c r="A5" s="8"/>
      <c r="B5" s="8"/>
      <c r="C5" s="8"/>
      <c r="D5" s="8"/>
      <c r="E5" s="13"/>
      <c r="F5" s="16"/>
      <c r="G5" s="8"/>
      <c r="H5" s="8"/>
      <c r="I5" s="8"/>
      <c r="J5" s="9"/>
      <c r="K5" s="9"/>
      <c r="L5" s="8"/>
      <c r="M5" s="16"/>
      <c r="N5" s="8"/>
      <c r="O5" s="8"/>
      <c r="P5" s="9"/>
      <c r="Q5" s="9"/>
      <c r="S5" s="22" t="s">
        <v>545</v>
      </c>
      <c r="T5" s="22">
        <f t="array" ref="T5">SUMPRODUCT((TEXT($F$4:$F$281,"mmmm")=S5)*1,$K$4:$K$281)</f>
        <v>0</v>
      </c>
      <c r="U5" s="22">
        <f t="array" ref="U5">SUMPRODUCT((TEXT(Tabla114[Fehca
Mant. Preventivo],"mmmm")=S5)*1,Tabla114[Valor Prev + IVA])</f>
        <v>0</v>
      </c>
      <c r="V5" s="22">
        <f>SUM(Tabla315[[#This Row],[Total Calibración]],Tabla315[[#This Row],[Total Preventivo]])</f>
        <v>0</v>
      </c>
    </row>
    <row r="6" spans="1:22" x14ac:dyDescent="0.3">
      <c r="A6" s="8"/>
      <c r="B6" s="8"/>
      <c r="C6" s="8"/>
      <c r="D6" s="8"/>
      <c r="E6" s="13"/>
      <c r="F6" s="16"/>
      <c r="G6" s="8"/>
      <c r="H6" s="8"/>
      <c r="I6" s="8"/>
      <c r="J6" s="9"/>
      <c r="K6" s="9"/>
      <c r="L6" s="8"/>
      <c r="M6" s="16"/>
      <c r="N6" s="8"/>
      <c r="O6" s="8"/>
      <c r="P6" s="9"/>
      <c r="Q6" s="9"/>
      <c r="S6" s="22" t="s">
        <v>546</v>
      </c>
      <c r="T6" s="22">
        <f t="array" ref="T6">SUMPRODUCT((TEXT($F$4:$F$281,"mmmm")=S6)*1,$K$4:$K$281)</f>
        <v>0</v>
      </c>
      <c r="U6" s="22">
        <f t="array" ref="U6">SUMPRODUCT((TEXT(Tabla114[Fehca
Mant. Preventivo],"mmmm")=S6)*1,Tabla114[Valor Prev + IVA])</f>
        <v>0</v>
      </c>
      <c r="V6" s="22">
        <f>SUM(Tabla315[[#This Row],[Total Calibración]],Tabla315[[#This Row],[Total Preventivo]])</f>
        <v>0</v>
      </c>
    </row>
    <row r="7" spans="1:22" x14ac:dyDescent="0.3">
      <c r="A7" s="8"/>
      <c r="B7" s="8"/>
      <c r="C7" s="8"/>
      <c r="D7" s="8"/>
      <c r="E7" s="13"/>
      <c r="F7" s="16"/>
      <c r="G7" s="8"/>
      <c r="H7" s="8"/>
      <c r="I7" s="8"/>
      <c r="J7" s="9"/>
      <c r="K7" s="9"/>
      <c r="L7" s="8"/>
      <c r="M7" s="16"/>
      <c r="N7" s="8"/>
      <c r="O7" s="8"/>
      <c r="P7" s="9"/>
      <c r="Q7" s="9"/>
      <c r="S7" s="22" t="s">
        <v>547</v>
      </c>
      <c r="T7" s="22">
        <f t="array" ref="T7">SUMPRODUCT((TEXT($F$4:$F$281,"mmmm")=S7)*1,$K$4:$K$281)</f>
        <v>0</v>
      </c>
      <c r="U7" s="22">
        <f t="array" ref="U7">SUMPRODUCT((TEXT(Tabla114[Fehca
Mant. Preventivo],"mmmm")=S7)*1,Tabla114[Valor Prev + IVA])</f>
        <v>0</v>
      </c>
      <c r="V7" s="22">
        <f>SUM(Tabla315[[#This Row],[Total Calibración]],Tabla315[[#This Row],[Total Preventivo]])</f>
        <v>0</v>
      </c>
    </row>
    <row r="8" spans="1:22" x14ac:dyDescent="0.3">
      <c r="A8" s="8"/>
      <c r="B8" s="8"/>
      <c r="C8" s="8"/>
      <c r="D8" s="8"/>
      <c r="E8" s="13"/>
      <c r="F8" s="16"/>
      <c r="G8" s="8"/>
      <c r="H8" s="8"/>
      <c r="I8" s="8"/>
      <c r="J8" s="9"/>
      <c r="K8" s="9"/>
      <c r="L8" s="8"/>
      <c r="M8" s="16"/>
      <c r="N8" s="8"/>
      <c r="O8" s="8"/>
      <c r="P8" s="9"/>
      <c r="Q8" s="9"/>
      <c r="S8" s="22" t="s">
        <v>548</v>
      </c>
      <c r="T8" s="22">
        <f t="array" ref="T8">SUMPRODUCT((TEXT($F$4:$F$281,"mmmm")=S8)*1,$K$4:$K$281)</f>
        <v>0</v>
      </c>
      <c r="U8" s="22">
        <f t="array" ref="U8">SUMPRODUCT((TEXT(Tabla114[Fehca
Mant. Preventivo],"mmmm")=S8)*1,Tabla114[Valor Prev + IVA])</f>
        <v>0</v>
      </c>
      <c r="V8" s="22">
        <f>SUM(Tabla315[[#This Row],[Total Calibración]],Tabla315[[#This Row],[Total Preventivo]])</f>
        <v>0</v>
      </c>
    </row>
    <row r="9" spans="1:22" x14ac:dyDescent="0.3">
      <c r="A9" s="8"/>
      <c r="B9" s="8"/>
      <c r="C9" s="8"/>
      <c r="D9" s="8"/>
      <c r="E9" s="13"/>
      <c r="F9" s="16"/>
      <c r="G9" s="8"/>
      <c r="H9" s="8"/>
      <c r="I9" s="8"/>
      <c r="J9" s="9"/>
      <c r="K9" s="9"/>
      <c r="L9" s="8"/>
      <c r="M9" s="16"/>
      <c r="N9" s="8"/>
      <c r="O9" s="8"/>
      <c r="P9" s="9"/>
      <c r="Q9" s="9"/>
      <c r="S9" s="22" t="s">
        <v>549</v>
      </c>
      <c r="T9" s="22">
        <f t="array" ref="T9">SUMPRODUCT((TEXT($F$4:$F$281,"mmmm")=S9)*1,$K$4:$K$281)</f>
        <v>0</v>
      </c>
      <c r="U9" s="22">
        <f t="array" ref="U9">SUMPRODUCT((TEXT(Tabla114[Fehca
Mant. Preventivo],"mmmm")=S9)*1,Tabla114[Valor Prev + IVA])</f>
        <v>0</v>
      </c>
      <c r="V9" s="22">
        <f>SUM(Tabla315[[#This Row],[Total Calibración]],Tabla315[[#This Row],[Total Preventivo]])</f>
        <v>0</v>
      </c>
    </row>
    <row r="10" spans="1:22" x14ac:dyDescent="0.3">
      <c r="A10" s="8"/>
      <c r="B10" s="8"/>
      <c r="C10" s="8"/>
      <c r="D10" s="8"/>
      <c r="E10" s="13"/>
      <c r="F10" s="16"/>
      <c r="G10" s="8"/>
      <c r="H10" s="8"/>
      <c r="I10" s="8"/>
      <c r="J10" s="9"/>
      <c r="K10" s="9"/>
      <c r="L10" s="8"/>
      <c r="M10" s="16"/>
      <c r="N10" s="8"/>
      <c r="O10" s="8"/>
      <c r="P10" s="9"/>
      <c r="Q10" s="9"/>
      <c r="S10" s="22" t="s">
        <v>550</v>
      </c>
      <c r="T10" s="22">
        <f t="array" ref="T10">SUMPRODUCT((TEXT($F$4:$F$281,"mmmm")=S10)*1,$K$4:$K$281)</f>
        <v>0</v>
      </c>
      <c r="U10" s="22">
        <f t="array" ref="U10">SUMPRODUCT((TEXT(Tabla114[Fehca
Mant. Preventivo],"mmmm")=S10)*1,Tabla114[Valor Prev + IVA])</f>
        <v>0</v>
      </c>
      <c r="V10" s="22">
        <f>SUM(Tabla315[[#This Row],[Total Calibración]],Tabla315[[#This Row],[Total Preventivo]])</f>
        <v>0</v>
      </c>
    </row>
    <row r="11" spans="1:22" x14ac:dyDescent="0.3">
      <c r="A11" s="8"/>
      <c r="B11" s="8"/>
      <c r="C11" s="8"/>
      <c r="D11" s="8"/>
      <c r="E11" s="13"/>
      <c r="F11" s="16"/>
      <c r="G11" s="8"/>
      <c r="H11" s="8"/>
      <c r="I11" s="8"/>
      <c r="J11" s="9"/>
      <c r="K11" s="9"/>
      <c r="L11" s="8"/>
      <c r="M11" s="16"/>
      <c r="N11" s="8"/>
      <c r="O11" s="8"/>
      <c r="P11" s="9"/>
      <c r="Q11" s="9"/>
      <c r="S11" s="22" t="s">
        <v>551</v>
      </c>
      <c r="T11" s="22">
        <f t="array" ref="T11">SUMPRODUCT((TEXT($F$4:$F$281,"mmmm")=S11)*1,$K$4:$K$281)</f>
        <v>0</v>
      </c>
      <c r="U11" s="22">
        <f t="array" ref="U11">SUMPRODUCT((TEXT(Tabla114[Fehca
Mant. Preventivo],"mmmm")=S11)*1,Tabla114[Valor Prev + IVA])</f>
        <v>0</v>
      </c>
      <c r="V11" s="22">
        <f>SUM(Tabla315[[#This Row],[Total Calibración]],Tabla315[[#This Row],[Total Preventivo]])</f>
        <v>0</v>
      </c>
    </row>
    <row r="12" spans="1:22" x14ac:dyDescent="0.3">
      <c r="A12" s="8"/>
      <c r="B12" s="8"/>
      <c r="C12" s="8"/>
      <c r="D12" s="8"/>
      <c r="E12" s="13"/>
      <c r="F12" s="16"/>
      <c r="G12" s="8"/>
      <c r="H12" s="8"/>
      <c r="I12" s="8"/>
      <c r="J12" s="9"/>
      <c r="K12" s="9"/>
      <c r="L12" s="8"/>
      <c r="M12" s="16"/>
      <c r="N12" s="8"/>
      <c r="O12" s="8"/>
      <c r="P12" s="9"/>
      <c r="Q12" s="9"/>
      <c r="S12" s="22" t="s">
        <v>552</v>
      </c>
      <c r="T12" s="22">
        <f t="array" ref="T12">SUMPRODUCT((TEXT($F$4:$F$281,"mmmm")=S12)*1,$K$4:$K$281)</f>
        <v>0</v>
      </c>
      <c r="U12" s="22">
        <f t="array" ref="U12">SUMPRODUCT((TEXT(Tabla114[Fehca
Mant. Preventivo],"mmmm")=S12)*1,Tabla114[Valor Prev + IVA])</f>
        <v>0</v>
      </c>
      <c r="V12" s="22">
        <f>SUM(Tabla315[[#This Row],[Total Calibración]],Tabla315[[#This Row],[Total Preventivo]])</f>
        <v>0</v>
      </c>
    </row>
    <row r="13" spans="1:22" x14ac:dyDescent="0.3">
      <c r="A13" s="8"/>
      <c r="B13" s="8"/>
      <c r="C13" s="8"/>
      <c r="D13" s="8"/>
      <c r="E13" s="13"/>
      <c r="F13" s="16"/>
      <c r="G13" s="8"/>
      <c r="H13" s="8"/>
      <c r="I13" s="8"/>
      <c r="J13" s="9"/>
      <c r="K13" s="9"/>
      <c r="L13" s="8"/>
      <c r="M13" s="16"/>
      <c r="N13" s="8"/>
      <c r="O13" s="8"/>
      <c r="P13" s="9"/>
      <c r="Q13" s="9"/>
      <c r="S13" s="22" t="s">
        <v>553</v>
      </c>
      <c r="T13" s="22">
        <f t="array" ref="T13">SUMPRODUCT((TEXT($F$4:$F$281,"mmmm")=S13)*1,$K$4:$K$281)</f>
        <v>0</v>
      </c>
      <c r="U13" s="22">
        <f t="array" ref="U13">SUMPRODUCT((TEXT(Tabla114[Fehca
Mant. Preventivo],"mmmm")=S13)*1,Tabla114[Valor Prev + IVA])</f>
        <v>0</v>
      </c>
      <c r="V13" s="22">
        <f>SUM(Tabla315[[#This Row],[Total Calibración]],Tabla315[[#This Row],[Total Preventivo]])</f>
        <v>0</v>
      </c>
    </row>
    <row r="14" spans="1:22" x14ac:dyDescent="0.3">
      <c r="A14" s="8"/>
      <c r="B14" s="8"/>
      <c r="C14" s="8"/>
      <c r="D14" s="8"/>
      <c r="E14" s="13"/>
      <c r="F14" s="16"/>
      <c r="G14" s="8"/>
      <c r="H14" s="8"/>
      <c r="I14" s="8"/>
      <c r="J14" s="12"/>
      <c r="K14" s="12"/>
      <c r="L14" s="8"/>
      <c r="M14" s="16"/>
      <c r="N14" s="8"/>
      <c r="O14" s="8"/>
      <c r="P14" s="12"/>
      <c r="Q14" s="12"/>
      <c r="S14" s="22" t="s">
        <v>554</v>
      </c>
      <c r="T14" s="22">
        <f t="array" ref="T14">SUMPRODUCT((TEXT($F$4:$F$281,"mmmm")=S14)*1,$K$4:$K$281)</f>
        <v>0</v>
      </c>
      <c r="U14" s="22">
        <f t="array" ref="U14">SUMPRODUCT((TEXT(Tabla114[Fehca
Mant. Preventivo],"mmmm")=S14)*1,Tabla114[Valor Prev + IVA])</f>
        <v>0</v>
      </c>
      <c r="V14" s="22">
        <f>SUM(Tabla315[[#This Row],[Total Calibración]],Tabla315[[#This Row],[Total Preventivo]])</f>
        <v>0</v>
      </c>
    </row>
    <row r="15" spans="1:22" ht="14.4" customHeight="1" x14ac:dyDescent="0.3">
      <c r="A15" s="8"/>
      <c r="B15" s="8"/>
      <c r="C15" s="8"/>
      <c r="D15" s="8"/>
      <c r="E15" s="13"/>
      <c r="F15" s="16"/>
      <c r="G15" s="8"/>
      <c r="H15" s="8"/>
      <c r="I15" s="8"/>
      <c r="J15" s="9"/>
      <c r="K15" s="9"/>
      <c r="L15" s="8"/>
      <c r="M15" s="16"/>
      <c r="N15" s="8"/>
      <c r="O15" s="8"/>
      <c r="P15" s="9"/>
      <c r="Q15" s="9"/>
      <c r="S15" s="24" t="s">
        <v>558</v>
      </c>
      <c r="T15" s="34">
        <f>SUM(Tabla315[Total Calibración])</f>
        <v>0</v>
      </c>
      <c r="U15" s="34">
        <f>SUM(Tabla315[Total Preventivo])</f>
        <v>0</v>
      </c>
      <c r="V15" s="34">
        <f>SUM(Tabla315[Total Mes])</f>
        <v>0</v>
      </c>
    </row>
    <row r="16" spans="1:22" x14ac:dyDescent="0.3">
      <c r="A16" s="8"/>
      <c r="B16" s="8"/>
      <c r="C16" s="8"/>
      <c r="D16" s="8"/>
      <c r="E16" s="13"/>
      <c r="F16" s="16"/>
      <c r="G16" s="8"/>
      <c r="H16" s="8"/>
      <c r="I16" s="8"/>
      <c r="J16" s="9"/>
      <c r="K16" s="9"/>
      <c r="L16" s="8"/>
      <c r="M16" s="16"/>
      <c r="N16" s="8"/>
      <c r="O16" s="8"/>
      <c r="P16" s="9"/>
      <c r="Q16" s="9"/>
    </row>
    <row r="17" spans="1:22" x14ac:dyDescent="0.3">
      <c r="A17" s="8"/>
      <c r="B17" s="8"/>
      <c r="C17" s="8"/>
      <c r="D17" s="8"/>
      <c r="E17" s="13"/>
      <c r="F17" s="16"/>
      <c r="G17" s="8"/>
      <c r="H17" s="8"/>
      <c r="I17" s="8"/>
      <c r="J17" s="9"/>
      <c r="K17" s="9"/>
      <c r="L17" s="8"/>
      <c r="M17" s="16"/>
      <c r="N17" s="8"/>
      <c r="O17" s="8"/>
      <c r="P17" s="9"/>
      <c r="Q17" s="9"/>
    </row>
    <row r="18" spans="1:22" x14ac:dyDescent="0.3">
      <c r="A18" s="8"/>
      <c r="B18" s="8"/>
      <c r="C18" s="8"/>
      <c r="D18" s="8"/>
      <c r="E18" s="13"/>
      <c r="F18" s="16"/>
      <c r="G18" s="8"/>
      <c r="H18" s="8"/>
      <c r="I18" s="8"/>
      <c r="J18" s="9"/>
      <c r="K18" s="9"/>
      <c r="L18" s="8"/>
      <c r="M18" s="16"/>
      <c r="N18" s="8"/>
      <c r="O18" s="8"/>
      <c r="P18" s="9"/>
      <c r="Q18" s="9"/>
      <c r="S18" s="136" t="s">
        <v>575</v>
      </c>
      <c r="T18" s="136"/>
      <c r="U18" s="136"/>
      <c r="V18" s="136"/>
    </row>
    <row r="19" spans="1:22" ht="14.4" thickBot="1" x14ac:dyDescent="0.35">
      <c r="A19" s="8"/>
      <c r="B19" s="8"/>
      <c r="C19" s="8"/>
      <c r="D19" s="8"/>
      <c r="E19" s="13"/>
      <c r="F19" s="16"/>
      <c r="G19" s="8"/>
      <c r="H19" s="8"/>
      <c r="I19" s="8"/>
      <c r="J19" s="9"/>
      <c r="K19" s="9"/>
      <c r="L19" s="8"/>
      <c r="M19" s="16"/>
      <c r="N19" s="8"/>
      <c r="O19" s="8"/>
      <c r="P19" s="9"/>
      <c r="Q19" s="9"/>
      <c r="S19" s="137"/>
      <c r="T19" s="137"/>
      <c r="U19" s="137"/>
      <c r="V19" s="137"/>
    </row>
    <row r="20" spans="1:22" ht="14.4" thickTop="1" x14ac:dyDescent="0.3">
      <c r="A20" s="8"/>
      <c r="B20" s="8"/>
      <c r="C20" s="8"/>
      <c r="D20" s="8"/>
      <c r="E20" s="13"/>
      <c r="F20" s="16"/>
      <c r="G20" s="8"/>
      <c r="H20" s="8"/>
      <c r="I20" s="8"/>
      <c r="J20" s="9"/>
      <c r="K20" s="9"/>
      <c r="L20" s="8"/>
      <c r="M20" s="16"/>
      <c r="N20" s="8"/>
      <c r="O20" s="8"/>
      <c r="P20" s="9"/>
      <c r="Q20" s="9"/>
    </row>
    <row r="21" spans="1:22" x14ac:dyDescent="0.3">
      <c r="A21" s="8"/>
      <c r="B21" s="8"/>
      <c r="C21" s="8"/>
      <c r="D21" s="8"/>
      <c r="E21" s="13"/>
      <c r="F21" s="16"/>
      <c r="G21" s="8"/>
      <c r="H21" s="8"/>
      <c r="I21" s="8"/>
      <c r="J21" s="9"/>
      <c r="K21" s="9"/>
      <c r="L21" s="8"/>
      <c r="M21" s="16"/>
      <c r="N21" s="8"/>
      <c r="O21" s="8"/>
      <c r="P21" s="9"/>
      <c r="Q21" s="9"/>
      <c r="T21" s="35" t="s">
        <v>111</v>
      </c>
      <c r="U21" s="35" t="s">
        <v>570</v>
      </c>
    </row>
    <row r="22" spans="1:22" x14ac:dyDescent="0.3">
      <c r="A22" s="8"/>
      <c r="B22" s="8"/>
      <c r="C22" s="8"/>
      <c r="D22" s="8"/>
      <c r="E22" s="13"/>
      <c r="F22" s="16"/>
      <c r="G22" s="8"/>
      <c r="H22" s="8"/>
      <c r="I22" s="8"/>
      <c r="J22" s="9"/>
      <c r="K22" s="9"/>
      <c r="L22" s="8"/>
      <c r="M22" s="16"/>
      <c r="N22" s="8"/>
      <c r="O22" s="8"/>
      <c r="P22" s="9"/>
      <c r="Q22" s="9"/>
      <c r="T22" s="8" t="s">
        <v>123</v>
      </c>
      <c r="U22" s="9">
        <f t="array" ref="U22">SUMPRODUCT((Tabla114[Nombre Equipo]=T22)*1,$K$4:$K$281)</f>
        <v>0</v>
      </c>
    </row>
    <row r="23" spans="1:22" x14ac:dyDescent="0.3">
      <c r="A23" s="8"/>
      <c r="B23" s="8"/>
      <c r="C23" s="8"/>
      <c r="D23" s="8"/>
      <c r="E23" s="13"/>
      <c r="F23" s="16"/>
      <c r="G23" s="8"/>
      <c r="H23" s="8"/>
      <c r="I23" s="8"/>
      <c r="J23" s="9"/>
      <c r="K23" s="9"/>
      <c r="L23" s="8"/>
      <c r="M23" s="16"/>
      <c r="N23" s="8"/>
      <c r="O23" s="8"/>
      <c r="P23" s="9"/>
      <c r="Q23" s="9"/>
      <c r="T23" s="8" t="s">
        <v>165</v>
      </c>
      <c r="U23" s="9">
        <f t="array" ref="U23">SUMPRODUCT((Tabla114[Nombre Equipo]=T23)*1,$K$4:$K$281)</f>
        <v>0</v>
      </c>
    </row>
    <row r="24" spans="1:22" x14ac:dyDescent="0.3">
      <c r="A24" s="8"/>
      <c r="B24" s="8"/>
      <c r="C24" s="8"/>
      <c r="D24" s="8"/>
      <c r="E24" s="13"/>
      <c r="F24" s="16"/>
      <c r="G24" s="8"/>
      <c r="H24" s="8"/>
      <c r="I24" s="8"/>
      <c r="J24" s="9"/>
      <c r="K24" s="9"/>
      <c r="L24" s="8"/>
      <c r="M24" s="16"/>
      <c r="N24" s="8"/>
      <c r="O24" s="8"/>
      <c r="P24" s="9"/>
      <c r="Q24" s="9"/>
      <c r="T24" s="8" t="s">
        <v>170</v>
      </c>
      <c r="U24" s="9">
        <f t="array" ref="U24">SUMPRODUCT((Tabla114[Nombre Equipo]=T24)*1,$K$4:$K$281)</f>
        <v>0</v>
      </c>
    </row>
    <row r="25" spans="1:22" x14ac:dyDescent="0.3">
      <c r="A25" s="8"/>
      <c r="B25" s="8"/>
      <c r="C25" s="8"/>
      <c r="D25" s="8"/>
      <c r="E25" s="13"/>
      <c r="F25" s="16"/>
      <c r="G25" s="8"/>
      <c r="H25" s="8"/>
      <c r="I25" s="8"/>
      <c r="J25" s="9"/>
      <c r="K25" s="9"/>
      <c r="L25" s="8"/>
      <c r="M25" s="16"/>
      <c r="N25" s="8"/>
      <c r="O25" s="8"/>
      <c r="P25" s="9"/>
      <c r="Q25" s="9"/>
      <c r="T25" s="8" t="s">
        <v>122</v>
      </c>
      <c r="U25" s="9">
        <f t="array" ref="U25">SUMPRODUCT((Tabla114[Nombre Equipo]=T25)*1,$K$4:$K$281)</f>
        <v>0</v>
      </c>
    </row>
    <row r="26" spans="1:22" x14ac:dyDescent="0.3">
      <c r="A26" s="8"/>
      <c r="B26" s="8"/>
      <c r="C26" s="8"/>
      <c r="D26" s="8"/>
      <c r="E26" s="13"/>
      <c r="F26" s="16"/>
      <c r="G26" s="8"/>
      <c r="H26" s="8"/>
      <c r="I26" s="8"/>
      <c r="J26" s="9"/>
      <c r="K26" s="9"/>
      <c r="L26" s="8"/>
      <c r="M26" s="16"/>
      <c r="N26" s="8"/>
      <c r="O26" s="8"/>
      <c r="P26" s="9"/>
      <c r="Q26" s="9"/>
      <c r="T26" s="8" t="s">
        <v>377</v>
      </c>
      <c r="U26" s="9">
        <f t="array" ref="U26">SUMPRODUCT((Tabla114[Nombre Equipo]=T26)*1,$K$4:$K$281)</f>
        <v>0</v>
      </c>
    </row>
    <row r="27" spans="1:22" x14ac:dyDescent="0.3">
      <c r="A27" s="8"/>
      <c r="B27" s="8"/>
      <c r="C27" s="8"/>
      <c r="D27" s="8"/>
      <c r="E27" s="13"/>
      <c r="F27" s="16"/>
      <c r="G27" s="8"/>
      <c r="H27" s="8"/>
      <c r="I27" s="8"/>
      <c r="J27" s="9"/>
      <c r="K27" s="9"/>
      <c r="L27" s="8"/>
      <c r="M27" s="16"/>
      <c r="N27" s="8"/>
      <c r="O27" s="8"/>
      <c r="P27" s="9"/>
      <c r="Q27" s="9"/>
      <c r="T27" s="8" t="s">
        <v>124</v>
      </c>
      <c r="U27" s="9">
        <f t="array" ref="U27">SUMPRODUCT((Tabla114[Nombre Equipo]=T27)*1,$K$4:$K$281)</f>
        <v>0</v>
      </c>
    </row>
    <row r="28" spans="1:22" x14ac:dyDescent="0.3">
      <c r="A28" s="8"/>
      <c r="B28" s="8"/>
      <c r="C28" s="8"/>
      <c r="D28" s="8"/>
      <c r="E28" s="13"/>
      <c r="F28" s="16"/>
      <c r="G28" s="8"/>
      <c r="H28" s="8"/>
      <c r="I28" s="8"/>
      <c r="J28" s="9"/>
      <c r="K28" s="9"/>
      <c r="L28" s="8"/>
      <c r="M28" s="16"/>
      <c r="N28" s="8"/>
      <c r="O28" s="8"/>
      <c r="P28" s="9"/>
      <c r="Q28" s="9"/>
      <c r="T28" s="8" t="s">
        <v>116</v>
      </c>
      <c r="U28" s="9">
        <f t="array" ref="U28">SUMPRODUCT((Tabla114[Nombre Equipo]=T28)*1,$K$4:$K$281)</f>
        <v>0</v>
      </c>
    </row>
    <row r="29" spans="1:22" x14ac:dyDescent="0.3">
      <c r="A29" s="8"/>
      <c r="B29" s="8"/>
      <c r="C29" s="8"/>
      <c r="D29" s="8"/>
      <c r="E29" s="13"/>
      <c r="F29" s="16"/>
      <c r="G29" s="8"/>
      <c r="H29" s="8"/>
      <c r="I29" s="8"/>
      <c r="J29" s="9"/>
      <c r="K29" s="9"/>
      <c r="L29" s="8"/>
      <c r="M29" s="16"/>
      <c r="N29" s="8"/>
      <c r="O29" s="8"/>
      <c r="P29" s="9"/>
      <c r="Q29" s="9"/>
      <c r="T29" s="8" t="s">
        <v>114</v>
      </c>
      <c r="U29" s="9">
        <f t="array" ref="U29">SUMPRODUCT((Tabla114[Nombre Equipo]=T29)*1,$K$4:$K$281)</f>
        <v>0</v>
      </c>
    </row>
    <row r="30" spans="1:22" x14ac:dyDescent="0.3">
      <c r="A30" s="8"/>
      <c r="B30" s="8"/>
      <c r="C30" s="8"/>
      <c r="D30" s="8"/>
      <c r="E30" s="13"/>
      <c r="F30" s="16"/>
      <c r="G30" s="8"/>
      <c r="H30" s="8"/>
      <c r="I30" s="8"/>
      <c r="J30" s="9"/>
      <c r="K30" s="9"/>
      <c r="L30" s="8"/>
      <c r="M30" s="16"/>
      <c r="N30" s="8"/>
      <c r="O30" s="8"/>
      <c r="P30" s="9"/>
      <c r="Q30" s="9"/>
      <c r="T30" s="8" t="s">
        <v>127</v>
      </c>
      <c r="U30" s="9">
        <f t="array" ref="U30">SUMPRODUCT((Tabla114[Nombre Equipo]=T30)*1,$K$4:$K$281)</f>
        <v>0</v>
      </c>
    </row>
    <row r="31" spans="1:22" x14ac:dyDescent="0.3">
      <c r="A31" s="8"/>
      <c r="B31" s="8"/>
      <c r="C31" s="8"/>
      <c r="D31" s="8"/>
      <c r="E31" s="13"/>
      <c r="F31" s="16"/>
      <c r="G31" s="8"/>
      <c r="H31" s="8"/>
      <c r="I31" s="8"/>
      <c r="J31" s="9"/>
      <c r="K31" s="9"/>
      <c r="L31" s="8"/>
      <c r="M31" s="16"/>
      <c r="N31" s="8"/>
      <c r="O31" s="8"/>
      <c r="P31" s="9"/>
      <c r="Q31" s="9"/>
      <c r="T31" s="8" t="s">
        <v>421</v>
      </c>
      <c r="U31" s="9">
        <f t="array" ref="U31">SUMPRODUCT((Tabla114[Nombre Equipo]=T31)*1,$K$4:$K$281)</f>
        <v>0</v>
      </c>
    </row>
    <row r="32" spans="1:22" x14ac:dyDescent="0.3">
      <c r="A32" s="8"/>
      <c r="B32" s="8"/>
      <c r="C32" s="8"/>
      <c r="D32" s="8"/>
      <c r="E32" s="13"/>
      <c r="F32" s="16"/>
      <c r="G32" s="8"/>
      <c r="H32" s="8"/>
      <c r="I32" s="8"/>
      <c r="J32" s="9"/>
      <c r="K32" s="9"/>
      <c r="L32" s="8"/>
      <c r="M32" s="16"/>
      <c r="N32" s="8"/>
      <c r="O32" s="8"/>
      <c r="P32" s="9"/>
      <c r="Q32" s="9"/>
      <c r="T32" s="8" t="s">
        <v>117</v>
      </c>
      <c r="U32" s="9">
        <f t="array" ref="U32">SUMPRODUCT((Tabla114[Nombre Equipo]=T32)*1,$K$4:$K$281)</f>
        <v>0</v>
      </c>
    </row>
    <row r="33" spans="1:21" x14ac:dyDescent="0.3">
      <c r="A33" s="8"/>
      <c r="B33" s="8"/>
      <c r="C33" s="8"/>
      <c r="D33" s="8"/>
      <c r="E33" s="13"/>
      <c r="F33" s="16"/>
      <c r="G33" s="8"/>
      <c r="H33" s="8"/>
      <c r="I33" s="8"/>
      <c r="J33" s="9"/>
      <c r="K33" s="9"/>
      <c r="L33" s="8"/>
      <c r="M33" s="16"/>
      <c r="N33" s="8"/>
      <c r="O33" s="8"/>
      <c r="P33" s="9"/>
      <c r="Q33" s="9"/>
      <c r="T33" s="8" t="s">
        <v>118</v>
      </c>
      <c r="U33" s="9">
        <f t="array" ref="U33">SUMPRODUCT((Tabla114[Nombre Equipo]=T33)*1,$K$4:$K$281)</f>
        <v>0</v>
      </c>
    </row>
    <row r="34" spans="1:21" x14ac:dyDescent="0.3">
      <c r="A34" s="8"/>
      <c r="B34" s="8"/>
      <c r="C34" s="8"/>
      <c r="D34" s="8"/>
      <c r="E34" s="13"/>
      <c r="F34" s="16"/>
      <c r="G34" s="8"/>
      <c r="H34" s="8"/>
      <c r="I34" s="8"/>
      <c r="J34" s="9"/>
      <c r="K34" s="9"/>
      <c r="L34" s="8"/>
      <c r="M34" s="16"/>
      <c r="N34" s="8"/>
      <c r="O34" s="8"/>
      <c r="P34" s="9"/>
      <c r="Q34" s="9"/>
      <c r="T34" s="8" t="s">
        <v>119</v>
      </c>
      <c r="U34" s="9">
        <f t="array" ref="U34">SUMPRODUCT((Tabla114[Nombre Equipo]=T34)*1,$K$4:$K$281)</f>
        <v>0</v>
      </c>
    </row>
    <row r="35" spans="1:21" x14ac:dyDescent="0.3">
      <c r="A35" s="8"/>
      <c r="B35" s="8"/>
      <c r="C35" s="8"/>
      <c r="D35" s="8"/>
      <c r="E35" s="13"/>
      <c r="F35" s="16"/>
      <c r="G35" s="8"/>
      <c r="H35" s="8"/>
      <c r="I35" s="8"/>
      <c r="J35" s="9"/>
      <c r="K35" s="9"/>
      <c r="L35" s="8"/>
      <c r="M35" s="16"/>
      <c r="N35" s="8"/>
      <c r="O35" s="8"/>
      <c r="P35" s="9"/>
      <c r="Q35" s="9"/>
      <c r="T35" s="8" t="s">
        <v>428</v>
      </c>
      <c r="U35" s="9">
        <f t="array" ref="U35">SUMPRODUCT((Tabla114[Nombre Equipo]=T35)*1,$K$4:$K$281)</f>
        <v>0</v>
      </c>
    </row>
    <row r="36" spans="1:21" x14ac:dyDescent="0.3">
      <c r="A36" s="8"/>
      <c r="B36" s="8"/>
      <c r="C36" s="8"/>
      <c r="D36" s="8"/>
      <c r="E36" s="13"/>
      <c r="F36" s="16"/>
      <c r="G36" s="8"/>
      <c r="H36" s="8"/>
      <c r="I36" s="8"/>
      <c r="J36" s="9"/>
      <c r="K36" s="9"/>
      <c r="L36" s="8"/>
      <c r="M36" s="16"/>
      <c r="N36" s="8"/>
      <c r="O36" s="8"/>
      <c r="P36" s="9"/>
      <c r="Q36" s="9"/>
      <c r="T36" s="8" t="s">
        <v>155</v>
      </c>
      <c r="U36" s="9">
        <f t="array" ref="U36">SUMPRODUCT((Tabla114[Nombre Equipo]=T36)*1,$K$4:$K$281)</f>
        <v>0</v>
      </c>
    </row>
    <row r="37" spans="1:21" x14ac:dyDescent="0.3">
      <c r="A37" s="8"/>
      <c r="B37" s="8"/>
      <c r="C37" s="8"/>
      <c r="D37" s="8"/>
      <c r="E37" s="13"/>
      <c r="F37" s="16"/>
      <c r="G37" s="8"/>
      <c r="H37" s="8"/>
      <c r="I37" s="8"/>
      <c r="J37" s="9"/>
      <c r="K37" s="9"/>
      <c r="L37" s="8"/>
      <c r="M37" s="16"/>
      <c r="N37" s="8"/>
      <c r="O37" s="8"/>
      <c r="P37" s="9"/>
      <c r="Q37" s="9"/>
      <c r="T37" s="8" t="s">
        <v>411</v>
      </c>
      <c r="U37" s="9">
        <f t="array" ref="U37">SUMPRODUCT((Tabla114[Nombre Equipo]=T37)*1,$K$4:$K$281)</f>
        <v>0</v>
      </c>
    </row>
    <row r="38" spans="1:21" x14ac:dyDescent="0.3">
      <c r="A38" s="8"/>
      <c r="B38" s="8"/>
      <c r="C38" s="8"/>
      <c r="D38" s="8"/>
      <c r="E38" s="13"/>
      <c r="F38" s="16"/>
      <c r="G38" s="8"/>
      <c r="H38" s="8"/>
      <c r="I38" s="8"/>
      <c r="J38" s="9"/>
      <c r="K38" s="9"/>
      <c r="L38" s="8"/>
      <c r="M38" s="16"/>
      <c r="N38" s="8"/>
      <c r="O38" s="8"/>
      <c r="P38" s="9"/>
      <c r="Q38" s="9"/>
      <c r="T38" s="8" t="s">
        <v>156</v>
      </c>
      <c r="U38" s="9">
        <f t="array" ref="U38">SUMPRODUCT((Tabla114[Nombre Equipo]=T38)*1,$K$4:$K$281)</f>
        <v>0</v>
      </c>
    </row>
    <row r="39" spans="1:21" x14ac:dyDescent="0.3">
      <c r="A39" s="8"/>
      <c r="B39" s="8"/>
      <c r="C39" s="8"/>
      <c r="D39" s="8"/>
      <c r="E39" s="13"/>
      <c r="F39" s="16"/>
      <c r="G39" s="8"/>
      <c r="H39" s="8"/>
      <c r="I39" s="8"/>
      <c r="J39" s="9"/>
      <c r="K39" s="9"/>
      <c r="L39" s="8"/>
      <c r="M39" s="16"/>
      <c r="N39" s="8"/>
      <c r="O39" s="8"/>
      <c r="P39" s="9"/>
      <c r="Q39" s="9"/>
      <c r="T39" s="8" t="s">
        <v>115</v>
      </c>
      <c r="U39" s="9">
        <f t="array" ref="U39">SUMPRODUCT((Tabla114[Nombre Equipo]=T39)*1,$K$4:$K$281)</f>
        <v>0</v>
      </c>
    </row>
    <row r="40" spans="1:21" x14ac:dyDescent="0.3">
      <c r="A40" s="8"/>
      <c r="B40" s="8"/>
      <c r="C40" s="8"/>
      <c r="D40" s="8"/>
      <c r="E40" s="13"/>
      <c r="F40" s="16"/>
      <c r="G40" s="8"/>
      <c r="H40" s="8"/>
      <c r="I40" s="8"/>
      <c r="J40" s="9"/>
      <c r="K40" s="9"/>
      <c r="L40" s="8"/>
      <c r="M40" s="16"/>
      <c r="N40" s="8"/>
      <c r="O40" s="8"/>
      <c r="P40" s="9"/>
      <c r="Q40" s="9"/>
      <c r="T40" s="8" t="s">
        <v>125</v>
      </c>
      <c r="U40" s="9">
        <f t="array" ref="U40">SUMPRODUCT((Tabla114[Nombre Equipo]=T40)*1,$K$4:$K$281)</f>
        <v>0</v>
      </c>
    </row>
    <row r="41" spans="1:21" x14ac:dyDescent="0.3">
      <c r="A41" s="8"/>
      <c r="B41" s="8"/>
      <c r="C41" s="8"/>
      <c r="D41" s="8"/>
      <c r="E41" s="13"/>
      <c r="F41" s="16"/>
      <c r="G41" s="8"/>
      <c r="H41" s="8"/>
      <c r="I41" s="8"/>
      <c r="J41" s="9"/>
      <c r="K41" s="9"/>
      <c r="L41" s="8"/>
      <c r="M41" s="16"/>
      <c r="N41" s="8"/>
      <c r="O41" s="8"/>
      <c r="P41" s="9"/>
      <c r="Q41" s="9"/>
      <c r="T41" s="8" t="s">
        <v>149</v>
      </c>
      <c r="U41" s="9">
        <f t="array" ref="U41">SUMPRODUCT((Tabla114[Nombre Equipo]=T41)*1,$K$4:$K$281)</f>
        <v>0</v>
      </c>
    </row>
    <row r="42" spans="1:21" x14ac:dyDescent="0.3">
      <c r="A42" s="8"/>
      <c r="B42" s="8"/>
      <c r="C42" s="8"/>
      <c r="D42" s="8"/>
      <c r="E42" s="13"/>
      <c r="F42" s="16"/>
      <c r="G42" s="8"/>
      <c r="H42" s="8"/>
      <c r="I42" s="8"/>
      <c r="J42" s="9"/>
      <c r="K42" s="9"/>
      <c r="L42" s="8"/>
      <c r="M42" s="16"/>
      <c r="N42" s="8"/>
      <c r="O42" s="8"/>
      <c r="P42" s="9"/>
      <c r="Q42" s="9"/>
      <c r="T42" s="8" t="s">
        <v>75</v>
      </c>
      <c r="U42" s="9">
        <f t="array" ref="U42">SUMPRODUCT((Tabla114[Nombre Equipo]=T42)*1,$K$4:$K$281)</f>
        <v>0</v>
      </c>
    </row>
    <row r="43" spans="1:21" x14ac:dyDescent="0.3">
      <c r="A43" s="8"/>
      <c r="B43" s="8"/>
      <c r="C43" s="8"/>
      <c r="D43" s="8"/>
      <c r="E43" s="13"/>
      <c r="F43" s="16"/>
      <c r="G43" s="8"/>
      <c r="H43" s="8"/>
      <c r="I43" s="8"/>
      <c r="J43" s="9"/>
      <c r="K43" s="9"/>
      <c r="L43" s="8"/>
      <c r="M43" s="16"/>
      <c r="N43" s="8"/>
      <c r="O43" s="8"/>
      <c r="P43" s="9"/>
      <c r="Q43" s="9"/>
      <c r="T43" s="8" t="s">
        <v>77</v>
      </c>
      <c r="U43" s="9">
        <f t="array" ref="U43">SUMPRODUCT((Tabla114[Nombre Equipo]=T43)*1,$K$4:$K$281)</f>
        <v>0</v>
      </c>
    </row>
    <row r="44" spans="1:21" x14ac:dyDescent="0.3">
      <c r="A44" s="8"/>
      <c r="B44" s="8"/>
      <c r="C44" s="8"/>
      <c r="D44" s="8"/>
      <c r="E44" s="13"/>
      <c r="F44" s="16"/>
      <c r="G44" s="8"/>
      <c r="H44" s="8"/>
      <c r="I44" s="8"/>
      <c r="J44" s="9"/>
      <c r="K44" s="9"/>
      <c r="L44" s="8"/>
      <c r="M44" s="16"/>
      <c r="N44" s="8"/>
      <c r="O44" s="8"/>
      <c r="P44" s="9"/>
      <c r="Q44" s="9"/>
      <c r="T44" s="8" t="s">
        <v>121</v>
      </c>
      <c r="U44" s="9">
        <f t="array" ref="U44">SUMPRODUCT((Tabla114[Nombre Equipo]=T44)*1,$K$4:$K$281)</f>
        <v>0</v>
      </c>
    </row>
    <row r="45" spans="1:21" x14ac:dyDescent="0.3">
      <c r="A45" s="8"/>
      <c r="B45" s="8"/>
      <c r="C45" s="8"/>
      <c r="D45" s="8"/>
      <c r="E45" s="13"/>
      <c r="F45" s="16"/>
      <c r="G45" s="8"/>
      <c r="H45" s="8"/>
      <c r="I45" s="8"/>
      <c r="J45" s="9"/>
      <c r="K45" s="9"/>
      <c r="L45" s="8"/>
      <c r="M45" s="16"/>
      <c r="N45" s="8"/>
      <c r="O45" s="8"/>
      <c r="P45" s="9"/>
      <c r="Q45" s="9"/>
      <c r="T45" s="8" t="s">
        <v>120</v>
      </c>
      <c r="U45" s="9">
        <f t="array" ref="U45">SUMPRODUCT((Tabla114[Nombre Equipo]=T45)*1,$K$4:$K$281)</f>
        <v>0</v>
      </c>
    </row>
    <row r="46" spans="1:21" x14ac:dyDescent="0.3">
      <c r="A46" s="8"/>
      <c r="B46" s="8"/>
      <c r="C46" s="8"/>
      <c r="D46" s="8"/>
      <c r="E46" s="13"/>
      <c r="F46" s="16"/>
      <c r="G46" s="8"/>
      <c r="H46" s="8"/>
      <c r="I46" s="8"/>
      <c r="J46" s="9"/>
      <c r="K46" s="9"/>
      <c r="L46" s="8"/>
      <c r="M46" s="16"/>
      <c r="N46" s="8"/>
      <c r="O46" s="8"/>
      <c r="P46" s="9"/>
      <c r="Q46" s="9"/>
      <c r="T46" s="40" t="s">
        <v>573</v>
      </c>
      <c r="U46" s="41">
        <f xml:space="preserve"> SUM(U22:U45)</f>
        <v>0</v>
      </c>
    </row>
    <row r="47" spans="1:21" x14ac:dyDescent="0.3">
      <c r="A47" s="8"/>
      <c r="B47" s="8"/>
      <c r="C47" s="8"/>
      <c r="D47" s="8"/>
      <c r="E47" s="13"/>
      <c r="F47" s="16"/>
      <c r="G47" s="8"/>
      <c r="H47" s="8"/>
      <c r="I47" s="8"/>
      <c r="J47" s="9"/>
      <c r="K47" s="9"/>
      <c r="L47" s="8"/>
      <c r="M47" s="16"/>
      <c r="N47" s="8"/>
      <c r="O47" s="8"/>
      <c r="P47" s="9"/>
      <c r="Q47" s="9"/>
      <c r="U47" s="32"/>
    </row>
    <row r="48" spans="1:21" x14ac:dyDescent="0.3">
      <c r="A48" s="8"/>
      <c r="B48" s="8"/>
      <c r="C48" s="8"/>
      <c r="D48" s="8"/>
      <c r="E48" s="13"/>
      <c r="F48" s="16"/>
      <c r="G48" s="8"/>
      <c r="H48" s="8"/>
      <c r="I48" s="8"/>
      <c r="J48" s="9"/>
      <c r="K48" s="9"/>
      <c r="L48" s="8"/>
      <c r="M48" s="16"/>
      <c r="N48" s="8"/>
      <c r="O48" s="8"/>
      <c r="P48" s="9"/>
      <c r="Q48" s="9"/>
    </row>
    <row r="49" spans="1:22" x14ac:dyDescent="0.3">
      <c r="A49" s="8"/>
      <c r="B49" s="8"/>
      <c r="C49" s="8"/>
      <c r="D49" s="8"/>
      <c r="E49" s="13"/>
      <c r="F49" s="16"/>
      <c r="G49" s="8"/>
      <c r="H49" s="8"/>
      <c r="I49" s="8"/>
      <c r="J49" s="9"/>
      <c r="K49" s="9"/>
      <c r="L49" s="8"/>
      <c r="M49" s="16"/>
      <c r="N49" s="8"/>
      <c r="O49" s="8"/>
      <c r="P49" s="9"/>
      <c r="Q49" s="9"/>
      <c r="S49" s="138" t="s">
        <v>576</v>
      </c>
      <c r="T49" s="138"/>
      <c r="U49" s="138"/>
      <c r="V49" s="138"/>
    </row>
    <row r="50" spans="1:22" ht="14.4" thickBot="1" x14ac:dyDescent="0.35">
      <c r="A50" s="8"/>
      <c r="B50" s="8"/>
      <c r="C50" s="8"/>
      <c r="D50" s="8"/>
      <c r="E50" s="13"/>
      <c r="F50" s="16"/>
      <c r="G50" s="8"/>
      <c r="H50" s="8"/>
      <c r="I50" s="8"/>
      <c r="J50" s="9"/>
      <c r="K50" s="9"/>
      <c r="L50" s="8"/>
      <c r="M50" s="16"/>
      <c r="N50" s="8"/>
      <c r="O50" s="8"/>
      <c r="P50" s="9"/>
      <c r="Q50" s="9"/>
      <c r="S50" s="139"/>
      <c r="T50" s="139"/>
      <c r="U50" s="139"/>
      <c r="V50" s="139"/>
    </row>
    <row r="51" spans="1:22" ht="14.4" thickTop="1" x14ac:dyDescent="0.3">
      <c r="A51" s="8"/>
      <c r="B51" s="8"/>
      <c r="C51" s="8"/>
      <c r="D51" s="8"/>
      <c r="E51" s="13"/>
      <c r="F51" s="16"/>
      <c r="G51" s="8"/>
      <c r="H51" s="8"/>
      <c r="I51" s="8"/>
      <c r="J51" s="9"/>
      <c r="K51" s="9"/>
      <c r="L51" s="8"/>
      <c r="M51" s="16"/>
      <c r="N51" s="8"/>
      <c r="O51" s="8"/>
      <c r="P51" s="9"/>
      <c r="Q51" s="9"/>
      <c r="U51" s="32"/>
    </row>
    <row r="52" spans="1:22" x14ac:dyDescent="0.3">
      <c r="A52" s="8"/>
      <c r="B52" s="8"/>
      <c r="C52" s="8"/>
      <c r="D52" s="8"/>
      <c r="E52" s="13"/>
      <c r="F52" s="16"/>
      <c r="G52" s="8"/>
      <c r="H52" s="8"/>
      <c r="I52" s="8"/>
      <c r="J52" s="9"/>
      <c r="K52" s="9"/>
      <c r="L52" s="8"/>
      <c r="M52" s="16"/>
      <c r="N52" s="8"/>
      <c r="O52" s="8"/>
      <c r="P52" s="9"/>
      <c r="Q52" s="9"/>
      <c r="T52" s="35" t="s">
        <v>111</v>
      </c>
      <c r="U52" s="35" t="s">
        <v>571</v>
      </c>
    </row>
    <row r="53" spans="1:22" x14ac:dyDescent="0.3">
      <c r="A53" s="8"/>
      <c r="B53" s="8"/>
      <c r="C53" s="8"/>
      <c r="D53" s="8"/>
      <c r="E53" s="13"/>
      <c r="F53" s="16"/>
      <c r="G53" s="8"/>
      <c r="H53" s="8"/>
      <c r="I53" s="8"/>
      <c r="J53" s="9"/>
      <c r="K53" s="9"/>
      <c r="L53" s="8"/>
      <c r="M53" s="16"/>
      <c r="N53" s="8"/>
      <c r="O53" s="8"/>
      <c r="P53" s="9"/>
      <c r="Q53" s="9"/>
      <c r="T53" s="8" t="s">
        <v>294</v>
      </c>
      <c r="U53" s="9">
        <f t="array" ref="U53">SUMPRODUCT((Tabla114[Nombre Equipo]=T53)*1,Tabla114[Valor Prev + IVA])</f>
        <v>0</v>
      </c>
    </row>
    <row r="54" spans="1:22" x14ac:dyDescent="0.3">
      <c r="A54" s="8"/>
      <c r="B54" s="8"/>
      <c r="C54" s="8"/>
      <c r="D54" s="8"/>
      <c r="E54" s="13"/>
      <c r="F54" s="16"/>
      <c r="G54" s="8"/>
      <c r="H54" s="8"/>
      <c r="I54" s="8"/>
      <c r="J54" s="9"/>
      <c r="K54" s="9"/>
      <c r="L54" s="8"/>
      <c r="M54" s="16"/>
      <c r="N54" s="8"/>
      <c r="O54" s="8"/>
      <c r="P54" s="9"/>
      <c r="Q54" s="9"/>
      <c r="T54" s="8" t="s">
        <v>388</v>
      </c>
      <c r="U54" s="9">
        <f t="array" ref="U54">SUMPRODUCT((Tabla114[Nombre Equipo]=T54)*1,Tabla114[Valor Prev + IVA])</f>
        <v>0</v>
      </c>
    </row>
    <row r="55" spans="1:22" x14ac:dyDescent="0.3">
      <c r="A55" s="8"/>
      <c r="B55" s="8"/>
      <c r="C55" s="8"/>
      <c r="D55" s="8"/>
      <c r="E55" s="13"/>
      <c r="F55" s="16"/>
      <c r="G55" s="8"/>
      <c r="H55" s="8"/>
      <c r="I55" s="8"/>
      <c r="J55" s="9"/>
      <c r="K55" s="9"/>
      <c r="L55" s="8"/>
      <c r="M55" s="16"/>
      <c r="N55" s="8"/>
      <c r="O55" s="8"/>
      <c r="P55" s="9"/>
      <c r="Q55" s="9"/>
      <c r="T55" s="8" t="s">
        <v>123</v>
      </c>
      <c r="U55" s="9">
        <f t="array" ref="U55">SUMPRODUCT((Tabla114[Nombre Equipo]=T55)*1,Tabla114[Valor Prev + IVA])</f>
        <v>0</v>
      </c>
    </row>
    <row r="56" spans="1:22" x14ac:dyDescent="0.3">
      <c r="A56" s="8"/>
      <c r="B56" s="8"/>
      <c r="C56" s="8"/>
      <c r="D56" s="8"/>
      <c r="E56" s="13"/>
      <c r="F56" s="16"/>
      <c r="G56" s="8"/>
      <c r="H56" s="8"/>
      <c r="I56" s="8"/>
      <c r="J56" s="9"/>
      <c r="K56" s="9"/>
      <c r="L56" s="8"/>
      <c r="M56" s="16"/>
      <c r="N56" s="8"/>
      <c r="O56" s="17"/>
      <c r="P56" s="9"/>
      <c r="Q56" s="9"/>
      <c r="T56" s="8" t="s">
        <v>526</v>
      </c>
      <c r="U56" s="9">
        <f t="array" ref="U56">SUMPRODUCT((Tabla114[Nombre Equipo]=T56)*1,Tabla114[Valor Prev + IVA])</f>
        <v>0</v>
      </c>
    </row>
    <row r="57" spans="1:22" x14ac:dyDescent="0.3">
      <c r="A57" s="8"/>
      <c r="B57" s="8"/>
      <c r="C57" s="8"/>
      <c r="D57" s="8"/>
      <c r="E57" s="13"/>
      <c r="F57" s="16"/>
      <c r="G57" s="8"/>
      <c r="H57" s="8"/>
      <c r="I57" s="8"/>
      <c r="J57" s="9"/>
      <c r="K57" s="9"/>
      <c r="L57" s="8"/>
      <c r="M57" s="16"/>
      <c r="N57" s="8"/>
      <c r="O57" s="17"/>
      <c r="P57" s="9"/>
      <c r="Q57" s="9"/>
      <c r="T57" s="8" t="s">
        <v>528</v>
      </c>
      <c r="U57" s="9">
        <f t="array" ref="U57">SUMPRODUCT((Tabla114[Nombre Equipo]=T57)*1,Tabla114[Valor Prev + IVA])</f>
        <v>0</v>
      </c>
    </row>
    <row r="58" spans="1:22" x14ac:dyDescent="0.3">
      <c r="A58" s="8"/>
      <c r="B58" s="8"/>
      <c r="C58" s="8"/>
      <c r="D58" s="8"/>
      <c r="E58" s="13"/>
      <c r="F58" s="16"/>
      <c r="G58" s="8"/>
      <c r="H58" s="8"/>
      <c r="I58" s="8"/>
      <c r="J58" s="9"/>
      <c r="K58" s="9"/>
      <c r="L58" s="8"/>
      <c r="M58" s="16"/>
      <c r="N58" s="8"/>
      <c r="O58" s="17"/>
      <c r="P58" s="9"/>
      <c r="Q58" s="9"/>
      <c r="T58" s="36" t="s">
        <v>527</v>
      </c>
      <c r="U58" s="9">
        <f t="array" ref="U58">SUMPRODUCT((Tabla114[Nombre Equipo]=T58)*1,Tabla114[Valor Prev + IVA])</f>
        <v>0</v>
      </c>
    </row>
    <row r="59" spans="1:22" x14ac:dyDescent="0.3">
      <c r="A59" s="8"/>
      <c r="B59" s="8"/>
      <c r="C59" s="8"/>
      <c r="D59" s="8"/>
      <c r="E59" s="13"/>
      <c r="F59" s="16"/>
      <c r="G59" s="8"/>
      <c r="H59" s="8"/>
      <c r="I59" s="8"/>
      <c r="J59" s="9"/>
      <c r="K59" s="9"/>
      <c r="L59" s="8"/>
      <c r="M59" s="16"/>
      <c r="N59" s="8"/>
      <c r="O59" s="17"/>
      <c r="P59" s="9"/>
      <c r="Q59" s="9"/>
      <c r="T59" s="37" t="s">
        <v>529</v>
      </c>
      <c r="U59" s="9">
        <f t="array" ref="U59">SUMPRODUCT((Tabla114[Nombre Equipo]=T59)*1,Tabla114[Valor Prev + IVA])</f>
        <v>0</v>
      </c>
    </row>
    <row r="60" spans="1:22" x14ac:dyDescent="0.3">
      <c r="A60" s="8"/>
      <c r="B60" s="8"/>
      <c r="C60" s="8"/>
      <c r="D60" s="8"/>
      <c r="E60" s="13"/>
      <c r="F60" s="16"/>
      <c r="G60" s="8"/>
      <c r="H60" s="8"/>
      <c r="I60" s="8"/>
      <c r="J60" s="9"/>
      <c r="K60" s="9"/>
      <c r="L60" s="8"/>
      <c r="M60" s="16"/>
      <c r="N60" s="8"/>
      <c r="O60" s="17"/>
      <c r="P60" s="9"/>
      <c r="Q60" s="9"/>
      <c r="T60" s="8" t="s">
        <v>122</v>
      </c>
      <c r="U60" s="9">
        <f t="array" ref="U60">SUMPRODUCT((Tabla114[Nombre Equipo]=T60)*1,Tabla114[Valor Prev + IVA])</f>
        <v>0</v>
      </c>
    </row>
    <row r="61" spans="1:22" x14ac:dyDescent="0.3">
      <c r="A61" s="8"/>
      <c r="B61" s="8"/>
      <c r="C61" s="8"/>
      <c r="D61" s="8"/>
      <c r="E61" s="13"/>
      <c r="F61" s="16"/>
      <c r="G61" s="8"/>
      <c r="H61" s="8"/>
      <c r="I61" s="8"/>
      <c r="J61" s="9"/>
      <c r="K61" s="9"/>
      <c r="L61" s="8"/>
      <c r="M61" s="16"/>
      <c r="N61" s="8"/>
      <c r="O61" s="17"/>
      <c r="P61" s="9"/>
      <c r="Q61" s="9"/>
      <c r="T61" s="8" t="s">
        <v>377</v>
      </c>
      <c r="U61" s="9">
        <f t="array" ref="U61">SUMPRODUCT((Tabla114[Nombre Equipo]=T61)*1,Tabla114[Valor Prev + IVA])</f>
        <v>0</v>
      </c>
    </row>
    <row r="62" spans="1:22" x14ac:dyDescent="0.3">
      <c r="A62" s="8"/>
      <c r="B62" s="8"/>
      <c r="C62" s="8"/>
      <c r="D62" s="8"/>
      <c r="E62" s="13"/>
      <c r="F62" s="16"/>
      <c r="G62" s="8"/>
      <c r="H62" s="8"/>
      <c r="I62" s="8"/>
      <c r="J62" s="9"/>
      <c r="K62" s="9"/>
      <c r="L62" s="8"/>
      <c r="M62" s="16"/>
      <c r="N62" s="8"/>
      <c r="O62" s="17"/>
      <c r="P62" s="9"/>
      <c r="Q62" s="9"/>
      <c r="T62" s="8" t="s">
        <v>390</v>
      </c>
      <c r="U62" s="9">
        <f t="array" ref="U62">SUMPRODUCT((Tabla114[Nombre Equipo]=T62)*1,Tabla114[Valor Prev + IVA])</f>
        <v>0</v>
      </c>
    </row>
    <row r="63" spans="1:22" x14ac:dyDescent="0.3">
      <c r="A63" s="8"/>
      <c r="B63" s="8"/>
      <c r="C63" s="8"/>
      <c r="D63" s="8"/>
      <c r="E63" s="13"/>
      <c r="F63" s="16"/>
      <c r="G63" s="8"/>
      <c r="H63" s="8"/>
      <c r="I63" s="8"/>
      <c r="J63" s="9"/>
      <c r="K63" s="9"/>
      <c r="L63" s="8"/>
      <c r="M63" s="16"/>
      <c r="N63" s="8"/>
      <c r="O63" s="17"/>
      <c r="P63" s="9"/>
      <c r="Q63" s="9"/>
      <c r="T63" s="8" t="s">
        <v>124</v>
      </c>
      <c r="U63" s="9">
        <f t="array" ref="U63">SUMPRODUCT((Tabla114[Nombre Equipo]=T63)*1,Tabla114[Valor Prev + IVA])</f>
        <v>0</v>
      </c>
    </row>
    <row r="64" spans="1:22" x14ac:dyDescent="0.3">
      <c r="A64" s="8"/>
      <c r="B64" s="8"/>
      <c r="C64" s="8"/>
      <c r="D64" s="8"/>
      <c r="E64" s="13"/>
      <c r="F64" s="16"/>
      <c r="G64" s="8"/>
      <c r="H64" s="8"/>
      <c r="I64" s="8"/>
      <c r="J64" s="9"/>
      <c r="K64" s="9"/>
      <c r="L64" s="8"/>
      <c r="M64" s="16"/>
      <c r="N64" s="8"/>
      <c r="O64" s="8"/>
      <c r="P64" s="9"/>
      <c r="Q64" s="9"/>
      <c r="T64" s="8" t="s">
        <v>302</v>
      </c>
      <c r="U64" s="9">
        <f t="array" ref="U64">SUMPRODUCT((Tabla114[Nombre Equipo]=T64)*1,Tabla114[Valor Prev + IVA])</f>
        <v>0</v>
      </c>
    </row>
    <row r="65" spans="1:21" x14ac:dyDescent="0.3">
      <c r="A65" s="8"/>
      <c r="B65" s="8"/>
      <c r="C65" s="8"/>
      <c r="D65" s="8"/>
      <c r="E65" s="13"/>
      <c r="F65" s="16"/>
      <c r="G65" s="8"/>
      <c r="H65" s="8"/>
      <c r="I65" s="8"/>
      <c r="J65" s="9"/>
      <c r="K65" s="9"/>
      <c r="L65" s="8"/>
      <c r="M65" s="16"/>
      <c r="N65" s="8"/>
      <c r="O65" s="8"/>
      <c r="P65" s="9"/>
      <c r="Q65" s="9"/>
      <c r="T65" s="8" t="s">
        <v>116</v>
      </c>
      <c r="U65" s="9">
        <f t="array" ref="U65">SUMPRODUCT((Tabla114[Nombre Equipo]=T65)*1,Tabla114[Valor Prev + IVA])</f>
        <v>0</v>
      </c>
    </row>
    <row r="66" spans="1:21" x14ac:dyDescent="0.3">
      <c r="A66" s="8"/>
      <c r="B66" s="8"/>
      <c r="C66" s="8"/>
      <c r="D66" s="8"/>
      <c r="E66" s="13"/>
      <c r="F66" s="16"/>
      <c r="G66" s="8"/>
      <c r="H66" s="8"/>
      <c r="I66" s="8"/>
      <c r="J66" s="9"/>
      <c r="K66" s="9"/>
      <c r="L66" s="8"/>
      <c r="M66" s="16"/>
      <c r="N66" s="8"/>
      <c r="O66" s="8"/>
      <c r="P66" s="9"/>
      <c r="Q66" s="9"/>
      <c r="T66" s="8" t="s">
        <v>114</v>
      </c>
      <c r="U66" s="9">
        <f t="array" ref="U66">SUMPRODUCT((Tabla114[Nombre Equipo]=T66)*1,Tabla114[Valor Prev + IVA])</f>
        <v>0</v>
      </c>
    </row>
    <row r="67" spans="1:21" x14ac:dyDescent="0.3">
      <c r="A67" s="8"/>
      <c r="B67" s="8"/>
      <c r="C67" s="8"/>
      <c r="D67" s="8"/>
      <c r="E67" s="13"/>
      <c r="F67" s="16"/>
      <c r="G67" s="8"/>
      <c r="H67" s="8"/>
      <c r="I67" s="8"/>
      <c r="J67" s="9"/>
      <c r="K67" s="9"/>
      <c r="L67" s="8"/>
      <c r="M67" s="16"/>
      <c r="N67" s="8"/>
      <c r="O67" s="8"/>
      <c r="P67" s="9"/>
      <c r="Q67" s="9"/>
      <c r="T67" s="8" t="s">
        <v>127</v>
      </c>
      <c r="U67" s="9">
        <f t="array" ref="U67">SUMPRODUCT((Tabla114[Nombre Equipo]=T67)*1,Tabla114[Valor Prev + IVA])</f>
        <v>0</v>
      </c>
    </row>
    <row r="68" spans="1:21" x14ac:dyDescent="0.3">
      <c r="A68" s="8"/>
      <c r="B68" s="8"/>
      <c r="C68" s="8"/>
      <c r="D68" s="8"/>
      <c r="E68" s="13"/>
      <c r="F68" s="16"/>
      <c r="G68" s="8"/>
      <c r="H68" s="8"/>
      <c r="I68" s="8"/>
      <c r="J68" s="9"/>
      <c r="K68" s="9"/>
      <c r="L68" s="8"/>
      <c r="M68" s="16"/>
      <c r="N68" s="8"/>
      <c r="O68" s="8"/>
      <c r="P68" s="9"/>
      <c r="Q68" s="9"/>
      <c r="T68" s="8" t="s">
        <v>421</v>
      </c>
      <c r="U68" s="9">
        <f t="array" ref="U68">SUMPRODUCT((Tabla114[Nombre Equipo]=T68)*1,Tabla114[Valor Prev + IVA])</f>
        <v>0</v>
      </c>
    </row>
    <row r="69" spans="1:21" x14ac:dyDescent="0.3">
      <c r="A69" s="8"/>
      <c r="B69" s="8"/>
      <c r="C69" s="8"/>
      <c r="D69" s="8"/>
      <c r="E69" s="13"/>
      <c r="F69" s="16"/>
      <c r="G69" s="8"/>
      <c r="H69" s="8"/>
      <c r="I69" s="8"/>
      <c r="J69" s="9"/>
      <c r="K69" s="9"/>
      <c r="L69" s="8"/>
      <c r="M69" s="16"/>
      <c r="N69" s="8"/>
      <c r="O69" s="8"/>
      <c r="P69" s="9"/>
      <c r="Q69" s="9"/>
      <c r="T69" s="8" t="s">
        <v>117</v>
      </c>
      <c r="U69" s="9">
        <f t="array" ref="U69">SUMPRODUCT((Tabla114[Nombre Equipo]=T69)*1,Tabla114[Valor Prev + IVA])</f>
        <v>0</v>
      </c>
    </row>
    <row r="70" spans="1:21" x14ac:dyDescent="0.3">
      <c r="A70" s="8"/>
      <c r="B70" s="8"/>
      <c r="C70" s="8"/>
      <c r="D70" s="8"/>
      <c r="E70" s="13"/>
      <c r="F70" s="16"/>
      <c r="G70" s="8"/>
      <c r="H70" s="8"/>
      <c r="I70" s="8"/>
      <c r="J70" s="9"/>
      <c r="K70" s="9"/>
      <c r="L70" s="8"/>
      <c r="M70" s="16"/>
      <c r="N70" s="8"/>
      <c r="O70" s="8"/>
      <c r="P70" s="9"/>
      <c r="Q70" s="9"/>
      <c r="T70" s="8" t="s">
        <v>118</v>
      </c>
      <c r="U70" s="9">
        <f t="array" ref="U70">SUMPRODUCT((Tabla114[Nombre Equipo]=T70)*1,Tabla114[Valor Prev + IVA])</f>
        <v>0</v>
      </c>
    </row>
    <row r="71" spans="1:21" x14ac:dyDescent="0.3">
      <c r="A71" s="8"/>
      <c r="B71" s="8"/>
      <c r="C71" s="8"/>
      <c r="D71" s="8"/>
      <c r="E71" s="13"/>
      <c r="F71" s="16"/>
      <c r="G71" s="8"/>
      <c r="H71" s="8"/>
      <c r="I71" s="8"/>
      <c r="J71" s="9"/>
      <c r="K71" s="9"/>
      <c r="L71" s="8"/>
      <c r="M71" s="16"/>
      <c r="N71" s="8"/>
      <c r="O71" s="8"/>
      <c r="P71" s="9"/>
      <c r="Q71" s="9"/>
      <c r="T71" s="8" t="s">
        <v>119</v>
      </c>
      <c r="U71" s="9">
        <f t="array" ref="U71">SUMPRODUCT((Tabla114[Nombre Equipo]=T71)*1,Tabla114[Valor Prev + IVA])</f>
        <v>0</v>
      </c>
    </row>
    <row r="72" spans="1:21" x14ac:dyDescent="0.3">
      <c r="A72" s="8"/>
      <c r="B72" s="8"/>
      <c r="C72" s="8"/>
      <c r="D72" s="8"/>
      <c r="E72" s="13"/>
      <c r="F72" s="16"/>
      <c r="G72" s="8"/>
      <c r="H72" s="8"/>
      <c r="I72" s="8"/>
      <c r="J72" s="9"/>
      <c r="K72" s="9"/>
      <c r="L72" s="8"/>
      <c r="M72" s="16"/>
      <c r="N72" s="8"/>
      <c r="O72" s="8"/>
      <c r="P72" s="9"/>
      <c r="Q72" s="9"/>
      <c r="T72" s="8" t="s">
        <v>428</v>
      </c>
      <c r="U72" s="9">
        <f t="array" ref="U72">SUMPRODUCT((Tabla114[Nombre Equipo]=T72)*1,Tabla114[Valor Prev + IVA])</f>
        <v>0</v>
      </c>
    </row>
    <row r="73" spans="1:21" x14ac:dyDescent="0.3">
      <c r="A73" s="8"/>
      <c r="B73" s="8"/>
      <c r="C73" s="8"/>
      <c r="D73" s="8"/>
      <c r="E73" s="13"/>
      <c r="F73" s="16"/>
      <c r="G73" s="8"/>
      <c r="H73" s="8"/>
      <c r="I73" s="8"/>
      <c r="J73" s="9"/>
      <c r="K73" s="9"/>
      <c r="L73" s="8"/>
      <c r="M73" s="16"/>
      <c r="N73" s="8"/>
      <c r="O73" s="8"/>
      <c r="P73" s="9"/>
      <c r="Q73" s="9"/>
      <c r="T73" s="8" t="s">
        <v>155</v>
      </c>
      <c r="U73" s="9">
        <f t="array" ref="U73">SUMPRODUCT((Tabla114[Nombre Equipo]=T73)*1,Tabla114[Valor Prev + IVA])</f>
        <v>0</v>
      </c>
    </row>
    <row r="74" spans="1:21" x14ac:dyDescent="0.3">
      <c r="A74" s="8"/>
      <c r="B74" s="8"/>
      <c r="C74" s="8"/>
      <c r="D74" s="8"/>
      <c r="E74" s="13"/>
      <c r="F74" s="16"/>
      <c r="G74" s="8"/>
      <c r="H74" s="8"/>
      <c r="I74" s="8"/>
      <c r="J74" s="9"/>
      <c r="K74" s="9"/>
      <c r="L74" s="8"/>
      <c r="M74" s="16"/>
      <c r="N74" s="8"/>
      <c r="O74" s="8"/>
      <c r="P74" s="9"/>
      <c r="Q74" s="9"/>
      <c r="T74" s="8" t="s">
        <v>411</v>
      </c>
      <c r="U74" s="9">
        <f t="array" ref="U74">SUMPRODUCT((Tabla114[Nombre Equipo]=T74)*1,Tabla114[Valor Prev + IVA])</f>
        <v>0</v>
      </c>
    </row>
    <row r="75" spans="1:21" x14ac:dyDescent="0.3">
      <c r="A75" s="8"/>
      <c r="B75" s="8"/>
      <c r="C75" s="8"/>
      <c r="D75" s="8"/>
      <c r="E75" s="13"/>
      <c r="F75" s="16"/>
      <c r="G75" s="8"/>
      <c r="H75" s="8"/>
      <c r="I75" s="8"/>
      <c r="J75" s="9"/>
      <c r="K75" s="9"/>
      <c r="L75" s="8"/>
      <c r="M75" s="16"/>
      <c r="N75" s="8"/>
      <c r="O75" s="8"/>
      <c r="P75" s="9"/>
      <c r="Q75" s="9"/>
      <c r="T75" s="8" t="s">
        <v>156</v>
      </c>
      <c r="U75" s="9">
        <f t="array" ref="U75">SUMPRODUCT((Tabla114[Nombre Equipo]=T75)*1,Tabla114[Valor Prev + IVA])</f>
        <v>0</v>
      </c>
    </row>
    <row r="76" spans="1:21" x14ac:dyDescent="0.3">
      <c r="A76" s="8"/>
      <c r="B76" s="8"/>
      <c r="C76" s="8"/>
      <c r="D76" s="8"/>
      <c r="E76" s="13"/>
      <c r="F76" s="16"/>
      <c r="G76" s="8"/>
      <c r="H76" s="8"/>
      <c r="I76" s="8"/>
      <c r="J76" s="9"/>
      <c r="K76" s="9"/>
      <c r="L76" s="8"/>
      <c r="M76" s="16"/>
      <c r="N76" s="8"/>
      <c r="O76" s="8"/>
      <c r="P76" s="9"/>
      <c r="Q76" s="9"/>
      <c r="T76" s="8" t="s">
        <v>115</v>
      </c>
      <c r="U76" s="9">
        <f t="array" ref="U76">SUMPRODUCT((Tabla114[Nombre Equipo]=T76)*1,Tabla114[Valor Prev + IVA])</f>
        <v>0</v>
      </c>
    </row>
    <row r="77" spans="1:21" x14ac:dyDescent="0.3">
      <c r="A77" s="8"/>
      <c r="B77" s="8"/>
      <c r="C77" s="8"/>
      <c r="D77" s="8"/>
      <c r="E77" s="13"/>
      <c r="F77" s="16"/>
      <c r="G77" s="8"/>
      <c r="H77" s="8"/>
      <c r="I77" s="8"/>
      <c r="J77" s="9"/>
      <c r="K77" s="9"/>
      <c r="L77" s="8"/>
      <c r="M77" s="16"/>
      <c r="N77" s="8"/>
      <c r="O77" s="8"/>
      <c r="P77" s="9"/>
      <c r="Q77" s="9"/>
      <c r="T77" s="8" t="s">
        <v>300</v>
      </c>
      <c r="U77" s="9">
        <f t="array" ref="U77">SUMPRODUCT((Tabla114[Nombre Equipo]=T77)*1,Tabla114[Valor Prev + IVA])</f>
        <v>0</v>
      </c>
    </row>
    <row r="78" spans="1:21" x14ac:dyDescent="0.3">
      <c r="A78" s="8"/>
      <c r="B78" s="8"/>
      <c r="C78" s="8"/>
      <c r="D78" s="8"/>
      <c r="E78" s="13"/>
      <c r="F78" s="16"/>
      <c r="G78" s="8"/>
      <c r="H78" s="8"/>
      <c r="I78" s="8"/>
      <c r="J78" s="9"/>
      <c r="K78" s="9"/>
      <c r="L78" s="8"/>
      <c r="M78" s="16"/>
      <c r="N78" s="8"/>
      <c r="O78" s="8"/>
      <c r="P78" s="9"/>
      <c r="Q78" s="9"/>
      <c r="T78" s="8" t="s">
        <v>125</v>
      </c>
      <c r="U78" s="9">
        <f t="array" ref="U78">SUMPRODUCT((Tabla114[Nombre Equipo]=T78)*1,Tabla114[Valor Prev + IVA])</f>
        <v>0</v>
      </c>
    </row>
    <row r="79" spans="1:21" x14ac:dyDescent="0.3">
      <c r="A79" s="8"/>
      <c r="B79" s="8"/>
      <c r="C79" s="8"/>
      <c r="D79" s="8"/>
      <c r="E79" s="13"/>
      <c r="F79" s="16"/>
      <c r="G79" s="8"/>
      <c r="H79" s="8"/>
      <c r="I79" s="8"/>
      <c r="J79" s="9"/>
      <c r="K79" s="9"/>
      <c r="L79" s="8"/>
      <c r="M79" s="16"/>
      <c r="N79" s="8"/>
      <c r="O79" s="8"/>
      <c r="P79" s="9"/>
      <c r="Q79" s="9"/>
      <c r="T79" s="8" t="s">
        <v>149</v>
      </c>
      <c r="U79" s="9">
        <f t="array" ref="U79">SUMPRODUCT((Tabla114[Nombre Equipo]=T79)*1,Tabla114[Valor Prev + IVA])</f>
        <v>0</v>
      </c>
    </row>
    <row r="80" spans="1:21" x14ac:dyDescent="0.3">
      <c r="A80" s="8"/>
      <c r="B80" s="8"/>
      <c r="C80" s="8"/>
      <c r="D80" s="8"/>
      <c r="E80" s="13"/>
      <c r="F80" s="16"/>
      <c r="G80" s="8"/>
      <c r="H80" s="8"/>
      <c r="I80" s="8"/>
      <c r="J80" s="9"/>
      <c r="K80" s="9"/>
      <c r="L80" s="8"/>
      <c r="M80" s="16"/>
      <c r="N80" s="8"/>
      <c r="O80" s="8"/>
      <c r="P80" s="9"/>
      <c r="Q80" s="9"/>
      <c r="T80" s="8" t="s">
        <v>431</v>
      </c>
      <c r="U80" s="9">
        <f t="array" ref="U80">SUMPRODUCT((Tabla114[Nombre Equipo]=T80)*1,Tabla114[Valor Prev + IVA])</f>
        <v>0</v>
      </c>
    </row>
    <row r="81" spans="1:22" x14ac:dyDescent="0.3">
      <c r="A81" s="8"/>
      <c r="B81" s="8"/>
      <c r="C81" s="8"/>
      <c r="D81" s="8"/>
      <c r="E81" s="13"/>
      <c r="F81" s="16"/>
      <c r="G81" s="8"/>
      <c r="H81" s="8"/>
      <c r="I81" s="8"/>
      <c r="J81" s="9"/>
      <c r="K81" s="9"/>
      <c r="L81" s="8"/>
      <c r="M81" s="16"/>
      <c r="N81" s="8"/>
      <c r="O81" s="8"/>
      <c r="P81" s="9"/>
      <c r="Q81" s="9"/>
      <c r="T81" s="8" t="s">
        <v>389</v>
      </c>
      <c r="U81" s="9">
        <f t="array" ref="U81">SUMPRODUCT((Tabla114[Nombre Equipo]=T81)*1,Tabla114[Valor Prev + IVA])</f>
        <v>0</v>
      </c>
    </row>
    <row r="82" spans="1:22" x14ac:dyDescent="0.3">
      <c r="A82" s="8"/>
      <c r="B82" s="8"/>
      <c r="C82" s="8"/>
      <c r="D82" s="8"/>
      <c r="E82" s="13"/>
      <c r="F82" s="16"/>
      <c r="G82" s="8"/>
      <c r="H82" s="8"/>
      <c r="I82" s="8"/>
      <c r="J82" s="9"/>
      <c r="K82" s="9"/>
      <c r="L82" s="8"/>
      <c r="M82" s="16"/>
      <c r="N82" s="8"/>
      <c r="O82" s="8"/>
      <c r="P82" s="9"/>
      <c r="Q82" s="9"/>
      <c r="T82" s="42" t="s">
        <v>573</v>
      </c>
      <c r="U82" s="43">
        <f>SUM(U53:U81)</f>
        <v>0</v>
      </c>
    </row>
    <row r="83" spans="1:22" x14ac:dyDescent="0.3">
      <c r="A83" s="8"/>
      <c r="B83" s="8"/>
      <c r="C83" s="8"/>
      <c r="D83" s="8"/>
      <c r="E83" s="13"/>
      <c r="F83" s="16"/>
      <c r="G83" s="8"/>
      <c r="H83" s="8"/>
      <c r="I83" s="8"/>
      <c r="J83" s="9"/>
      <c r="K83" s="9"/>
      <c r="L83" s="8"/>
      <c r="M83" s="16"/>
      <c r="N83" s="8"/>
      <c r="O83" s="8"/>
      <c r="P83" s="9"/>
      <c r="Q83" s="9"/>
    </row>
    <row r="84" spans="1:22" x14ac:dyDescent="0.3">
      <c r="A84" s="8"/>
      <c r="B84" s="8"/>
      <c r="C84" s="8"/>
      <c r="D84" s="8"/>
      <c r="E84" s="13"/>
      <c r="F84" s="16"/>
      <c r="G84" s="8"/>
      <c r="H84" s="8"/>
      <c r="I84" s="8"/>
      <c r="J84" s="9"/>
      <c r="K84" s="9"/>
      <c r="L84" s="8"/>
      <c r="M84" s="16"/>
      <c r="N84" s="8"/>
      <c r="O84" s="8"/>
      <c r="P84" s="9"/>
      <c r="Q84" s="9"/>
      <c r="U84" s="33"/>
      <c r="V84" s="33"/>
    </row>
    <row r="85" spans="1:22" ht="13.95" customHeight="1" x14ac:dyDescent="0.3">
      <c r="A85" s="8"/>
      <c r="B85" s="8"/>
      <c r="C85" s="8"/>
      <c r="D85" s="8"/>
      <c r="E85" s="13"/>
      <c r="F85" s="16"/>
      <c r="G85" s="8"/>
      <c r="H85" s="8"/>
      <c r="I85" s="8"/>
      <c r="J85" s="9"/>
      <c r="K85" s="9"/>
      <c r="L85" s="8"/>
      <c r="M85" s="16"/>
      <c r="N85" s="8"/>
      <c r="O85" s="8"/>
      <c r="P85" s="9"/>
      <c r="Q85" s="9"/>
      <c r="S85" s="140" t="s">
        <v>655</v>
      </c>
      <c r="T85" s="140"/>
      <c r="U85" s="140"/>
      <c r="V85" s="140"/>
    </row>
    <row r="86" spans="1:22" ht="13.95" customHeight="1" thickBot="1" x14ac:dyDescent="0.35">
      <c r="A86" s="8"/>
      <c r="B86" s="8"/>
      <c r="C86" s="8"/>
      <c r="D86" s="8"/>
      <c r="E86" s="13"/>
      <c r="F86" s="16"/>
      <c r="G86" s="8"/>
      <c r="H86" s="8"/>
      <c r="I86" s="8"/>
      <c r="J86" s="9"/>
      <c r="K86" s="9"/>
      <c r="L86" s="8"/>
      <c r="M86" s="16"/>
      <c r="N86" s="8"/>
      <c r="O86" s="8"/>
      <c r="P86" s="9"/>
      <c r="Q86" s="9"/>
      <c r="S86" s="141"/>
      <c r="T86" s="141"/>
      <c r="U86" s="141"/>
      <c r="V86" s="141"/>
    </row>
    <row r="87" spans="1:22" ht="14.4" thickTop="1" x14ac:dyDescent="0.3">
      <c r="A87" s="8"/>
      <c r="B87" s="8"/>
      <c r="C87" s="8"/>
      <c r="D87" s="8"/>
      <c r="E87" s="13"/>
      <c r="F87" s="16"/>
      <c r="G87" s="8"/>
      <c r="H87" s="8"/>
      <c r="I87" s="8"/>
      <c r="J87" s="9"/>
      <c r="K87" s="9"/>
      <c r="L87" s="8"/>
      <c r="M87" s="16"/>
      <c r="N87" s="8"/>
      <c r="O87" s="8"/>
      <c r="P87" s="9"/>
      <c r="Q87" s="9"/>
    </row>
    <row r="88" spans="1:22" x14ac:dyDescent="0.3">
      <c r="A88" s="8"/>
      <c r="B88" s="8"/>
      <c r="C88" s="8"/>
      <c r="D88" s="8"/>
      <c r="E88" s="13"/>
      <c r="F88" s="16"/>
      <c r="G88" s="8"/>
      <c r="H88" s="8"/>
      <c r="I88" s="8"/>
      <c r="J88" s="9"/>
      <c r="K88" s="9"/>
      <c r="L88" s="8"/>
      <c r="M88" s="16"/>
      <c r="N88" s="8"/>
      <c r="O88" s="8"/>
      <c r="P88" s="9"/>
      <c r="Q88" s="9"/>
      <c r="S88" s="35" t="s">
        <v>8</v>
      </c>
      <c r="T88" s="35" t="s">
        <v>653</v>
      </c>
      <c r="U88" s="35" t="s">
        <v>654</v>
      </c>
      <c r="V88" s="35" t="s">
        <v>572</v>
      </c>
    </row>
    <row r="89" spans="1:22" x14ac:dyDescent="0.3">
      <c r="A89" s="8"/>
      <c r="B89" s="8"/>
      <c r="C89" s="8"/>
      <c r="D89" s="8"/>
      <c r="E89" s="13"/>
      <c r="F89" s="16"/>
      <c r="G89" s="8"/>
      <c r="H89" s="8"/>
      <c r="I89" s="8"/>
      <c r="J89" s="9"/>
      <c r="K89" s="9"/>
      <c r="L89" s="8"/>
      <c r="M89" s="16"/>
      <c r="N89" s="8"/>
      <c r="O89" s="8"/>
      <c r="P89" s="9"/>
      <c r="Q89" s="9"/>
      <c r="S89" s="8" t="s">
        <v>18</v>
      </c>
      <c r="T89" s="9" cm="1">
        <f t="array" ref="T89">SUMPRODUCT((Tabla114[[Sede ]]=S89)*1,$K$4:$K$281)</f>
        <v>0</v>
      </c>
      <c r="U89" s="9" cm="1">
        <f t="array" ref="U89">SUMPRODUCT((Tabla114[[Sede ]]=S89)*1,Tabla114[Valor Prev + IVA])</f>
        <v>0</v>
      </c>
      <c r="V89" s="125">
        <f>T89+U89</f>
        <v>0</v>
      </c>
    </row>
    <row r="90" spans="1:22" x14ac:dyDescent="0.3">
      <c r="A90" s="8"/>
      <c r="B90" s="8"/>
      <c r="C90" s="8"/>
      <c r="D90" s="8"/>
      <c r="E90" s="13"/>
      <c r="F90" s="16"/>
      <c r="G90" s="8"/>
      <c r="H90" s="8"/>
      <c r="I90" s="8"/>
      <c r="J90" s="9"/>
      <c r="K90" s="9"/>
      <c r="L90" s="8"/>
      <c r="M90" s="16"/>
      <c r="N90" s="8"/>
      <c r="O90" s="8"/>
      <c r="P90" s="9"/>
      <c r="Q90" s="9"/>
      <c r="S90" s="8" t="s">
        <v>19</v>
      </c>
      <c r="T90" s="9" cm="1">
        <f t="array" ref="T90">SUMPRODUCT((Tabla114[[Sede ]]=S90)*1,$K$4:$K$281)</f>
        <v>0</v>
      </c>
      <c r="U90" s="9" cm="1">
        <f t="array" ref="U90">SUMPRODUCT((Tabla114[[Sede ]]=S90)*1,Tabla114[Valor Prev + IVA])</f>
        <v>0</v>
      </c>
      <c r="V90" s="125">
        <f>T90+U90</f>
        <v>0</v>
      </c>
    </row>
    <row r="91" spans="1:22" x14ac:dyDescent="0.3">
      <c r="A91" s="8"/>
      <c r="B91" s="8"/>
      <c r="C91" s="8"/>
      <c r="D91" s="8"/>
      <c r="E91" s="13"/>
      <c r="F91" s="16"/>
      <c r="G91" s="8"/>
      <c r="H91" s="8"/>
      <c r="I91" s="8"/>
      <c r="J91" s="9"/>
      <c r="K91" s="9"/>
      <c r="L91" s="8"/>
      <c r="M91" s="16"/>
      <c r="N91" s="8"/>
      <c r="O91" s="8"/>
      <c r="P91" s="9"/>
      <c r="Q91" s="9"/>
      <c r="S91" s="8" t="s">
        <v>21</v>
      </c>
      <c r="T91" s="9" cm="1">
        <f t="array" ref="T91">SUMPRODUCT((Tabla114[[Sede ]]=S91)*1,$K$4:$K$281)</f>
        <v>0</v>
      </c>
      <c r="U91" s="9" cm="1">
        <f t="array" ref="U91">SUMPRODUCT((Tabla114[[Sede ]]=S91)*1,Tabla114[Valor Prev + IVA])</f>
        <v>0</v>
      </c>
      <c r="V91" s="125">
        <f t="shared" ref="V91:V117" si="0">T91+U91</f>
        <v>0</v>
      </c>
    </row>
    <row r="92" spans="1:22" x14ac:dyDescent="0.3">
      <c r="A92" s="8"/>
      <c r="B92" s="8"/>
      <c r="C92" s="8"/>
      <c r="D92" s="8"/>
      <c r="E92" s="13"/>
      <c r="F92" s="16"/>
      <c r="G92" s="8"/>
      <c r="H92" s="8"/>
      <c r="I92" s="8"/>
      <c r="J92" s="9"/>
      <c r="K92" s="9"/>
      <c r="L92" s="8"/>
      <c r="M92" s="16"/>
      <c r="N92" s="8"/>
      <c r="O92" s="8"/>
      <c r="P92" s="9"/>
      <c r="Q92" s="9"/>
      <c r="S92" s="8" t="s">
        <v>22</v>
      </c>
      <c r="T92" s="9" cm="1">
        <f t="array" ref="T92">SUMPRODUCT((Tabla114[[Sede ]]=S92)*1,$K$4:$K$281)</f>
        <v>0</v>
      </c>
      <c r="U92" s="9" cm="1">
        <f t="array" ref="U92">SUMPRODUCT((Tabla114[[Sede ]]=S92)*1,Tabla114[Valor Prev + IVA])</f>
        <v>0</v>
      </c>
      <c r="V92" s="125">
        <f t="shared" si="0"/>
        <v>0</v>
      </c>
    </row>
    <row r="93" spans="1:22" x14ac:dyDescent="0.3">
      <c r="A93" s="8"/>
      <c r="B93" s="8"/>
      <c r="C93" s="8"/>
      <c r="D93" s="8"/>
      <c r="E93" s="13"/>
      <c r="F93" s="16"/>
      <c r="G93" s="8"/>
      <c r="H93" s="8"/>
      <c r="I93" s="8"/>
      <c r="J93" s="9"/>
      <c r="K93" s="9"/>
      <c r="L93" s="8"/>
      <c r="M93" s="16"/>
      <c r="N93" s="8"/>
      <c r="O93" s="8"/>
      <c r="P93" s="9"/>
      <c r="Q93" s="9"/>
      <c r="S93" s="8" t="s">
        <v>25</v>
      </c>
      <c r="T93" s="9" cm="1">
        <f t="array" ref="T93">SUMPRODUCT((Tabla114[[Sede ]]=S93)*1,$K$4:$K$281)</f>
        <v>0</v>
      </c>
      <c r="U93" s="9" cm="1">
        <f t="array" ref="U93">SUMPRODUCT((Tabla114[[Sede ]]=S93)*1,Tabla114[Valor Prev + IVA])</f>
        <v>0</v>
      </c>
      <c r="V93" s="125">
        <f t="shared" si="0"/>
        <v>0</v>
      </c>
    </row>
    <row r="94" spans="1:22" x14ac:dyDescent="0.3">
      <c r="A94" s="8"/>
      <c r="B94" s="8"/>
      <c r="C94" s="8"/>
      <c r="D94" s="8"/>
      <c r="E94" s="13"/>
      <c r="F94" s="16"/>
      <c r="G94" s="8"/>
      <c r="H94" s="8"/>
      <c r="I94" s="8"/>
      <c r="J94" s="9"/>
      <c r="K94" s="9"/>
      <c r="L94" s="8"/>
      <c r="M94" s="16"/>
      <c r="N94" s="8"/>
      <c r="O94" s="8"/>
      <c r="P94" s="9"/>
      <c r="Q94" s="9"/>
      <c r="S94" s="8" t="s">
        <v>28</v>
      </c>
      <c r="T94" s="9" cm="1">
        <f t="array" ref="T94">SUMPRODUCT((Tabla114[[Sede ]]=S94)*1,$K$4:$K$281)</f>
        <v>0</v>
      </c>
      <c r="U94" s="9" cm="1">
        <f t="array" ref="U94">SUMPRODUCT((Tabla114[[Sede ]]=S94)*1,Tabla114[Valor Prev + IVA])</f>
        <v>0</v>
      </c>
      <c r="V94" s="125">
        <f t="shared" si="0"/>
        <v>0</v>
      </c>
    </row>
    <row r="95" spans="1:22" x14ac:dyDescent="0.3">
      <c r="A95" s="8"/>
      <c r="B95" s="8"/>
      <c r="C95" s="8"/>
      <c r="D95" s="8"/>
      <c r="E95" s="13"/>
      <c r="F95" s="16"/>
      <c r="G95" s="8"/>
      <c r="H95" s="8"/>
      <c r="I95" s="8"/>
      <c r="J95" s="9"/>
      <c r="K95" s="9"/>
      <c r="L95" s="8"/>
      <c r="M95" s="16"/>
      <c r="N95" s="8"/>
      <c r="O95" s="8"/>
      <c r="P95" s="9"/>
      <c r="Q95" s="9"/>
      <c r="S95" s="8" t="s">
        <v>29</v>
      </c>
      <c r="T95" s="9" cm="1">
        <f t="array" ref="T95">SUMPRODUCT((Tabla114[[Sede ]]=S95)*1,$K$4:$K$281)</f>
        <v>0</v>
      </c>
      <c r="U95" s="9" cm="1">
        <f t="array" ref="U95">SUMPRODUCT((Tabla114[[Sede ]]=S95)*1,Tabla114[Valor Prev + IVA])</f>
        <v>0</v>
      </c>
      <c r="V95" s="125">
        <f t="shared" si="0"/>
        <v>0</v>
      </c>
    </row>
    <row r="96" spans="1:22" x14ac:dyDescent="0.3">
      <c r="A96" s="8"/>
      <c r="B96" s="8"/>
      <c r="C96" s="8"/>
      <c r="D96" s="8"/>
      <c r="E96" s="13"/>
      <c r="F96" s="16"/>
      <c r="G96" s="8"/>
      <c r="H96" s="8"/>
      <c r="I96" s="8"/>
      <c r="J96" s="9"/>
      <c r="K96" s="9"/>
      <c r="L96" s="8"/>
      <c r="M96" s="16"/>
      <c r="N96" s="8"/>
      <c r="O96" s="8"/>
      <c r="P96" s="9"/>
      <c r="Q96" s="9"/>
      <c r="S96" s="8" t="s">
        <v>30</v>
      </c>
      <c r="T96" s="9" cm="1">
        <f t="array" ref="T96">SUMPRODUCT((Tabla114[[Sede ]]=S96)*1,$K$4:$K$281)</f>
        <v>0</v>
      </c>
      <c r="U96" s="9" cm="1">
        <f t="array" ref="U96">SUMPRODUCT((Tabla114[[Sede ]]=S96)*1,Tabla114[Valor Prev + IVA])</f>
        <v>0</v>
      </c>
      <c r="V96" s="125">
        <f t="shared" si="0"/>
        <v>0</v>
      </c>
    </row>
    <row r="97" spans="1:22" x14ac:dyDescent="0.3">
      <c r="A97" s="8"/>
      <c r="B97" s="8"/>
      <c r="C97" s="8"/>
      <c r="D97" s="8"/>
      <c r="E97" s="13"/>
      <c r="F97" s="16"/>
      <c r="G97" s="8"/>
      <c r="H97" s="8"/>
      <c r="I97" s="8"/>
      <c r="J97" s="9"/>
      <c r="K97" s="9"/>
      <c r="L97" s="8"/>
      <c r="M97" s="16"/>
      <c r="N97" s="8"/>
      <c r="O97" s="8"/>
      <c r="P97" s="9"/>
      <c r="Q97" s="9"/>
      <c r="S97" s="8" t="s">
        <v>32</v>
      </c>
      <c r="T97" s="9" cm="1">
        <f t="array" ref="T97">SUMPRODUCT((Tabla114[[Sede ]]=S97)*1,$K$4:$K$281)</f>
        <v>0</v>
      </c>
      <c r="U97" s="9" cm="1">
        <f t="array" ref="U97">SUMPRODUCT((Tabla114[[Sede ]]=S97)*1,Tabla114[Valor Prev + IVA])</f>
        <v>0</v>
      </c>
      <c r="V97" s="125">
        <f t="shared" si="0"/>
        <v>0</v>
      </c>
    </row>
    <row r="98" spans="1:22" x14ac:dyDescent="0.3">
      <c r="A98" s="8"/>
      <c r="B98" s="8"/>
      <c r="C98" s="8"/>
      <c r="D98" s="8"/>
      <c r="E98" s="13"/>
      <c r="F98" s="16"/>
      <c r="G98" s="8"/>
      <c r="H98" s="8"/>
      <c r="I98" s="8"/>
      <c r="J98" s="9"/>
      <c r="K98" s="9"/>
      <c r="L98" s="8"/>
      <c r="M98" s="16"/>
      <c r="N98" s="8"/>
      <c r="O98" s="8"/>
      <c r="P98" s="9"/>
      <c r="Q98" s="9"/>
      <c r="S98" s="8" t="s">
        <v>35</v>
      </c>
      <c r="T98" s="9" cm="1">
        <f t="array" ref="T98">SUMPRODUCT((Tabla114[[Sede ]]=S98)*1,$K$4:$K$281)</f>
        <v>0</v>
      </c>
      <c r="U98" s="9" cm="1">
        <f t="array" ref="U98">SUMPRODUCT((Tabla114[[Sede ]]=S98)*1,Tabla114[Valor Prev + IVA])</f>
        <v>0</v>
      </c>
      <c r="V98" s="125">
        <f t="shared" si="0"/>
        <v>0</v>
      </c>
    </row>
    <row r="99" spans="1:22" x14ac:dyDescent="0.3">
      <c r="A99" s="8"/>
      <c r="B99" s="8"/>
      <c r="C99" s="8"/>
      <c r="D99" s="8"/>
      <c r="E99" s="13"/>
      <c r="F99" s="16"/>
      <c r="G99" s="8"/>
      <c r="H99" s="8"/>
      <c r="I99" s="8"/>
      <c r="J99" s="9"/>
      <c r="K99" s="9"/>
      <c r="L99" s="8"/>
      <c r="M99" s="16"/>
      <c r="N99" s="8"/>
      <c r="O99" s="8"/>
      <c r="P99" s="9"/>
      <c r="Q99" s="9"/>
      <c r="S99" s="8" t="s">
        <v>36</v>
      </c>
      <c r="T99" s="9" cm="1">
        <f t="array" ref="T99">SUMPRODUCT((Tabla114[[Sede ]]=S99)*1,$K$4:$K$281)</f>
        <v>0</v>
      </c>
      <c r="U99" s="9" cm="1">
        <f t="array" ref="U99">SUMPRODUCT((Tabla114[[Sede ]]=S99)*1,Tabla114[Valor Prev + IVA])</f>
        <v>0</v>
      </c>
      <c r="V99" s="125">
        <f t="shared" si="0"/>
        <v>0</v>
      </c>
    </row>
    <row r="100" spans="1:22" x14ac:dyDescent="0.3">
      <c r="A100" s="8"/>
      <c r="B100" s="8"/>
      <c r="C100" s="8"/>
      <c r="D100" s="8"/>
      <c r="E100" s="13"/>
      <c r="F100" s="16"/>
      <c r="G100" s="8"/>
      <c r="H100" s="8"/>
      <c r="I100" s="8"/>
      <c r="J100" s="9"/>
      <c r="K100" s="9"/>
      <c r="L100" s="8"/>
      <c r="M100" s="16"/>
      <c r="N100" s="8"/>
      <c r="O100" s="8"/>
      <c r="P100" s="9"/>
      <c r="Q100" s="9"/>
      <c r="S100" s="8" t="s">
        <v>37</v>
      </c>
      <c r="T100" s="9" cm="1">
        <f t="array" ref="T100">SUMPRODUCT((Tabla114[[Sede ]]=S100)*1,$K$4:$K$281)</f>
        <v>0</v>
      </c>
      <c r="U100" s="9" cm="1">
        <f t="array" ref="U100">SUMPRODUCT((Tabla114[[Sede ]]=S100)*1,Tabla114[Valor Prev + IVA])</f>
        <v>0</v>
      </c>
      <c r="V100" s="125">
        <f t="shared" si="0"/>
        <v>0</v>
      </c>
    </row>
    <row r="101" spans="1:22" x14ac:dyDescent="0.3">
      <c r="A101" s="8"/>
      <c r="B101" s="8"/>
      <c r="C101" s="8"/>
      <c r="D101" s="8"/>
      <c r="E101" s="13"/>
      <c r="F101" s="16"/>
      <c r="G101" s="8"/>
      <c r="H101" s="8"/>
      <c r="I101" s="8"/>
      <c r="J101" s="9"/>
      <c r="K101" s="9"/>
      <c r="L101" s="8"/>
      <c r="M101" s="16"/>
      <c r="N101" s="8"/>
      <c r="O101" s="8"/>
      <c r="P101" s="9"/>
      <c r="Q101" s="9"/>
      <c r="S101" s="8" t="s">
        <v>38</v>
      </c>
      <c r="T101" s="9" cm="1">
        <f t="array" ref="T101">SUMPRODUCT((Tabla114[[Sede ]]=S101)*1,$K$4:$K$281)</f>
        <v>0</v>
      </c>
      <c r="U101" s="9" cm="1">
        <f t="array" ref="U101">SUMPRODUCT((Tabla114[[Sede ]]=S101)*1,Tabla114[Valor Prev + IVA])</f>
        <v>0</v>
      </c>
      <c r="V101" s="125">
        <f t="shared" si="0"/>
        <v>0</v>
      </c>
    </row>
    <row r="102" spans="1:22" x14ac:dyDescent="0.3">
      <c r="A102" s="8"/>
      <c r="B102" s="8"/>
      <c r="C102" s="8"/>
      <c r="D102" s="8"/>
      <c r="E102" s="13"/>
      <c r="F102" s="16"/>
      <c r="G102" s="8"/>
      <c r="H102" s="8"/>
      <c r="I102" s="8"/>
      <c r="J102" s="9"/>
      <c r="K102" s="9"/>
      <c r="L102" s="8"/>
      <c r="M102" s="16"/>
      <c r="N102" s="8"/>
      <c r="O102" s="8"/>
      <c r="P102" s="9"/>
      <c r="Q102" s="9"/>
      <c r="S102" s="8" t="s">
        <v>41</v>
      </c>
      <c r="T102" s="9" cm="1">
        <f t="array" ref="T102">SUMPRODUCT((Tabla114[[Sede ]]=S102)*1,$K$4:$K$281)</f>
        <v>0</v>
      </c>
      <c r="U102" s="9" cm="1">
        <f t="array" ref="U102">SUMPRODUCT((Tabla114[[Sede ]]=S102)*1,Tabla114[Valor Prev + IVA])</f>
        <v>0</v>
      </c>
      <c r="V102" s="125">
        <f t="shared" si="0"/>
        <v>0</v>
      </c>
    </row>
    <row r="103" spans="1:22" x14ac:dyDescent="0.3">
      <c r="A103" s="8"/>
      <c r="B103" s="8"/>
      <c r="C103" s="8"/>
      <c r="D103" s="8"/>
      <c r="E103" s="13"/>
      <c r="F103" s="16"/>
      <c r="G103" s="8"/>
      <c r="H103" s="8"/>
      <c r="I103" s="8"/>
      <c r="J103" s="9"/>
      <c r="K103" s="9"/>
      <c r="L103" s="8"/>
      <c r="M103" s="16"/>
      <c r="N103" s="8"/>
      <c r="O103" s="8"/>
      <c r="P103" s="9"/>
      <c r="Q103" s="9"/>
      <c r="S103" s="8" t="s">
        <v>42</v>
      </c>
      <c r="T103" s="9" cm="1">
        <f t="array" ref="T103">SUMPRODUCT((Tabla114[[Sede ]]=S103)*1,$K$4:$K$281)</f>
        <v>0</v>
      </c>
      <c r="U103" s="9" cm="1">
        <f t="array" ref="U103">SUMPRODUCT((Tabla114[[Sede ]]=S103)*1,Tabla114[Valor Prev + IVA])</f>
        <v>0</v>
      </c>
      <c r="V103" s="125">
        <f t="shared" si="0"/>
        <v>0</v>
      </c>
    </row>
    <row r="104" spans="1:22" x14ac:dyDescent="0.3">
      <c r="A104" s="8"/>
      <c r="B104" s="8"/>
      <c r="C104" s="8"/>
      <c r="D104" s="8"/>
      <c r="E104" s="13"/>
      <c r="F104" s="16"/>
      <c r="G104" s="8"/>
      <c r="H104" s="8"/>
      <c r="I104" s="8"/>
      <c r="J104" s="9"/>
      <c r="K104" s="9"/>
      <c r="L104" s="8"/>
      <c r="M104" s="16"/>
      <c r="N104" s="8"/>
      <c r="O104" s="8"/>
      <c r="P104" s="9"/>
      <c r="Q104" s="9"/>
      <c r="S104" s="8" t="s">
        <v>43</v>
      </c>
      <c r="T104" s="9" cm="1">
        <f t="array" ref="T104">SUMPRODUCT((Tabla114[[Sede ]]=S104)*1,$K$4:$K$281)</f>
        <v>0</v>
      </c>
      <c r="U104" s="9" cm="1">
        <f t="array" ref="U104">SUMPRODUCT((Tabla114[[Sede ]]=S104)*1,Tabla114[Valor Prev + IVA])</f>
        <v>0</v>
      </c>
      <c r="V104" s="125">
        <f t="shared" si="0"/>
        <v>0</v>
      </c>
    </row>
    <row r="105" spans="1:22" x14ac:dyDescent="0.3">
      <c r="A105" s="8"/>
      <c r="B105" s="8"/>
      <c r="C105" s="8"/>
      <c r="D105" s="8"/>
      <c r="E105" s="13"/>
      <c r="F105" s="16"/>
      <c r="G105" s="8"/>
      <c r="H105" s="8"/>
      <c r="I105" s="8"/>
      <c r="J105" s="12"/>
      <c r="K105" s="12"/>
      <c r="L105" s="8"/>
      <c r="M105" s="16"/>
      <c r="N105" s="8"/>
      <c r="O105" s="8"/>
      <c r="P105" s="12"/>
      <c r="Q105" s="12"/>
      <c r="S105" s="8" t="s">
        <v>45</v>
      </c>
      <c r="T105" s="9" cm="1">
        <f t="array" ref="T105">SUMPRODUCT((Tabla114[[Sede ]]=S105)*1,$K$4:$K$281)</f>
        <v>0</v>
      </c>
      <c r="U105" s="9" cm="1">
        <f t="array" ref="U105">SUMPRODUCT((Tabla114[[Sede ]]=S105)*1,Tabla114[Valor Prev + IVA])</f>
        <v>0</v>
      </c>
      <c r="V105" s="125">
        <f t="shared" si="0"/>
        <v>0</v>
      </c>
    </row>
    <row r="106" spans="1:22" x14ac:dyDescent="0.3">
      <c r="A106" s="8"/>
      <c r="B106" s="8"/>
      <c r="C106" s="8"/>
      <c r="D106" s="8"/>
      <c r="E106" s="13"/>
      <c r="F106" s="16"/>
      <c r="G106" s="8"/>
      <c r="H106" s="8"/>
      <c r="I106" s="8"/>
      <c r="J106" s="12"/>
      <c r="K106" s="12"/>
      <c r="L106" s="8"/>
      <c r="M106" s="16"/>
      <c r="N106" s="8"/>
      <c r="O106" s="8"/>
      <c r="P106" s="9"/>
      <c r="Q106" s="9"/>
      <c r="S106" s="8" t="s">
        <v>46</v>
      </c>
      <c r="T106" s="9" cm="1">
        <f t="array" ref="T106">SUMPRODUCT((Tabla114[[Sede ]]=S106)*1,$K$4:$K$281)</f>
        <v>0</v>
      </c>
      <c r="U106" s="9" cm="1">
        <f t="array" ref="U106">SUMPRODUCT((Tabla114[[Sede ]]=S106)*1,Tabla114[Valor Prev + IVA])</f>
        <v>0</v>
      </c>
      <c r="V106" s="125">
        <f t="shared" si="0"/>
        <v>0</v>
      </c>
    </row>
    <row r="107" spans="1:22" x14ac:dyDescent="0.3">
      <c r="A107" s="8"/>
      <c r="B107" s="8"/>
      <c r="C107" s="8"/>
      <c r="D107" s="8"/>
      <c r="E107" s="13"/>
      <c r="F107" s="16"/>
      <c r="G107" s="8"/>
      <c r="H107" s="8"/>
      <c r="I107" s="8"/>
      <c r="J107" s="9"/>
      <c r="K107" s="9"/>
      <c r="L107" s="8"/>
      <c r="M107" s="16"/>
      <c r="N107" s="8"/>
      <c r="O107" s="8"/>
      <c r="P107" s="9"/>
      <c r="Q107" s="9"/>
      <c r="S107" s="8" t="s">
        <v>47</v>
      </c>
      <c r="T107" s="9" cm="1">
        <f t="array" ref="T107">SUMPRODUCT((Tabla114[[Sede ]]=S107)*1,$K$4:$K$281)</f>
        <v>0</v>
      </c>
      <c r="U107" s="9" cm="1">
        <f t="array" ref="U107">SUMPRODUCT((Tabla114[[Sede ]]=S107)*1,Tabla114[Valor Prev + IVA])</f>
        <v>0</v>
      </c>
      <c r="V107" s="125">
        <f t="shared" si="0"/>
        <v>0</v>
      </c>
    </row>
    <row r="108" spans="1:22" x14ac:dyDescent="0.3">
      <c r="A108" s="8"/>
      <c r="B108" s="8"/>
      <c r="C108" s="8"/>
      <c r="D108" s="8"/>
      <c r="E108" s="13"/>
      <c r="F108" s="16"/>
      <c r="G108" s="8"/>
      <c r="H108" s="8"/>
      <c r="I108" s="8"/>
      <c r="J108" s="9"/>
      <c r="K108" s="9"/>
      <c r="L108" s="8"/>
      <c r="M108" s="16"/>
      <c r="N108" s="8"/>
      <c r="O108" s="8"/>
      <c r="P108" s="9"/>
      <c r="Q108" s="9"/>
      <c r="S108" s="8" t="s">
        <v>49</v>
      </c>
      <c r="T108" s="9" cm="1">
        <f t="array" ref="T108">SUMPRODUCT((Tabla114[[Sede ]]=S108)*1,$K$4:$K$281)</f>
        <v>0</v>
      </c>
      <c r="U108" s="9" cm="1">
        <f t="array" ref="U108">SUMPRODUCT((Tabla114[[Sede ]]=S108)*1,Tabla114[Valor Prev + IVA])</f>
        <v>0</v>
      </c>
      <c r="V108" s="125">
        <f t="shared" si="0"/>
        <v>0</v>
      </c>
    </row>
    <row r="109" spans="1:22" x14ac:dyDescent="0.3">
      <c r="A109" s="8"/>
      <c r="B109" s="8"/>
      <c r="C109" s="8"/>
      <c r="D109" s="8"/>
      <c r="E109" s="13"/>
      <c r="F109" s="16"/>
      <c r="G109" s="8"/>
      <c r="H109" s="8"/>
      <c r="I109" s="8"/>
      <c r="J109" s="9"/>
      <c r="K109" s="9"/>
      <c r="L109" s="8"/>
      <c r="M109" s="16"/>
      <c r="N109" s="8"/>
      <c r="O109" s="8"/>
      <c r="P109" s="9"/>
      <c r="Q109" s="9"/>
      <c r="S109" s="8" t="s">
        <v>48</v>
      </c>
      <c r="T109" s="9" cm="1">
        <f t="array" ref="T109">SUMPRODUCT((Tabla114[[Sede ]]=S109)*1,$K$4:$K$281)</f>
        <v>0</v>
      </c>
      <c r="U109" s="9" cm="1">
        <f t="array" ref="U109">SUMPRODUCT((Tabla114[[Sede ]]=S109)*1,Tabla114[Valor Prev + IVA])</f>
        <v>0</v>
      </c>
      <c r="V109" s="125">
        <f t="shared" si="0"/>
        <v>0</v>
      </c>
    </row>
    <row r="110" spans="1:22" x14ac:dyDescent="0.3">
      <c r="A110" s="8"/>
      <c r="B110" s="8"/>
      <c r="C110" s="8"/>
      <c r="D110" s="8"/>
      <c r="E110" s="13"/>
      <c r="F110" s="16"/>
      <c r="G110" s="8"/>
      <c r="H110" s="8"/>
      <c r="I110" s="8"/>
      <c r="J110" s="9"/>
      <c r="K110" s="9"/>
      <c r="L110" s="8"/>
      <c r="M110" s="16"/>
      <c r="N110" s="8"/>
      <c r="O110" s="8"/>
      <c r="P110" s="9"/>
      <c r="Q110" s="9"/>
      <c r="S110" s="8" t="s">
        <v>51</v>
      </c>
      <c r="T110" s="9" cm="1">
        <f t="array" ref="T110">SUMPRODUCT((Tabla114[[Sede ]]=S110)*1,$K$4:$K$281)</f>
        <v>0</v>
      </c>
      <c r="U110" s="9" cm="1">
        <f t="array" ref="U110">SUMPRODUCT((Tabla114[[Sede ]]=S110)*1,Tabla114[Valor Prev + IVA])</f>
        <v>0</v>
      </c>
      <c r="V110" s="125">
        <f t="shared" si="0"/>
        <v>0</v>
      </c>
    </row>
    <row r="111" spans="1:22" x14ac:dyDescent="0.3">
      <c r="A111" s="8"/>
      <c r="B111" s="8"/>
      <c r="C111" s="8"/>
      <c r="D111" s="8"/>
      <c r="E111" s="13"/>
      <c r="F111" s="16"/>
      <c r="G111" s="8"/>
      <c r="H111" s="8"/>
      <c r="I111" s="8"/>
      <c r="J111" s="9"/>
      <c r="K111" s="9"/>
      <c r="L111" s="8"/>
      <c r="M111" s="16"/>
      <c r="N111" s="8"/>
      <c r="O111" s="8"/>
      <c r="P111" s="9"/>
      <c r="Q111" s="9"/>
      <c r="S111" s="8" t="s">
        <v>52</v>
      </c>
      <c r="T111" s="9" cm="1">
        <f t="array" ref="T111">SUMPRODUCT((Tabla114[[Sede ]]=S111)*1,$K$4:$K$281)</f>
        <v>0</v>
      </c>
      <c r="U111" s="9" cm="1">
        <f t="array" ref="U111">SUMPRODUCT((Tabla114[[Sede ]]=S111)*1,Tabla114[Valor Prev + IVA])</f>
        <v>0</v>
      </c>
      <c r="V111" s="125">
        <f t="shared" si="0"/>
        <v>0</v>
      </c>
    </row>
    <row r="112" spans="1:22" x14ac:dyDescent="0.3">
      <c r="A112" s="8"/>
      <c r="B112" s="8"/>
      <c r="C112" s="8"/>
      <c r="D112" s="8"/>
      <c r="E112" s="13"/>
      <c r="F112" s="16"/>
      <c r="G112" s="8"/>
      <c r="H112" s="8"/>
      <c r="I112" s="8"/>
      <c r="J112" s="9"/>
      <c r="K112" s="9"/>
      <c r="L112" s="8"/>
      <c r="M112" s="16"/>
      <c r="N112" s="8"/>
      <c r="O112" s="8"/>
      <c r="P112" s="9"/>
      <c r="Q112" s="9"/>
      <c r="S112" s="8" t="s">
        <v>53</v>
      </c>
      <c r="T112" s="9" cm="1">
        <f t="array" ref="T112">SUMPRODUCT((Tabla114[[Sede ]]=S112)*1,$K$4:$K$281)</f>
        <v>0</v>
      </c>
      <c r="U112" s="9" cm="1">
        <f t="array" ref="U112">SUMPRODUCT((Tabla114[[Sede ]]=S112)*1,Tabla114[Valor Prev + IVA])</f>
        <v>0</v>
      </c>
      <c r="V112" s="125">
        <f t="shared" si="0"/>
        <v>0</v>
      </c>
    </row>
    <row r="113" spans="1:22" x14ac:dyDescent="0.3">
      <c r="A113" s="8"/>
      <c r="B113" s="8"/>
      <c r="C113" s="8"/>
      <c r="D113" s="8"/>
      <c r="E113" s="13"/>
      <c r="F113" s="16"/>
      <c r="G113" s="8"/>
      <c r="H113" s="8"/>
      <c r="I113" s="8"/>
      <c r="J113" s="9"/>
      <c r="K113" s="9"/>
      <c r="L113" s="8"/>
      <c r="M113" s="16"/>
      <c r="N113" s="8"/>
      <c r="O113" s="8"/>
      <c r="P113" s="9"/>
      <c r="Q113" s="9"/>
      <c r="S113" s="8" t="s">
        <v>55</v>
      </c>
      <c r="T113" s="9" cm="1">
        <f t="array" ref="T113">SUMPRODUCT((Tabla114[[Sede ]]=S113)*1,$K$4:$K$281)</f>
        <v>0</v>
      </c>
      <c r="U113" s="9" cm="1">
        <f t="array" ref="U113">SUMPRODUCT((Tabla114[[Sede ]]=S113)*1,Tabla114[Valor Prev + IVA])</f>
        <v>0</v>
      </c>
      <c r="V113" s="125">
        <f t="shared" si="0"/>
        <v>0</v>
      </c>
    </row>
    <row r="114" spans="1:22" x14ac:dyDescent="0.3">
      <c r="A114" s="8"/>
      <c r="B114" s="8"/>
      <c r="C114" s="8"/>
      <c r="D114" s="8"/>
      <c r="E114" s="13"/>
      <c r="F114" s="16"/>
      <c r="G114" s="8"/>
      <c r="H114" s="8"/>
      <c r="I114" s="8"/>
      <c r="J114" s="9"/>
      <c r="K114" s="9"/>
      <c r="L114" s="8"/>
      <c r="M114" s="16"/>
      <c r="N114" s="8"/>
      <c r="O114" s="8"/>
      <c r="P114" s="9"/>
      <c r="Q114" s="9"/>
      <c r="S114" s="8" t="s">
        <v>56</v>
      </c>
      <c r="T114" s="9" cm="1">
        <f t="array" ref="T114">SUMPRODUCT((Tabla114[[Sede ]]=S114)*1,$K$4:$K$281)</f>
        <v>0</v>
      </c>
      <c r="U114" s="9" cm="1">
        <f t="array" ref="U114">SUMPRODUCT((Tabla114[[Sede ]]=S114)*1,Tabla114[Valor Prev + IVA])</f>
        <v>0</v>
      </c>
      <c r="V114" s="125">
        <f t="shared" si="0"/>
        <v>0</v>
      </c>
    </row>
    <row r="115" spans="1:22" x14ac:dyDescent="0.3">
      <c r="A115" s="8"/>
      <c r="B115" s="8"/>
      <c r="C115" s="8"/>
      <c r="D115" s="8"/>
      <c r="E115" s="13"/>
      <c r="F115" s="16"/>
      <c r="G115" s="8"/>
      <c r="H115" s="8"/>
      <c r="I115" s="8"/>
      <c r="J115" s="9"/>
      <c r="K115" s="9"/>
      <c r="L115" s="8"/>
      <c r="M115" s="16"/>
      <c r="N115" s="8"/>
      <c r="O115" s="8"/>
      <c r="P115" s="9"/>
      <c r="Q115" s="9"/>
      <c r="S115" s="8" t="s">
        <v>57</v>
      </c>
      <c r="T115" s="9" cm="1">
        <f t="array" ref="T115">SUMPRODUCT((Tabla114[[Sede ]]=S115)*1,$K$4:$K$281)</f>
        <v>0</v>
      </c>
      <c r="U115" s="9" cm="1">
        <f t="array" ref="U115">SUMPRODUCT((Tabla114[[Sede ]]=S115)*1,Tabla114[Valor Prev + IVA])</f>
        <v>0</v>
      </c>
      <c r="V115" s="125">
        <f t="shared" si="0"/>
        <v>0</v>
      </c>
    </row>
    <row r="116" spans="1:22" x14ac:dyDescent="0.3">
      <c r="A116" s="8"/>
      <c r="B116" s="8"/>
      <c r="C116" s="8"/>
      <c r="D116" s="8"/>
      <c r="E116" s="13"/>
      <c r="F116" s="16"/>
      <c r="G116" s="8"/>
      <c r="H116" s="8"/>
      <c r="I116" s="8"/>
      <c r="J116" s="9"/>
      <c r="K116" s="9"/>
      <c r="L116" s="8"/>
      <c r="M116" s="16"/>
      <c r="N116" s="8"/>
      <c r="O116" s="8"/>
      <c r="P116" s="9"/>
      <c r="Q116" s="9"/>
      <c r="S116" s="8" t="s">
        <v>59</v>
      </c>
      <c r="T116" s="9" cm="1">
        <f t="array" ref="T116">SUMPRODUCT((Tabla114[[Sede ]]=S116)*1,$K$4:$K$281)</f>
        <v>0</v>
      </c>
      <c r="U116" s="9" cm="1">
        <f t="array" ref="U116">SUMPRODUCT((Tabla114[[Sede ]]=S116)*1,Tabla114[Valor Prev + IVA])</f>
        <v>0</v>
      </c>
      <c r="V116" s="125">
        <f t="shared" si="0"/>
        <v>0</v>
      </c>
    </row>
    <row r="117" spans="1:22" x14ac:dyDescent="0.3">
      <c r="A117" s="8"/>
      <c r="B117" s="8"/>
      <c r="C117" s="8"/>
      <c r="D117" s="8"/>
      <c r="E117" s="13"/>
      <c r="F117" s="16"/>
      <c r="G117" s="8"/>
      <c r="H117" s="8"/>
      <c r="I117" s="8"/>
      <c r="J117" s="9"/>
      <c r="K117" s="9"/>
      <c r="L117" s="8"/>
      <c r="M117" s="16"/>
      <c r="N117" s="8"/>
      <c r="O117" s="8"/>
      <c r="P117" s="9"/>
      <c r="Q117" s="9"/>
      <c r="S117" s="38" t="s">
        <v>574</v>
      </c>
      <c r="T117" s="39">
        <f>SUM(T89:T116)</f>
        <v>0</v>
      </c>
      <c r="U117" s="39">
        <f>SUM(U89:U116)</f>
        <v>0</v>
      </c>
      <c r="V117" s="39">
        <f t="shared" si="0"/>
        <v>0</v>
      </c>
    </row>
    <row r="118" spans="1:22" x14ac:dyDescent="0.3">
      <c r="A118" s="8"/>
      <c r="B118" s="8"/>
      <c r="C118" s="8"/>
      <c r="D118" s="8"/>
      <c r="E118" s="13"/>
      <c r="F118" s="16"/>
      <c r="G118" s="8"/>
      <c r="H118" s="8"/>
      <c r="I118" s="8"/>
      <c r="J118" s="9"/>
      <c r="K118" s="9"/>
      <c r="L118" s="8"/>
      <c r="M118" s="16"/>
      <c r="N118" s="8"/>
      <c r="O118" s="8"/>
      <c r="P118" s="9"/>
      <c r="Q118" s="9"/>
    </row>
    <row r="119" spans="1:22" x14ac:dyDescent="0.3">
      <c r="A119" s="8"/>
      <c r="B119" s="8"/>
      <c r="C119" s="8"/>
      <c r="D119" s="8"/>
      <c r="E119" s="13"/>
      <c r="F119" s="16"/>
      <c r="G119" s="8"/>
      <c r="H119" s="8"/>
      <c r="I119" s="8"/>
      <c r="J119" s="9"/>
      <c r="K119" s="9"/>
      <c r="L119" s="8"/>
      <c r="M119" s="16"/>
      <c r="N119" s="8"/>
      <c r="O119" s="8"/>
      <c r="P119" s="9"/>
      <c r="Q119" s="9"/>
    </row>
    <row r="120" spans="1:22" x14ac:dyDescent="0.3">
      <c r="A120" s="8"/>
      <c r="B120" s="8"/>
      <c r="C120" s="8"/>
      <c r="D120" s="8"/>
      <c r="E120" s="13"/>
      <c r="F120" s="16"/>
      <c r="G120" s="8"/>
      <c r="H120" s="8"/>
      <c r="I120" s="8"/>
      <c r="J120" s="9"/>
      <c r="K120" s="9"/>
      <c r="L120" s="8"/>
      <c r="M120" s="16"/>
      <c r="N120" s="8"/>
      <c r="O120" s="8"/>
      <c r="P120" s="9"/>
      <c r="Q120" s="9"/>
    </row>
    <row r="121" spans="1:22" x14ac:dyDescent="0.3">
      <c r="A121" s="8"/>
      <c r="B121" s="8"/>
      <c r="C121" s="8"/>
      <c r="D121" s="8"/>
      <c r="E121" s="13"/>
      <c r="F121" s="16"/>
      <c r="G121" s="8"/>
      <c r="H121" s="8"/>
      <c r="I121" s="8"/>
      <c r="J121" s="9"/>
      <c r="K121" s="9"/>
      <c r="L121" s="8"/>
      <c r="M121" s="16"/>
      <c r="N121" s="8"/>
      <c r="O121" s="8"/>
      <c r="P121" s="9"/>
      <c r="Q121" s="9"/>
    </row>
    <row r="122" spans="1:22" x14ac:dyDescent="0.3">
      <c r="A122" s="8"/>
      <c r="B122" s="8"/>
      <c r="C122" s="8"/>
      <c r="D122" s="8"/>
      <c r="E122" s="13"/>
      <c r="F122" s="16"/>
      <c r="G122" s="8"/>
      <c r="H122" s="8"/>
      <c r="I122" s="8"/>
      <c r="J122" s="9"/>
      <c r="K122" s="9"/>
      <c r="L122" s="8"/>
      <c r="M122" s="16"/>
      <c r="N122" s="8"/>
      <c r="O122" s="8"/>
      <c r="P122" s="9"/>
      <c r="Q122" s="9"/>
    </row>
    <row r="123" spans="1:22" x14ac:dyDescent="0.3">
      <c r="A123" s="8"/>
      <c r="B123" s="8"/>
      <c r="C123" s="8"/>
      <c r="D123" s="8"/>
      <c r="E123" s="13"/>
      <c r="F123" s="16"/>
      <c r="G123" s="8"/>
      <c r="H123" s="8"/>
      <c r="I123" s="8"/>
      <c r="J123" s="9"/>
      <c r="K123" s="9"/>
      <c r="L123" s="8"/>
      <c r="M123" s="16"/>
      <c r="N123" s="8"/>
      <c r="O123" s="8"/>
      <c r="P123" s="9"/>
      <c r="Q123" s="9"/>
    </row>
    <row r="124" spans="1:22" x14ac:dyDescent="0.3">
      <c r="A124" s="8"/>
      <c r="B124" s="8"/>
      <c r="C124" s="8"/>
      <c r="D124" s="8"/>
      <c r="E124" s="13"/>
      <c r="F124" s="16"/>
      <c r="G124" s="8"/>
      <c r="H124" s="8"/>
      <c r="I124" s="8"/>
      <c r="J124" s="9"/>
      <c r="K124" s="9"/>
      <c r="L124" s="8"/>
      <c r="M124" s="16"/>
      <c r="N124" s="8"/>
      <c r="O124" s="8"/>
      <c r="P124" s="9"/>
      <c r="Q124" s="9"/>
    </row>
    <row r="125" spans="1:22" x14ac:dyDescent="0.3">
      <c r="A125" s="8"/>
      <c r="B125" s="8"/>
      <c r="C125" s="8"/>
      <c r="D125" s="8"/>
      <c r="E125" s="13"/>
      <c r="F125" s="16"/>
      <c r="G125" s="8"/>
      <c r="H125" s="8"/>
      <c r="I125" s="8"/>
      <c r="J125" s="9"/>
      <c r="K125" s="9"/>
      <c r="L125" s="8"/>
      <c r="M125" s="16"/>
      <c r="N125" s="8"/>
      <c r="O125" s="8"/>
      <c r="P125" s="9"/>
      <c r="Q125" s="9"/>
    </row>
    <row r="126" spans="1:22" x14ac:dyDescent="0.3">
      <c r="A126" s="8"/>
      <c r="B126" s="8"/>
      <c r="C126" s="8"/>
      <c r="D126" s="8"/>
      <c r="E126" s="13"/>
      <c r="F126" s="16"/>
      <c r="G126" s="8"/>
      <c r="H126" s="8"/>
      <c r="I126" s="8"/>
      <c r="J126" s="9"/>
      <c r="K126" s="9"/>
      <c r="L126" s="8"/>
      <c r="M126" s="16"/>
      <c r="N126" s="8"/>
      <c r="O126" s="8"/>
      <c r="P126" s="9"/>
      <c r="Q126" s="9"/>
    </row>
    <row r="127" spans="1:22" x14ac:dyDescent="0.3">
      <c r="A127" s="8"/>
      <c r="B127" s="8"/>
      <c r="C127" s="8"/>
      <c r="D127" s="8"/>
      <c r="E127" s="13"/>
      <c r="F127" s="16"/>
      <c r="G127" s="8"/>
      <c r="H127" s="8"/>
      <c r="I127" s="8"/>
      <c r="J127" s="9"/>
      <c r="K127" s="9"/>
      <c r="L127" s="8"/>
      <c r="M127" s="16"/>
      <c r="N127" s="8"/>
      <c r="O127" s="8"/>
      <c r="P127" s="9"/>
      <c r="Q127" s="9"/>
    </row>
    <row r="128" spans="1:22" x14ac:dyDescent="0.3">
      <c r="A128" s="8"/>
      <c r="B128" s="8"/>
      <c r="C128" s="8"/>
      <c r="D128" s="8"/>
      <c r="E128" s="13"/>
      <c r="F128" s="16"/>
      <c r="G128" s="8"/>
      <c r="H128" s="8"/>
      <c r="I128" s="8"/>
      <c r="J128" s="9"/>
      <c r="K128" s="9"/>
      <c r="L128" s="8"/>
      <c r="M128" s="16"/>
      <c r="N128" s="8"/>
      <c r="O128" s="8"/>
      <c r="P128" s="9"/>
      <c r="Q128" s="9"/>
    </row>
    <row r="129" spans="1:17" x14ac:dyDescent="0.3">
      <c r="A129" s="8"/>
      <c r="B129" s="8"/>
      <c r="C129" s="8"/>
      <c r="D129" s="8"/>
      <c r="E129" s="13"/>
      <c r="F129" s="16"/>
      <c r="G129" s="8"/>
      <c r="H129" s="8"/>
      <c r="I129" s="8"/>
      <c r="J129" s="9"/>
      <c r="K129" s="9"/>
      <c r="L129" s="8"/>
      <c r="M129" s="16"/>
      <c r="N129" s="8"/>
      <c r="O129" s="8"/>
      <c r="P129" s="9"/>
      <c r="Q129" s="9"/>
    </row>
    <row r="130" spans="1:17" x14ac:dyDescent="0.3">
      <c r="A130" s="8"/>
      <c r="B130" s="8"/>
      <c r="C130" s="8"/>
      <c r="D130" s="8"/>
      <c r="E130" s="13"/>
      <c r="F130" s="16"/>
      <c r="G130" s="8"/>
      <c r="H130" s="8"/>
      <c r="I130" s="8"/>
      <c r="J130" s="9"/>
      <c r="K130" s="9"/>
      <c r="L130" s="8"/>
      <c r="M130" s="16"/>
      <c r="N130" s="8"/>
      <c r="O130" s="8"/>
      <c r="P130" s="9"/>
      <c r="Q130" s="9"/>
    </row>
    <row r="131" spans="1:17" x14ac:dyDescent="0.3">
      <c r="A131" s="8"/>
      <c r="B131" s="8"/>
      <c r="C131" s="8"/>
      <c r="D131" s="8"/>
      <c r="E131" s="13"/>
      <c r="F131" s="16"/>
      <c r="G131" s="8"/>
      <c r="H131" s="8"/>
      <c r="I131" s="8"/>
      <c r="J131" s="9"/>
      <c r="K131" s="9"/>
      <c r="L131" s="8"/>
      <c r="M131" s="16"/>
      <c r="N131" s="8"/>
      <c r="O131" s="8"/>
      <c r="P131" s="9"/>
      <c r="Q131" s="9"/>
    </row>
    <row r="132" spans="1:17" x14ac:dyDescent="0.3">
      <c r="A132" s="8"/>
      <c r="B132" s="8"/>
      <c r="C132" s="8"/>
      <c r="D132" s="8"/>
      <c r="E132" s="13"/>
      <c r="F132" s="16"/>
      <c r="G132" s="8"/>
      <c r="H132" s="8"/>
      <c r="I132" s="8"/>
      <c r="J132" s="9"/>
      <c r="K132" s="9"/>
      <c r="L132" s="8"/>
      <c r="M132" s="16"/>
      <c r="N132" s="8"/>
      <c r="O132" s="8"/>
      <c r="P132" s="9"/>
      <c r="Q132" s="9"/>
    </row>
    <row r="133" spans="1:17" x14ac:dyDescent="0.3">
      <c r="A133" s="8"/>
      <c r="B133" s="8"/>
      <c r="C133" s="8"/>
      <c r="D133" s="8"/>
      <c r="E133" s="13"/>
      <c r="F133" s="16"/>
      <c r="G133" s="8"/>
      <c r="H133" s="8"/>
      <c r="I133" s="8"/>
      <c r="J133" s="9"/>
      <c r="K133" s="9"/>
      <c r="L133" s="8"/>
      <c r="M133" s="16"/>
      <c r="N133" s="8"/>
      <c r="O133" s="8"/>
      <c r="P133" s="9"/>
      <c r="Q133" s="9"/>
    </row>
    <row r="134" spans="1:17" x14ac:dyDescent="0.3">
      <c r="A134" s="8"/>
      <c r="B134" s="8"/>
      <c r="C134" s="8"/>
      <c r="D134" s="8"/>
      <c r="E134" s="13"/>
      <c r="F134" s="16"/>
      <c r="G134" s="8"/>
      <c r="H134" s="8"/>
      <c r="I134" s="8"/>
      <c r="J134" s="9"/>
      <c r="K134" s="9"/>
      <c r="L134" s="8"/>
      <c r="M134" s="16"/>
      <c r="N134" s="8"/>
      <c r="O134" s="8"/>
      <c r="P134" s="9"/>
      <c r="Q134" s="9"/>
    </row>
    <row r="135" spans="1:17" x14ac:dyDescent="0.3">
      <c r="A135" s="8"/>
      <c r="B135" s="8"/>
      <c r="C135" s="8"/>
      <c r="D135" s="8"/>
      <c r="E135" s="13"/>
      <c r="F135" s="16"/>
      <c r="G135" s="8"/>
      <c r="H135" s="8"/>
      <c r="I135" s="8"/>
      <c r="J135" s="9"/>
      <c r="K135" s="9"/>
      <c r="L135" s="8"/>
      <c r="M135" s="16"/>
      <c r="N135" s="8"/>
      <c r="O135" s="8"/>
      <c r="P135" s="9"/>
      <c r="Q135" s="9"/>
    </row>
    <row r="136" spans="1:17" x14ac:dyDescent="0.3">
      <c r="A136" s="8"/>
      <c r="B136" s="8"/>
      <c r="C136" s="8"/>
      <c r="D136" s="8"/>
      <c r="E136" s="13"/>
      <c r="F136" s="16"/>
      <c r="G136" s="8"/>
      <c r="H136" s="8"/>
      <c r="I136" s="8"/>
      <c r="J136" s="9"/>
      <c r="K136" s="9"/>
      <c r="L136" s="8"/>
      <c r="M136" s="16"/>
      <c r="N136" s="8"/>
      <c r="O136" s="8"/>
      <c r="P136" s="9"/>
      <c r="Q136" s="9"/>
    </row>
    <row r="137" spans="1:17" x14ac:dyDescent="0.3">
      <c r="A137" s="8"/>
      <c r="B137" s="8"/>
      <c r="C137" s="8"/>
      <c r="D137" s="8"/>
      <c r="E137" s="13"/>
      <c r="F137" s="16"/>
      <c r="G137" s="8"/>
      <c r="H137" s="8"/>
      <c r="I137" s="8"/>
      <c r="J137" s="9"/>
      <c r="K137" s="9"/>
      <c r="L137" s="8"/>
      <c r="M137" s="16"/>
      <c r="N137" s="8"/>
      <c r="O137" s="8"/>
      <c r="P137" s="9"/>
      <c r="Q137" s="9"/>
    </row>
    <row r="138" spans="1:17" x14ac:dyDescent="0.3">
      <c r="A138" s="8"/>
      <c r="B138" s="8"/>
      <c r="C138" s="8"/>
      <c r="D138" s="8"/>
      <c r="E138" s="13"/>
      <c r="F138" s="16"/>
      <c r="G138" s="8"/>
      <c r="H138" s="8"/>
      <c r="I138" s="8"/>
      <c r="J138" s="9"/>
      <c r="K138" s="9"/>
      <c r="L138" s="8"/>
      <c r="M138" s="16"/>
      <c r="N138" s="8"/>
      <c r="O138" s="8"/>
      <c r="P138" s="9"/>
      <c r="Q138" s="9"/>
    </row>
    <row r="139" spans="1:17" x14ac:dyDescent="0.3">
      <c r="A139" s="8"/>
      <c r="B139" s="8"/>
      <c r="C139" s="8"/>
      <c r="D139" s="8"/>
      <c r="E139" s="13"/>
      <c r="F139" s="16"/>
      <c r="G139" s="8"/>
      <c r="H139" s="8"/>
      <c r="I139" s="8"/>
      <c r="J139" s="9"/>
      <c r="K139" s="9"/>
      <c r="L139" s="8"/>
      <c r="M139" s="16"/>
      <c r="N139" s="8"/>
      <c r="O139" s="8"/>
      <c r="P139" s="9"/>
      <c r="Q139" s="9"/>
    </row>
    <row r="140" spans="1:17" x14ac:dyDescent="0.3">
      <c r="A140" s="8"/>
      <c r="B140" s="8"/>
      <c r="C140" s="8"/>
      <c r="D140" s="8"/>
      <c r="E140" s="13"/>
      <c r="F140" s="16"/>
      <c r="G140" s="8"/>
      <c r="H140" s="8"/>
      <c r="I140" s="8"/>
      <c r="J140" s="9"/>
      <c r="K140" s="9"/>
      <c r="L140" s="8"/>
      <c r="M140" s="16"/>
      <c r="N140" s="8"/>
      <c r="O140" s="8"/>
      <c r="P140" s="9"/>
      <c r="Q140" s="9"/>
    </row>
    <row r="141" spans="1:17" x14ac:dyDescent="0.3">
      <c r="A141" s="8"/>
      <c r="B141" s="8"/>
      <c r="C141" s="8"/>
      <c r="D141" s="8"/>
      <c r="E141" s="13"/>
      <c r="F141" s="16"/>
      <c r="G141" s="8"/>
      <c r="H141" s="8"/>
      <c r="I141" s="8"/>
      <c r="J141" s="9"/>
      <c r="K141" s="9"/>
      <c r="L141" s="8"/>
      <c r="M141" s="16"/>
      <c r="N141" s="8"/>
      <c r="O141" s="8"/>
      <c r="P141" s="9"/>
      <c r="Q141" s="9"/>
    </row>
    <row r="142" spans="1:17" x14ac:dyDescent="0.3">
      <c r="A142" s="8"/>
      <c r="B142" s="8"/>
      <c r="C142" s="8"/>
      <c r="D142" s="8"/>
      <c r="E142" s="13"/>
      <c r="F142" s="16"/>
      <c r="G142" s="8"/>
      <c r="H142" s="8"/>
      <c r="I142" s="8"/>
      <c r="J142" s="9"/>
      <c r="K142" s="9"/>
      <c r="L142" s="8"/>
      <c r="M142" s="16"/>
      <c r="N142" s="8"/>
      <c r="O142" s="8"/>
      <c r="P142" s="9"/>
      <c r="Q142" s="9"/>
    </row>
    <row r="143" spans="1:17" x14ac:dyDescent="0.3">
      <c r="A143" s="8"/>
      <c r="B143" s="8"/>
      <c r="C143" s="8"/>
      <c r="D143" s="8"/>
      <c r="E143" s="13"/>
      <c r="F143" s="16"/>
      <c r="G143" s="8"/>
      <c r="H143" s="8"/>
      <c r="I143" s="8"/>
      <c r="J143" s="9"/>
      <c r="K143" s="9"/>
      <c r="L143" s="8"/>
      <c r="M143" s="16"/>
      <c r="N143" s="8"/>
      <c r="O143" s="8"/>
      <c r="P143" s="9"/>
      <c r="Q143" s="9"/>
    </row>
    <row r="144" spans="1:17" x14ac:dyDescent="0.3">
      <c r="A144" s="8"/>
      <c r="B144" s="8"/>
      <c r="C144" s="8"/>
      <c r="D144" s="8"/>
      <c r="E144" s="13"/>
      <c r="F144" s="16"/>
      <c r="G144" s="8"/>
      <c r="H144" s="8"/>
      <c r="I144" s="8"/>
      <c r="J144" s="9"/>
      <c r="K144" s="9"/>
      <c r="L144" s="8"/>
      <c r="M144" s="16"/>
      <c r="N144" s="8"/>
      <c r="O144" s="8"/>
      <c r="P144" s="9"/>
      <c r="Q144" s="9"/>
    </row>
    <row r="145" spans="1:22" x14ac:dyDescent="0.3">
      <c r="A145" s="8"/>
      <c r="B145" s="8"/>
      <c r="C145" s="8"/>
      <c r="D145" s="8"/>
      <c r="E145" s="13"/>
      <c r="F145" s="16"/>
      <c r="G145" s="8"/>
      <c r="H145" s="8"/>
      <c r="I145" s="8"/>
      <c r="J145" s="9"/>
      <c r="K145" s="9"/>
      <c r="L145" s="8"/>
      <c r="M145" s="16"/>
      <c r="N145" s="8"/>
      <c r="O145" s="8"/>
      <c r="P145" s="9"/>
      <c r="Q145" s="9"/>
    </row>
    <row r="146" spans="1:22" x14ac:dyDescent="0.3">
      <c r="A146" s="8"/>
      <c r="B146" s="8"/>
      <c r="C146" s="8"/>
      <c r="D146" s="8"/>
      <c r="E146" s="13"/>
      <c r="F146" s="16"/>
      <c r="G146" s="8"/>
      <c r="H146" s="8"/>
      <c r="I146" s="8"/>
      <c r="J146" s="9"/>
      <c r="K146" s="9"/>
      <c r="L146" s="8"/>
      <c r="M146" s="16"/>
      <c r="N146" s="8"/>
      <c r="O146" s="8"/>
      <c r="P146" s="9"/>
      <c r="Q146" s="9"/>
    </row>
    <row r="147" spans="1:22" x14ac:dyDescent="0.3">
      <c r="A147" s="8"/>
      <c r="B147" s="8"/>
      <c r="C147" s="8"/>
      <c r="D147" s="8"/>
      <c r="E147" s="13"/>
      <c r="F147" s="16"/>
      <c r="G147" s="8"/>
      <c r="H147" s="8"/>
      <c r="I147" s="8"/>
      <c r="J147" s="9"/>
      <c r="K147" s="9"/>
      <c r="L147" s="8"/>
      <c r="M147" s="16"/>
      <c r="N147" s="8"/>
      <c r="O147" s="8"/>
      <c r="P147" s="9"/>
      <c r="Q147" s="9"/>
    </row>
    <row r="148" spans="1:22" x14ac:dyDescent="0.3">
      <c r="A148" s="8"/>
      <c r="B148" s="8"/>
      <c r="C148" s="8"/>
      <c r="D148" s="8"/>
      <c r="E148" s="13"/>
      <c r="F148" s="16"/>
      <c r="G148" s="8"/>
      <c r="H148" s="8"/>
      <c r="I148" s="8"/>
      <c r="J148" s="9"/>
      <c r="K148" s="9"/>
      <c r="L148" s="8"/>
      <c r="M148" s="16"/>
      <c r="N148" s="8"/>
      <c r="O148" s="8"/>
      <c r="P148" s="9"/>
      <c r="Q148" s="9"/>
    </row>
    <row r="149" spans="1:22" x14ac:dyDescent="0.3">
      <c r="A149" s="8"/>
      <c r="B149" s="8"/>
      <c r="C149" s="8"/>
      <c r="D149" s="8"/>
      <c r="E149" s="13"/>
      <c r="F149" s="16"/>
      <c r="G149" s="8"/>
      <c r="H149" s="8"/>
      <c r="I149" s="8"/>
      <c r="J149" s="9"/>
      <c r="K149" s="9"/>
      <c r="L149" s="8"/>
      <c r="M149" s="16"/>
      <c r="N149" s="8"/>
      <c r="O149" s="8"/>
      <c r="P149" s="9"/>
      <c r="Q149" s="9"/>
    </row>
    <row r="150" spans="1:22" x14ac:dyDescent="0.3">
      <c r="A150" s="8"/>
      <c r="B150" s="8"/>
      <c r="C150" s="8"/>
      <c r="D150" s="8"/>
      <c r="E150" s="13"/>
      <c r="F150" s="16"/>
      <c r="G150" s="8"/>
      <c r="H150" s="8"/>
      <c r="I150" s="8"/>
      <c r="J150" s="9"/>
      <c r="K150" s="9"/>
      <c r="L150" s="8"/>
      <c r="M150" s="16"/>
      <c r="N150" s="8"/>
      <c r="O150" s="8"/>
      <c r="P150" s="9"/>
      <c r="Q150" s="9"/>
    </row>
    <row r="151" spans="1:22" x14ac:dyDescent="0.3">
      <c r="A151" s="8"/>
      <c r="B151" s="8"/>
      <c r="C151" s="8"/>
      <c r="D151" s="8"/>
      <c r="E151" s="13"/>
      <c r="F151" s="16"/>
      <c r="G151" s="8"/>
      <c r="H151" s="8"/>
      <c r="I151" s="8"/>
      <c r="J151" s="9"/>
      <c r="K151" s="9"/>
      <c r="L151" s="8"/>
      <c r="M151" s="16"/>
      <c r="N151" s="8"/>
      <c r="O151" s="8"/>
      <c r="P151" s="9"/>
      <c r="Q151" s="9"/>
      <c r="S151" s="35"/>
      <c r="T151" s="35"/>
      <c r="U151" s="35"/>
      <c r="V151" s="35"/>
    </row>
    <row r="152" spans="1:22" x14ac:dyDescent="0.3">
      <c r="A152" s="8"/>
      <c r="B152" s="8"/>
      <c r="C152" s="8"/>
      <c r="D152" s="8"/>
      <c r="E152" s="13"/>
      <c r="F152" s="16"/>
      <c r="G152" s="8"/>
      <c r="H152" s="8"/>
      <c r="I152" s="8"/>
      <c r="J152" s="9"/>
      <c r="K152" s="9"/>
      <c r="L152" s="8"/>
      <c r="M152" s="16"/>
      <c r="N152" s="8"/>
      <c r="O152" s="8"/>
      <c r="P152" s="9"/>
      <c r="Q152" s="9"/>
      <c r="S152" s="8"/>
      <c r="T152" s="9"/>
      <c r="U152" s="9"/>
      <c r="V152" s="9"/>
    </row>
    <row r="153" spans="1:22" x14ac:dyDescent="0.3">
      <c r="A153" s="8"/>
      <c r="B153" s="8"/>
      <c r="C153" s="8"/>
      <c r="D153" s="8"/>
      <c r="E153" s="13"/>
      <c r="F153" s="16"/>
      <c r="G153" s="8"/>
      <c r="H153" s="8"/>
      <c r="I153" s="8"/>
      <c r="J153" s="12"/>
      <c r="K153" s="12"/>
      <c r="L153" s="8"/>
      <c r="M153" s="16"/>
      <c r="N153" s="8"/>
      <c r="O153" s="8"/>
      <c r="P153" s="12"/>
      <c r="Q153" s="12"/>
      <c r="S153" s="8"/>
      <c r="T153" s="9"/>
      <c r="U153" s="9"/>
      <c r="V153" s="9"/>
    </row>
    <row r="154" spans="1:22" x14ac:dyDescent="0.3">
      <c r="A154" s="8"/>
      <c r="B154" s="8"/>
      <c r="C154" s="8"/>
      <c r="D154" s="8"/>
      <c r="E154" s="13"/>
      <c r="F154" s="16"/>
      <c r="G154" s="8"/>
      <c r="H154" s="8"/>
      <c r="I154" s="8"/>
      <c r="J154" s="9"/>
      <c r="K154" s="9"/>
      <c r="L154" s="8"/>
      <c r="M154" s="16"/>
      <c r="N154" s="8"/>
      <c r="O154" s="8"/>
      <c r="P154" s="9"/>
      <c r="Q154" s="9"/>
      <c r="S154" s="8"/>
      <c r="T154" s="9"/>
      <c r="U154" s="9"/>
      <c r="V154" s="9"/>
    </row>
    <row r="155" spans="1:22" x14ac:dyDescent="0.3">
      <c r="A155" s="8"/>
      <c r="B155" s="8"/>
      <c r="C155" s="8"/>
      <c r="D155" s="8"/>
      <c r="E155" s="13"/>
      <c r="F155" s="16"/>
      <c r="G155" s="8"/>
      <c r="H155" s="8"/>
      <c r="I155" s="8"/>
      <c r="J155" s="9"/>
      <c r="K155" s="9"/>
      <c r="L155" s="8"/>
      <c r="M155" s="16"/>
      <c r="N155" s="8"/>
      <c r="O155" s="8"/>
      <c r="P155" s="9"/>
      <c r="Q155" s="9"/>
      <c r="S155" s="8"/>
      <c r="T155" s="9"/>
      <c r="U155" s="9"/>
      <c r="V155" s="9"/>
    </row>
    <row r="156" spans="1:22" x14ac:dyDescent="0.3">
      <c r="A156" s="8"/>
      <c r="B156" s="8"/>
      <c r="C156" s="8"/>
      <c r="D156" s="8"/>
      <c r="E156" s="13"/>
      <c r="F156" s="16"/>
      <c r="G156" s="8"/>
      <c r="H156" s="8"/>
      <c r="I156" s="8"/>
      <c r="J156" s="12"/>
      <c r="K156" s="12"/>
      <c r="L156" s="8"/>
      <c r="M156" s="16"/>
      <c r="N156" s="8"/>
      <c r="O156" s="8"/>
      <c r="P156" s="12"/>
      <c r="Q156" s="12"/>
      <c r="S156" s="8"/>
      <c r="T156" s="9"/>
      <c r="U156" s="9"/>
      <c r="V156" s="9"/>
    </row>
    <row r="157" spans="1:22" x14ac:dyDescent="0.3">
      <c r="A157" s="8"/>
      <c r="B157" s="8"/>
      <c r="C157" s="8"/>
      <c r="D157" s="8"/>
      <c r="E157" s="13"/>
      <c r="F157" s="16"/>
      <c r="G157" s="8"/>
      <c r="H157" s="8"/>
      <c r="I157" s="8"/>
      <c r="J157" s="9"/>
      <c r="K157" s="9"/>
      <c r="L157" s="8"/>
      <c r="M157" s="16"/>
      <c r="N157" s="8"/>
      <c r="O157" s="8"/>
      <c r="P157" s="9"/>
      <c r="Q157" s="9"/>
      <c r="S157" s="8"/>
      <c r="T157" s="9"/>
      <c r="U157" s="9"/>
      <c r="V157" s="9"/>
    </row>
    <row r="158" spans="1:22" x14ac:dyDescent="0.3">
      <c r="A158" s="8"/>
      <c r="B158" s="8"/>
      <c r="C158" s="8"/>
      <c r="D158" s="8"/>
      <c r="E158" s="13"/>
      <c r="F158" s="16"/>
      <c r="G158" s="8"/>
      <c r="H158" s="8"/>
      <c r="I158" s="8"/>
      <c r="J158" s="9"/>
      <c r="K158" s="9"/>
      <c r="L158" s="8"/>
      <c r="M158" s="16"/>
      <c r="N158" s="8"/>
      <c r="O158" s="8"/>
      <c r="P158" s="9"/>
      <c r="Q158" s="9"/>
      <c r="S158" s="8"/>
      <c r="T158" s="9"/>
      <c r="U158" s="9"/>
      <c r="V158" s="9"/>
    </row>
    <row r="159" spans="1:22" x14ac:dyDescent="0.3">
      <c r="A159" s="8"/>
      <c r="B159" s="8"/>
      <c r="C159" s="8"/>
      <c r="D159" s="8"/>
      <c r="E159" s="13"/>
      <c r="F159" s="16"/>
      <c r="G159" s="8"/>
      <c r="H159" s="8"/>
      <c r="I159" s="8"/>
      <c r="J159" s="9"/>
      <c r="K159" s="9"/>
      <c r="L159" s="8"/>
      <c r="M159" s="16"/>
      <c r="N159" s="8"/>
      <c r="O159" s="8"/>
      <c r="P159" s="9"/>
      <c r="Q159" s="9"/>
      <c r="S159" s="8"/>
      <c r="T159" s="9"/>
      <c r="U159" s="9"/>
      <c r="V159" s="9"/>
    </row>
    <row r="160" spans="1:22" x14ac:dyDescent="0.3">
      <c r="A160" s="8"/>
      <c r="B160" s="8"/>
      <c r="C160" s="8"/>
      <c r="D160" s="8"/>
      <c r="E160" s="13"/>
      <c r="F160" s="16"/>
      <c r="G160" s="8"/>
      <c r="H160" s="8"/>
      <c r="I160" s="8"/>
      <c r="J160" s="9"/>
      <c r="K160" s="9"/>
      <c r="L160" s="8"/>
      <c r="M160" s="16"/>
      <c r="N160" s="8"/>
      <c r="O160" s="8"/>
      <c r="P160" s="9"/>
      <c r="Q160" s="9"/>
      <c r="S160" s="8"/>
      <c r="T160" s="9"/>
      <c r="U160" s="9"/>
      <c r="V160" s="9"/>
    </row>
    <row r="161" spans="1:22" x14ac:dyDescent="0.3">
      <c r="A161" s="8"/>
      <c r="B161" s="8"/>
      <c r="C161" s="8"/>
      <c r="D161" s="8"/>
      <c r="E161" s="13"/>
      <c r="F161" s="16"/>
      <c r="G161" s="8"/>
      <c r="H161" s="8"/>
      <c r="I161" s="8"/>
      <c r="J161" s="9"/>
      <c r="K161" s="9"/>
      <c r="L161" s="8"/>
      <c r="M161" s="16"/>
      <c r="N161" s="8"/>
      <c r="O161" s="8"/>
      <c r="P161" s="9"/>
      <c r="Q161" s="9"/>
      <c r="S161" s="8"/>
      <c r="T161" s="9"/>
      <c r="U161" s="9"/>
      <c r="V161" s="9"/>
    </row>
    <row r="162" spans="1:22" x14ac:dyDescent="0.3">
      <c r="A162" s="8"/>
      <c r="B162" s="8"/>
      <c r="C162" s="8"/>
      <c r="D162" s="8"/>
      <c r="E162" s="13"/>
      <c r="F162" s="16"/>
      <c r="G162" s="8"/>
      <c r="H162" s="8"/>
      <c r="I162" s="8"/>
      <c r="J162" s="9"/>
      <c r="K162" s="9"/>
      <c r="L162" s="8"/>
      <c r="M162" s="16"/>
      <c r="N162" s="8"/>
      <c r="O162" s="8"/>
      <c r="P162" s="9"/>
      <c r="Q162" s="9"/>
      <c r="S162" s="8"/>
      <c r="T162" s="9"/>
      <c r="U162" s="9"/>
      <c r="V162" s="9"/>
    </row>
    <row r="163" spans="1:22" x14ac:dyDescent="0.3">
      <c r="A163" s="8"/>
      <c r="B163" s="8"/>
      <c r="C163" s="8"/>
      <c r="D163" s="8"/>
      <c r="E163" s="13"/>
      <c r="F163" s="16"/>
      <c r="G163" s="8"/>
      <c r="H163" s="8"/>
      <c r="I163" s="8"/>
      <c r="J163" s="9"/>
      <c r="K163" s="9"/>
      <c r="L163" s="8"/>
      <c r="M163" s="16"/>
      <c r="N163" s="8"/>
      <c r="O163" s="8"/>
      <c r="P163" s="9"/>
      <c r="Q163" s="9"/>
      <c r="S163" s="8"/>
      <c r="T163" s="9"/>
      <c r="U163" s="9"/>
      <c r="V163" s="9"/>
    </row>
    <row r="164" spans="1:22" x14ac:dyDescent="0.3">
      <c r="A164" s="8"/>
      <c r="B164" s="8"/>
      <c r="C164" s="8"/>
      <c r="D164" s="8"/>
      <c r="E164" s="13"/>
      <c r="F164" s="16"/>
      <c r="G164" s="8"/>
      <c r="H164" s="8"/>
      <c r="I164" s="8"/>
      <c r="J164" s="9"/>
      <c r="K164" s="9"/>
      <c r="L164" s="8"/>
      <c r="M164" s="16"/>
      <c r="N164" s="8"/>
      <c r="O164" s="8"/>
      <c r="P164" s="9"/>
      <c r="Q164" s="9"/>
      <c r="S164" s="8"/>
      <c r="T164" s="9"/>
      <c r="U164" s="9"/>
      <c r="V164" s="9"/>
    </row>
    <row r="165" spans="1:22" x14ac:dyDescent="0.3">
      <c r="A165" s="8"/>
      <c r="B165" s="8"/>
      <c r="C165" s="8"/>
      <c r="D165" s="8"/>
      <c r="E165" s="13"/>
      <c r="F165" s="16"/>
      <c r="G165" s="8"/>
      <c r="H165" s="8"/>
      <c r="I165" s="8"/>
      <c r="J165" s="9"/>
      <c r="K165" s="9"/>
      <c r="L165" s="8"/>
      <c r="M165" s="16"/>
      <c r="N165" s="8"/>
      <c r="O165" s="8"/>
      <c r="P165" s="9"/>
      <c r="Q165" s="9"/>
      <c r="S165" s="8"/>
      <c r="T165" s="9"/>
      <c r="U165" s="9"/>
      <c r="V165" s="9"/>
    </row>
    <row r="166" spans="1:22" x14ac:dyDescent="0.3">
      <c r="A166" s="8"/>
      <c r="B166" s="8"/>
      <c r="C166" s="8"/>
      <c r="D166" s="8"/>
      <c r="E166" s="13"/>
      <c r="F166" s="16"/>
      <c r="G166" s="8"/>
      <c r="H166" s="8"/>
      <c r="I166" s="8"/>
      <c r="J166" s="9"/>
      <c r="K166" s="9"/>
      <c r="L166" s="8"/>
      <c r="M166" s="16"/>
      <c r="N166" s="8"/>
      <c r="O166" s="8"/>
      <c r="P166" s="9"/>
      <c r="Q166" s="9"/>
      <c r="S166" s="8"/>
      <c r="T166" s="9"/>
      <c r="U166" s="9"/>
      <c r="V166" s="9"/>
    </row>
    <row r="167" spans="1:22" x14ac:dyDescent="0.3">
      <c r="A167" s="8"/>
      <c r="B167" s="8"/>
      <c r="C167" s="8"/>
      <c r="D167" s="8"/>
      <c r="E167" s="13"/>
      <c r="F167" s="16"/>
      <c r="G167" s="8"/>
      <c r="H167" s="8"/>
      <c r="I167" s="8"/>
      <c r="J167" s="9"/>
      <c r="K167" s="9"/>
      <c r="L167" s="8"/>
      <c r="M167" s="16"/>
      <c r="N167" s="8"/>
      <c r="O167" s="8"/>
      <c r="P167" s="9"/>
      <c r="Q167" s="9"/>
      <c r="S167" s="8"/>
      <c r="T167" s="9"/>
      <c r="U167" s="9"/>
      <c r="V167" s="9"/>
    </row>
    <row r="168" spans="1:22" x14ac:dyDescent="0.3">
      <c r="A168" s="8"/>
      <c r="B168" s="8"/>
      <c r="C168" s="8"/>
      <c r="D168" s="8"/>
      <c r="E168" s="13"/>
      <c r="F168" s="16"/>
      <c r="G168" s="8"/>
      <c r="H168" s="8"/>
      <c r="I168" s="8"/>
      <c r="J168" s="9"/>
      <c r="K168" s="9"/>
      <c r="L168" s="8"/>
      <c r="M168" s="16"/>
      <c r="N168" s="8"/>
      <c r="O168" s="8"/>
      <c r="P168" s="9"/>
      <c r="Q168" s="9"/>
      <c r="S168" s="8"/>
      <c r="T168" s="9"/>
      <c r="U168" s="9"/>
      <c r="V168" s="9"/>
    </row>
    <row r="169" spans="1:22" x14ac:dyDescent="0.3">
      <c r="A169" s="8"/>
      <c r="B169" s="8"/>
      <c r="C169" s="8"/>
      <c r="D169" s="8"/>
      <c r="E169" s="13"/>
      <c r="F169" s="16"/>
      <c r="G169" s="8"/>
      <c r="H169" s="8"/>
      <c r="I169" s="8"/>
      <c r="J169" s="9"/>
      <c r="K169" s="9"/>
      <c r="L169" s="8"/>
      <c r="M169" s="16"/>
      <c r="N169" s="8"/>
      <c r="O169" s="8"/>
      <c r="P169" s="9"/>
      <c r="Q169" s="9"/>
      <c r="S169" s="8"/>
      <c r="T169" s="9"/>
      <c r="U169" s="9"/>
      <c r="V169" s="9"/>
    </row>
    <row r="170" spans="1:22" x14ac:dyDescent="0.3">
      <c r="A170" s="8"/>
      <c r="B170" s="8"/>
      <c r="C170" s="8"/>
      <c r="D170" s="8"/>
      <c r="E170" s="13"/>
      <c r="F170" s="16"/>
      <c r="G170" s="8"/>
      <c r="H170" s="8"/>
      <c r="I170" s="8"/>
      <c r="J170" s="9"/>
      <c r="K170" s="9"/>
      <c r="L170" s="8"/>
      <c r="M170" s="16"/>
      <c r="N170" s="8"/>
      <c r="O170" s="8"/>
      <c r="P170" s="9"/>
      <c r="Q170" s="9"/>
    </row>
    <row r="171" spans="1:22" x14ac:dyDescent="0.3">
      <c r="A171" s="8"/>
      <c r="B171" s="8"/>
      <c r="C171" s="8"/>
      <c r="D171" s="8"/>
      <c r="E171" s="13"/>
      <c r="F171" s="16"/>
      <c r="G171" s="8"/>
      <c r="H171" s="8"/>
      <c r="I171" s="8"/>
      <c r="J171" s="9"/>
      <c r="K171" s="9"/>
      <c r="L171" s="8"/>
      <c r="M171" s="16"/>
      <c r="N171" s="8"/>
      <c r="O171" s="8"/>
      <c r="P171" s="9"/>
      <c r="Q171" s="9"/>
    </row>
    <row r="172" spans="1:22" x14ac:dyDescent="0.3">
      <c r="A172" s="8"/>
      <c r="B172" s="8"/>
      <c r="C172" s="8"/>
      <c r="D172" s="8"/>
      <c r="E172" s="13"/>
      <c r="F172" s="16"/>
      <c r="G172" s="8"/>
      <c r="H172" s="8"/>
      <c r="I172" s="8"/>
      <c r="J172" s="9"/>
      <c r="K172" s="9"/>
      <c r="L172" s="8"/>
      <c r="M172" s="16"/>
      <c r="N172" s="8"/>
      <c r="O172" s="8"/>
      <c r="P172" s="9"/>
      <c r="Q172" s="9"/>
    </row>
    <row r="173" spans="1:22" x14ac:dyDescent="0.3">
      <c r="A173" s="8"/>
      <c r="B173" s="8"/>
      <c r="C173" s="8"/>
      <c r="D173" s="8"/>
      <c r="E173" s="13"/>
      <c r="F173" s="16"/>
      <c r="G173" s="8"/>
      <c r="H173" s="8"/>
      <c r="I173" s="8"/>
      <c r="J173" s="9"/>
      <c r="K173" s="9"/>
      <c r="L173" s="8"/>
      <c r="M173" s="16"/>
      <c r="N173" s="8"/>
      <c r="O173" s="8"/>
      <c r="P173" s="9"/>
      <c r="Q173" s="9"/>
    </row>
    <row r="174" spans="1:22" x14ac:dyDescent="0.3">
      <c r="A174" s="8"/>
      <c r="B174" s="8"/>
      <c r="C174" s="8"/>
      <c r="D174" s="8"/>
      <c r="E174" s="13"/>
      <c r="F174" s="16"/>
      <c r="G174" s="8"/>
      <c r="H174" s="8"/>
      <c r="I174" s="8"/>
      <c r="J174" s="9"/>
      <c r="K174" s="9"/>
      <c r="L174" s="8"/>
      <c r="M174" s="16"/>
      <c r="N174" s="8"/>
      <c r="O174" s="8"/>
      <c r="P174" s="9"/>
      <c r="Q174" s="9"/>
    </row>
    <row r="175" spans="1:22" x14ac:dyDescent="0.3">
      <c r="A175" s="8"/>
      <c r="B175" s="8"/>
      <c r="C175" s="8"/>
      <c r="D175" s="8"/>
      <c r="E175" s="13"/>
      <c r="F175" s="16"/>
      <c r="G175" s="8"/>
      <c r="H175" s="8"/>
      <c r="I175" s="8"/>
      <c r="J175" s="9"/>
      <c r="K175" s="9"/>
      <c r="L175" s="8"/>
      <c r="M175" s="16"/>
      <c r="N175" s="8"/>
      <c r="O175" s="8"/>
      <c r="P175" s="9"/>
      <c r="Q175" s="9"/>
    </row>
    <row r="176" spans="1:22" x14ac:dyDescent="0.3">
      <c r="A176" s="8"/>
      <c r="B176" s="8"/>
      <c r="C176" s="8"/>
      <c r="D176" s="8"/>
      <c r="E176" s="13"/>
      <c r="F176" s="16"/>
      <c r="G176" s="8"/>
      <c r="H176" s="8"/>
      <c r="I176" s="8"/>
      <c r="J176" s="9"/>
      <c r="K176" s="9"/>
      <c r="L176" s="8"/>
      <c r="M176" s="16"/>
      <c r="N176" s="8"/>
      <c r="O176" s="8"/>
      <c r="P176" s="9"/>
      <c r="Q176" s="9"/>
    </row>
    <row r="177" spans="1:17" x14ac:dyDescent="0.3">
      <c r="A177" s="8"/>
      <c r="B177" s="8"/>
      <c r="C177" s="8"/>
      <c r="D177" s="8"/>
      <c r="E177" s="13"/>
      <c r="F177" s="16"/>
      <c r="G177" s="8"/>
      <c r="H177" s="8"/>
      <c r="I177" s="8"/>
      <c r="J177" s="9"/>
      <c r="K177" s="9"/>
      <c r="L177" s="8"/>
      <c r="M177" s="16"/>
      <c r="N177" s="8"/>
      <c r="O177" s="8"/>
      <c r="P177" s="9"/>
      <c r="Q177" s="9"/>
    </row>
    <row r="178" spans="1:17" x14ac:dyDescent="0.3">
      <c r="A178" s="8"/>
      <c r="B178" s="8"/>
      <c r="C178" s="8"/>
      <c r="D178" s="8"/>
      <c r="E178" s="13"/>
      <c r="F178" s="16"/>
      <c r="G178" s="8"/>
      <c r="H178" s="8"/>
      <c r="I178" s="8"/>
      <c r="J178" s="9"/>
      <c r="K178" s="9"/>
      <c r="L178" s="8"/>
      <c r="M178" s="16"/>
      <c r="N178" s="8"/>
      <c r="O178" s="8"/>
      <c r="P178" s="9"/>
      <c r="Q178" s="9"/>
    </row>
    <row r="179" spans="1:17" x14ac:dyDescent="0.3">
      <c r="A179" s="8"/>
      <c r="B179" s="8"/>
      <c r="C179" s="8"/>
      <c r="D179" s="8"/>
      <c r="E179" s="13"/>
      <c r="F179" s="16"/>
      <c r="G179" s="8"/>
      <c r="H179" s="8"/>
      <c r="I179" s="8"/>
      <c r="J179" s="9"/>
      <c r="K179" s="9"/>
      <c r="L179" s="8"/>
      <c r="M179" s="16"/>
      <c r="N179" s="8"/>
      <c r="O179" s="17"/>
      <c r="P179" s="9"/>
      <c r="Q179" s="9"/>
    </row>
    <row r="180" spans="1:17" x14ac:dyDescent="0.3">
      <c r="A180" s="8"/>
      <c r="B180" s="8"/>
      <c r="C180" s="8"/>
      <c r="D180" s="8"/>
      <c r="E180" s="13"/>
      <c r="F180" s="16"/>
      <c r="G180" s="8"/>
      <c r="H180" s="8"/>
      <c r="I180" s="8"/>
      <c r="J180" s="9"/>
      <c r="K180" s="9"/>
      <c r="L180" s="8"/>
      <c r="M180" s="16"/>
      <c r="N180" s="8"/>
      <c r="O180" s="8"/>
      <c r="P180" s="9"/>
      <c r="Q180" s="9"/>
    </row>
    <row r="181" spans="1:17" x14ac:dyDescent="0.3">
      <c r="A181" s="8"/>
      <c r="B181" s="8"/>
      <c r="C181" s="8"/>
      <c r="D181" s="8"/>
      <c r="E181" s="13"/>
      <c r="F181" s="16"/>
      <c r="G181" s="8"/>
      <c r="H181" s="8"/>
      <c r="I181" s="8"/>
      <c r="J181" s="9"/>
      <c r="K181" s="9"/>
      <c r="L181" s="8"/>
      <c r="M181" s="16"/>
      <c r="N181" s="8"/>
      <c r="O181" s="8"/>
      <c r="P181" s="9"/>
      <c r="Q181" s="9"/>
    </row>
    <row r="182" spans="1:17" x14ac:dyDescent="0.3">
      <c r="A182" s="8"/>
      <c r="B182" s="8"/>
      <c r="C182" s="8"/>
      <c r="D182" s="8"/>
      <c r="E182" s="13"/>
      <c r="F182" s="16"/>
      <c r="G182" s="8"/>
      <c r="H182" s="8"/>
      <c r="I182" s="8"/>
      <c r="J182" s="9"/>
      <c r="K182" s="9"/>
      <c r="L182" s="8"/>
      <c r="M182" s="16"/>
      <c r="N182" s="8"/>
      <c r="O182" s="8"/>
      <c r="P182" s="9"/>
      <c r="Q182" s="9"/>
    </row>
    <row r="183" spans="1:17" x14ac:dyDescent="0.3">
      <c r="A183" s="8"/>
      <c r="B183" s="8"/>
      <c r="C183" s="8"/>
      <c r="D183" s="8"/>
      <c r="E183" s="13"/>
      <c r="F183" s="16"/>
      <c r="G183" s="8"/>
      <c r="H183" s="8"/>
      <c r="I183" s="8"/>
      <c r="J183" s="9"/>
      <c r="K183" s="9"/>
      <c r="L183" s="8"/>
      <c r="M183" s="16"/>
      <c r="N183" s="8"/>
      <c r="O183" s="8"/>
      <c r="P183" s="9"/>
      <c r="Q183" s="9"/>
    </row>
    <row r="184" spans="1:17" x14ac:dyDescent="0.3">
      <c r="A184" s="8"/>
      <c r="B184" s="8"/>
      <c r="C184" s="8"/>
      <c r="D184" s="8"/>
      <c r="E184" s="13"/>
      <c r="F184" s="16"/>
      <c r="G184" s="8"/>
      <c r="H184" s="8"/>
      <c r="I184" s="8"/>
      <c r="J184" s="9"/>
      <c r="K184" s="9"/>
      <c r="L184" s="8"/>
      <c r="M184" s="16"/>
      <c r="N184" s="8"/>
      <c r="O184" s="8"/>
      <c r="P184" s="9"/>
      <c r="Q184" s="9"/>
    </row>
    <row r="185" spans="1:17" x14ac:dyDescent="0.3">
      <c r="A185" s="8"/>
      <c r="B185" s="8"/>
      <c r="C185" s="8"/>
      <c r="D185" s="8"/>
      <c r="E185" s="13"/>
      <c r="F185" s="16"/>
      <c r="G185" s="8"/>
      <c r="H185" s="8"/>
      <c r="I185" s="8"/>
      <c r="J185" s="9"/>
      <c r="K185" s="9"/>
      <c r="L185" s="8"/>
      <c r="M185" s="16"/>
      <c r="N185" s="8"/>
      <c r="O185" s="8"/>
      <c r="P185" s="9"/>
      <c r="Q185" s="9"/>
    </row>
    <row r="186" spans="1:17" x14ac:dyDescent="0.3">
      <c r="A186" s="8"/>
      <c r="B186" s="8"/>
      <c r="C186" s="8"/>
      <c r="D186" s="8"/>
      <c r="E186" s="13"/>
      <c r="F186" s="16"/>
      <c r="G186" s="8"/>
      <c r="H186" s="8"/>
      <c r="I186" s="8"/>
      <c r="J186" s="9"/>
      <c r="K186" s="9"/>
      <c r="L186" s="8"/>
      <c r="M186" s="16"/>
      <c r="N186" s="8"/>
      <c r="O186" s="8"/>
      <c r="P186" s="9"/>
      <c r="Q186" s="9"/>
    </row>
    <row r="187" spans="1:17" x14ac:dyDescent="0.3">
      <c r="A187" s="8"/>
      <c r="B187" s="8"/>
      <c r="C187" s="8"/>
      <c r="D187" s="8"/>
      <c r="E187" s="13"/>
      <c r="F187" s="16"/>
      <c r="G187" s="8"/>
      <c r="H187" s="8"/>
      <c r="I187" s="8"/>
      <c r="J187" s="9"/>
      <c r="K187" s="9"/>
      <c r="L187" s="8"/>
      <c r="M187" s="16"/>
      <c r="N187" s="8"/>
      <c r="O187" s="8"/>
      <c r="P187" s="9"/>
      <c r="Q187" s="9"/>
    </row>
    <row r="188" spans="1:17" x14ac:dyDescent="0.3">
      <c r="A188" s="8"/>
      <c r="B188" s="8"/>
      <c r="C188" s="8"/>
      <c r="D188" s="8"/>
      <c r="E188" s="13"/>
      <c r="F188" s="16"/>
      <c r="G188" s="8"/>
      <c r="H188" s="8"/>
      <c r="I188" s="8"/>
      <c r="J188" s="9"/>
      <c r="K188" s="9"/>
      <c r="L188" s="8"/>
      <c r="M188" s="16"/>
      <c r="N188" s="8"/>
      <c r="O188" s="8"/>
      <c r="P188" s="9"/>
      <c r="Q188" s="9"/>
    </row>
    <row r="189" spans="1:17" x14ac:dyDescent="0.3">
      <c r="A189" s="8"/>
      <c r="B189" s="8"/>
      <c r="C189" s="8"/>
      <c r="D189" s="8"/>
      <c r="E189" s="13"/>
      <c r="F189" s="16"/>
      <c r="G189" s="8"/>
      <c r="H189" s="8"/>
      <c r="I189" s="8"/>
      <c r="J189" s="9"/>
      <c r="K189" s="9"/>
      <c r="L189" s="8"/>
      <c r="M189" s="16"/>
      <c r="N189" s="8"/>
      <c r="O189" s="8"/>
      <c r="P189" s="9"/>
      <c r="Q189" s="9"/>
    </row>
    <row r="190" spans="1:17" x14ac:dyDescent="0.3">
      <c r="A190" s="8"/>
      <c r="B190" s="8"/>
      <c r="C190" s="8"/>
      <c r="D190" s="8"/>
      <c r="E190" s="13"/>
      <c r="F190" s="16"/>
      <c r="G190" s="8"/>
      <c r="H190" s="8"/>
      <c r="I190" s="8"/>
      <c r="J190" s="9"/>
      <c r="K190" s="9"/>
      <c r="L190" s="8"/>
      <c r="M190" s="16"/>
      <c r="N190" s="8"/>
      <c r="O190" s="8"/>
      <c r="P190" s="9"/>
      <c r="Q190" s="9"/>
    </row>
    <row r="191" spans="1:17" x14ac:dyDescent="0.3">
      <c r="A191" s="8"/>
      <c r="B191" s="8"/>
      <c r="C191" s="8"/>
      <c r="D191" s="8"/>
      <c r="E191" s="13"/>
      <c r="F191" s="16"/>
      <c r="G191" s="8"/>
      <c r="H191" s="8"/>
      <c r="I191" s="8"/>
      <c r="J191" s="9"/>
      <c r="K191" s="9"/>
      <c r="L191" s="8"/>
      <c r="M191" s="16"/>
      <c r="N191" s="8"/>
      <c r="O191" s="8"/>
      <c r="P191" s="9"/>
      <c r="Q191" s="9"/>
    </row>
    <row r="192" spans="1:17" x14ac:dyDescent="0.3">
      <c r="A192" s="8"/>
      <c r="B192" s="8"/>
      <c r="C192" s="8"/>
      <c r="D192" s="8"/>
      <c r="E192" s="13"/>
      <c r="F192" s="16"/>
      <c r="G192" s="8"/>
      <c r="H192" s="8"/>
      <c r="I192" s="8"/>
      <c r="J192" s="9"/>
      <c r="K192" s="9"/>
      <c r="L192" s="8"/>
      <c r="M192" s="16"/>
      <c r="N192" s="8"/>
      <c r="O192" s="8"/>
      <c r="P192" s="9"/>
      <c r="Q192" s="9"/>
    </row>
    <row r="193" spans="1:17" x14ac:dyDescent="0.3">
      <c r="A193" s="8"/>
      <c r="B193" s="8"/>
      <c r="C193" s="8"/>
      <c r="D193" s="8"/>
      <c r="E193" s="13"/>
      <c r="F193" s="16"/>
      <c r="G193" s="8"/>
      <c r="H193" s="8"/>
      <c r="I193" s="8"/>
      <c r="J193" s="9"/>
      <c r="K193" s="9"/>
      <c r="L193" s="8"/>
      <c r="M193" s="16"/>
      <c r="N193" s="8"/>
      <c r="O193" s="8"/>
      <c r="P193" s="9"/>
      <c r="Q193" s="9"/>
    </row>
    <row r="194" spans="1:17" x14ac:dyDescent="0.3">
      <c r="A194" s="8"/>
      <c r="B194" s="8"/>
      <c r="C194" s="8"/>
      <c r="D194" s="8"/>
      <c r="E194" s="13"/>
      <c r="F194" s="16"/>
      <c r="G194" s="8"/>
      <c r="H194" s="8"/>
      <c r="I194" s="8"/>
      <c r="J194" s="9"/>
      <c r="K194" s="9"/>
      <c r="L194" s="8"/>
      <c r="M194" s="16"/>
      <c r="N194" s="8"/>
      <c r="O194" s="8"/>
      <c r="P194" s="9"/>
      <c r="Q194" s="9"/>
    </row>
    <row r="195" spans="1:17" x14ac:dyDescent="0.3">
      <c r="A195" s="8"/>
      <c r="B195" s="8"/>
      <c r="C195" s="8"/>
      <c r="D195" s="8"/>
      <c r="E195" s="13"/>
      <c r="F195" s="16"/>
      <c r="G195" s="8"/>
      <c r="H195" s="8"/>
      <c r="I195" s="8"/>
      <c r="J195" s="9"/>
      <c r="K195" s="9"/>
      <c r="L195" s="8"/>
      <c r="M195" s="16"/>
      <c r="N195" s="8"/>
      <c r="O195" s="8"/>
      <c r="P195" s="9"/>
      <c r="Q195" s="9"/>
    </row>
    <row r="196" spans="1:17" x14ac:dyDescent="0.3">
      <c r="A196" s="8"/>
      <c r="B196" s="8"/>
      <c r="C196" s="8"/>
      <c r="D196" s="8"/>
      <c r="E196" s="13"/>
      <c r="F196" s="16"/>
      <c r="G196" s="8"/>
      <c r="H196" s="8"/>
      <c r="I196" s="8"/>
      <c r="J196" s="9"/>
      <c r="K196" s="9"/>
      <c r="L196" s="8"/>
      <c r="M196" s="16"/>
      <c r="N196" s="8"/>
      <c r="O196" s="8"/>
      <c r="P196" s="9"/>
      <c r="Q196" s="9"/>
    </row>
    <row r="197" spans="1:17" x14ac:dyDescent="0.3">
      <c r="A197" s="8"/>
      <c r="B197" s="8"/>
      <c r="C197" s="8"/>
      <c r="D197" s="8"/>
      <c r="E197" s="13"/>
      <c r="F197" s="16"/>
      <c r="G197" s="8"/>
      <c r="H197" s="8"/>
      <c r="I197" s="8"/>
      <c r="J197" s="9"/>
      <c r="K197" s="9"/>
      <c r="L197" s="8"/>
      <c r="M197" s="16"/>
      <c r="N197" s="8"/>
      <c r="O197" s="8"/>
      <c r="P197" s="9"/>
      <c r="Q197" s="9"/>
    </row>
    <row r="198" spans="1:17" x14ac:dyDescent="0.3">
      <c r="A198" s="8"/>
      <c r="B198" s="8"/>
      <c r="C198" s="8"/>
      <c r="D198" s="8"/>
      <c r="E198" s="13"/>
      <c r="F198" s="16"/>
      <c r="G198" s="8"/>
      <c r="H198" s="8"/>
      <c r="I198" s="8"/>
      <c r="J198" s="9"/>
      <c r="K198" s="9"/>
      <c r="L198" s="8"/>
      <c r="M198" s="16"/>
      <c r="N198" s="8"/>
      <c r="O198" s="8"/>
      <c r="P198" s="9"/>
      <c r="Q198" s="9"/>
    </row>
    <row r="199" spans="1:17" x14ac:dyDescent="0.3">
      <c r="A199" s="8"/>
      <c r="B199" s="8"/>
      <c r="C199" s="8"/>
      <c r="D199" s="8"/>
      <c r="E199" s="13"/>
      <c r="F199" s="16"/>
      <c r="G199" s="8"/>
      <c r="H199" s="8"/>
      <c r="I199" s="8"/>
      <c r="J199" s="9"/>
      <c r="K199" s="9"/>
      <c r="L199" s="8"/>
      <c r="M199" s="16"/>
      <c r="N199" s="8"/>
      <c r="O199" s="8"/>
      <c r="P199" s="9"/>
      <c r="Q199" s="9"/>
    </row>
    <row r="200" spans="1:17" x14ac:dyDescent="0.3">
      <c r="A200" s="8"/>
      <c r="B200" s="8"/>
      <c r="C200" s="8"/>
      <c r="D200" s="8"/>
      <c r="E200" s="13"/>
      <c r="F200" s="16"/>
      <c r="G200" s="8"/>
      <c r="H200" s="8"/>
      <c r="I200" s="8"/>
      <c r="J200" s="9"/>
      <c r="K200" s="9"/>
      <c r="L200" s="8"/>
      <c r="M200" s="16"/>
      <c r="N200" s="8"/>
      <c r="O200" s="8"/>
      <c r="P200" s="9"/>
      <c r="Q200" s="9"/>
    </row>
    <row r="201" spans="1:17" x14ac:dyDescent="0.3">
      <c r="A201" s="8"/>
      <c r="B201" s="8"/>
      <c r="C201" s="8"/>
      <c r="D201" s="8"/>
      <c r="E201" s="13"/>
      <c r="F201" s="16"/>
      <c r="G201" s="8"/>
      <c r="H201" s="8"/>
      <c r="I201" s="8"/>
      <c r="J201" s="9"/>
      <c r="K201" s="9"/>
      <c r="L201" s="8"/>
      <c r="M201" s="16"/>
      <c r="N201" s="8"/>
      <c r="O201" s="8"/>
      <c r="P201" s="9"/>
      <c r="Q201" s="9"/>
    </row>
    <row r="202" spans="1:17" x14ac:dyDescent="0.3">
      <c r="A202" s="8"/>
      <c r="B202" s="8"/>
      <c r="C202" s="8"/>
      <c r="D202" s="8"/>
      <c r="E202" s="13"/>
      <c r="F202" s="16"/>
      <c r="G202" s="8"/>
      <c r="H202" s="8"/>
      <c r="I202" s="8"/>
      <c r="J202" s="9"/>
      <c r="K202" s="9"/>
      <c r="L202" s="8"/>
      <c r="M202" s="16"/>
      <c r="N202" s="8"/>
      <c r="O202" s="8"/>
      <c r="P202" s="9"/>
      <c r="Q202" s="9"/>
    </row>
    <row r="203" spans="1:17" x14ac:dyDescent="0.3">
      <c r="A203" s="8"/>
      <c r="B203" s="8"/>
      <c r="C203" s="8"/>
      <c r="D203" s="8"/>
      <c r="E203" s="13"/>
      <c r="F203" s="16"/>
      <c r="G203" s="8"/>
      <c r="H203" s="8"/>
      <c r="I203" s="8"/>
      <c r="J203" s="9"/>
      <c r="K203" s="9"/>
      <c r="L203" s="8"/>
      <c r="M203" s="16"/>
      <c r="N203" s="8"/>
      <c r="O203" s="8"/>
      <c r="P203" s="9"/>
      <c r="Q203" s="9"/>
    </row>
    <row r="204" spans="1:17" x14ac:dyDescent="0.3">
      <c r="A204" s="8"/>
      <c r="B204" s="8"/>
      <c r="C204" s="8"/>
      <c r="D204" s="8"/>
      <c r="E204" s="13"/>
      <c r="F204" s="16"/>
      <c r="G204" s="8"/>
      <c r="H204" s="8"/>
      <c r="I204" s="8"/>
      <c r="J204" s="9"/>
      <c r="K204" s="9"/>
      <c r="L204" s="8"/>
      <c r="M204" s="16"/>
      <c r="N204" s="8"/>
      <c r="O204" s="8"/>
      <c r="P204" s="9"/>
      <c r="Q204" s="9"/>
    </row>
    <row r="205" spans="1:17" x14ac:dyDescent="0.3">
      <c r="A205" s="8"/>
      <c r="B205" s="8"/>
      <c r="C205" s="8"/>
      <c r="D205" s="8"/>
      <c r="E205" s="13"/>
      <c r="F205" s="16"/>
      <c r="G205" s="8"/>
      <c r="H205" s="8"/>
      <c r="I205" s="8"/>
      <c r="J205" s="9"/>
      <c r="K205" s="9"/>
      <c r="L205" s="8"/>
      <c r="M205" s="16"/>
      <c r="N205" s="8"/>
      <c r="O205" s="8"/>
      <c r="P205" s="9"/>
      <c r="Q205" s="9"/>
    </row>
    <row r="206" spans="1:17" x14ac:dyDescent="0.3">
      <c r="A206" s="8"/>
      <c r="B206" s="8"/>
      <c r="C206" s="8"/>
      <c r="D206" s="8"/>
      <c r="E206" s="13"/>
      <c r="F206" s="16"/>
      <c r="G206" s="8"/>
      <c r="H206" s="8"/>
      <c r="I206" s="8"/>
      <c r="J206" s="9"/>
      <c r="K206" s="9"/>
      <c r="L206" s="8"/>
      <c r="M206" s="16"/>
      <c r="N206" s="8"/>
      <c r="O206" s="8"/>
      <c r="P206" s="9"/>
      <c r="Q206" s="9"/>
    </row>
    <row r="207" spans="1:17" x14ac:dyDescent="0.3">
      <c r="A207" s="8"/>
      <c r="B207" s="8"/>
      <c r="C207" s="8"/>
      <c r="D207" s="8"/>
      <c r="E207" s="13"/>
      <c r="F207" s="16"/>
      <c r="G207" s="8"/>
      <c r="H207" s="8"/>
      <c r="I207" s="8"/>
      <c r="J207" s="9"/>
      <c r="K207" s="9"/>
      <c r="L207" s="8"/>
      <c r="M207" s="16"/>
      <c r="N207" s="8"/>
      <c r="O207" s="8"/>
      <c r="P207" s="9"/>
      <c r="Q207" s="9"/>
    </row>
    <row r="208" spans="1:17" x14ac:dyDescent="0.3">
      <c r="A208" s="8"/>
      <c r="B208" s="8"/>
      <c r="C208" s="8"/>
      <c r="D208" s="8"/>
      <c r="E208" s="13"/>
      <c r="F208" s="16"/>
      <c r="G208" s="8"/>
      <c r="H208" s="8"/>
      <c r="I208" s="8"/>
      <c r="J208" s="9"/>
      <c r="K208" s="9"/>
      <c r="L208" s="8"/>
      <c r="M208" s="16"/>
      <c r="N208" s="8"/>
      <c r="O208" s="8"/>
      <c r="P208" s="9"/>
      <c r="Q208" s="9"/>
    </row>
    <row r="209" spans="1:17" x14ac:dyDescent="0.3">
      <c r="A209" s="8"/>
      <c r="B209" s="8"/>
      <c r="C209" s="8"/>
      <c r="D209" s="8"/>
      <c r="E209" s="13"/>
      <c r="F209" s="16"/>
      <c r="G209" s="8"/>
      <c r="H209" s="8"/>
      <c r="I209" s="8"/>
      <c r="J209" s="9"/>
      <c r="K209" s="9"/>
      <c r="L209" s="8"/>
      <c r="M209" s="16"/>
      <c r="N209" s="8"/>
      <c r="O209" s="8"/>
      <c r="P209" s="9"/>
      <c r="Q209" s="9"/>
    </row>
    <row r="210" spans="1:17" x14ac:dyDescent="0.3">
      <c r="A210" s="8"/>
      <c r="B210" s="8"/>
      <c r="C210" s="8"/>
      <c r="D210" s="8"/>
      <c r="E210" s="13"/>
      <c r="F210" s="16"/>
      <c r="G210" s="8"/>
      <c r="H210" s="8"/>
      <c r="I210" s="8"/>
      <c r="J210" s="12"/>
      <c r="K210" s="12"/>
      <c r="L210" s="8"/>
      <c r="M210" s="16"/>
      <c r="N210" s="8"/>
      <c r="O210" s="8"/>
      <c r="P210" s="12"/>
      <c r="Q210" s="12"/>
    </row>
    <row r="211" spans="1:17" x14ac:dyDescent="0.3">
      <c r="A211" s="8"/>
      <c r="B211" s="8"/>
      <c r="C211" s="8"/>
      <c r="D211" s="8"/>
      <c r="E211" s="13"/>
      <c r="F211" s="16"/>
      <c r="G211" s="8"/>
      <c r="H211" s="8"/>
      <c r="I211" s="8"/>
      <c r="J211" s="9"/>
      <c r="K211" s="9"/>
      <c r="L211" s="8"/>
      <c r="M211" s="16"/>
      <c r="N211" s="8"/>
      <c r="O211" s="8"/>
      <c r="P211" s="9"/>
      <c r="Q211" s="9"/>
    </row>
    <row r="212" spans="1:17" x14ac:dyDescent="0.3">
      <c r="A212" s="8"/>
      <c r="B212" s="8"/>
      <c r="C212" s="8"/>
      <c r="D212" s="8"/>
      <c r="E212" s="13"/>
      <c r="F212" s="16"/>
      <c r="G212" s="8"/>
      <c r="H212" s="8"/>
      <c r="I212" s="8"/>
      <c r="J212" s="9"/>
      <c r="K212" s="9"/>
      <c r="L212" s="8"/>
      <c r="M212" s="16"/>
      <c r="N212" s="8"/>
      <c r="O212" s="8"/>
      <c r="P212" s="9"/>
      <c r="Q212" s="9"/>
    </row>
    <row r="213" spans="1:17" x14ac:dyDescent="0.3">
      <c r="A213" s="8"/>
      <c r="B213" s="8"/>
      <c r="C213" s="8"/>
      <c r="D213" s="8"/>
      <c r="E213" s="13"/>
      <c r="F213" s="16"/>
      <c r="G213" s="8"/>
      <c r="H213" s="8"/>
      <c r="I213" s="8"/>
      <c r="J213" s="9"/>
      <c r="K213" s="9"/>
      <c r="L213" s="8"/>
      <c r="M213" s="16"/>
      <c r="N213" s="8"/>
      <c r="O213" s="8"/>
      <c r="P213" s="9"/>
      <c r="Q213" s="9"/>
    </row>
    <row r="214" spans="1:17" x14ac:dyDescent="0.3">
      <c r="A214" s="8"/>
      <c r="B214" s="8"/>
      <c r="C214" s="8"/>
      <c r="D214" s="8"/>
      <c r="E214" s="13"/>
      <c r="F214" s="16"/>
      <c r="G214" s="8"/>
      <c r="H214" s="8"/>
      <c r="I214" s="8"/>
      <c r="J214" s="9"/>
      <c r="K214" s="9"/>
      <c r="L214" s="8"/>
      <c r="M214" s="16"/>
      <c r="N214" s="8"/>
      <c r="O214" s="8"/>
      <c r="P214" s="9"/>
      <c r="Q214" s="9"/>
    </row>
    <row r="215" spans="1:17" x14ac:dyDescent="0.3">
      <c r="A215" s="8"/>
      <c r="B215" s="8"/>
      <c r="C215" s="8"/>
      <c r="D215" s="8"/>
      <c r="E215" s="13"/>
      <c r="F215" s="16"/>
      <c r="G215" s="8"/>
      <c r="H215" s="8"/>
      <c r="I215" s="8"/>
      <c r="J215" s="9"/>
      <c r="K215" s="9"/>
      <c r="L215" s="8"/>
      <c r="M215" s="16"/>
      <c r="N215" s="8"/>
      <c r="O215" s="8"/>
      <c r="P215" s="9"/>
      <c r="Q215" s="9"/>
    </row>
    <row r="216" spans="1:17" x14ac:dyDescent="0.3">
      <c r="A216" s="8"/>
      <c r="B216" s="8"/>
      <c r="C216" s="8"/>
      <c r="D216" s="8"/>
      <c r="E216" s="13"/>
      <c r="F216" s="16"/>
      <c r="G216" s="8"/>
      <c r="H216" s="8"/>
      <c r="I216" s="8"/>
      <c r="J216" s="9"/>
      <c r="K216" s="9"/>
      <c r="L216" s="8"/>
      <c r="M216" s="16"/>
      <c r="N216" s="8"/>
      <c r="O216" s="8"/>
      <c r="P216" s="9"/>
      <c r="Q216" s="9"/>
    </row>
    <row r="217" spans="1:17" x14ac:dyDescent="0.3">
      <c r="A217" s="8"/>
      <c r="B217" s="8"/>
      <c r="C217" s="8"/>
      <c r="D217" s="8"/>
      <c r="E217" s="13"/>
      <c r="F217" s="16"/>
      <c r="G217" s="8"/>
      <c r="H217" s="8"/>
      <c r="I217" s="8"/>
      <c r="J217" s="9"/>
      <c r="K217" s="9"/>
      <c r="L217" s="8"/>
      <c r="M217" s="16"/>
      <c r="N217" s="8"/>
      <c r="O217" s="8"/>
      <c r="P217" s="9"/>
      <c r="Q217" s="9"/>
    </row>
    <row r="218" spans="1:17" x14ac:dyDescent="0.3">
      <c r="A218" s="8"/>
      <c r="B218" s="8"/>
      <c r="C218" s="8"/>
      <c r="D218" s="8"/>
      <c r="E218" s="13"/>
      <c r="F218" s="16"/>
      <c r="G218" s="8"/>
      <c r="H218" s="8"/>
      <c r="I218" s="8"/>
      <c r="J218" s="9"/>
      <c r="K218" s="9"/>
      <c r="L218" s="8"/>
      <c r="M218" s="16"/>
      <c r="N218" s="8"/>
      <c r="O218" s="8"/>
      <c r="P218" s="9"/>
      <c r="Q218" s="9"/>
    </row>
    <row r="219" spans="1:17" x14ac:dyDescent="0.3">
      <c r="A219" s="8"/>
      <c r="B219" s="8"/>
      <c r="C219" s="8"/>
      <c r="D219" s="8"/>
      <c r="E219" s="13"/>
      <c r="F219" s="16"/>
      <c r="G219" s="8"/>
      <c r="H219" s="8"/>
      <c r="I219" s="8"/>
      <c r="J219" s="9"/>
      <c r="K219" s="9"/>
      <c r="L219" s="8"/>
      <c r="M219" s="16"/>
      <c r="N219" s="8"/>
      <c r="O219" s="8"/>
      <c r="P219" s="9"/>
      <c r="Q219" s="9"/>
    </row>
    <row r="220" spans="1:17" x14ac:dyDescent="0.3">
      <c r="A220" s="8"/>
      <c r="B220" s="8"/>
      <c r="C220" s="8"/>
      <c r="D220" s="8"/>
      <c r="E220" s="13"/>
      <c r="F220" s="16"/>
      <c r="G220" s="8"/>
      <c r="H220" s="8"/>
      <c r="I220" s="8"/>
      <c r="J220" s="9"/>
      <c r="K220" s="9"/>
      <c r="L220" s="8"/>
      <c r="M220" s="16"/>
      <c r="N220" s="8"/>
      <c r="O220" s="8"/>
      <c r="P220" s="9"/>
      <c r="Q220" s="9"/>
    </row>
    <row r="221" spans="1:17" x14ac:dyDescent="0.3">
      <c r="A221" s="8"/>
      <c r="B221" s="8"/>
      <c r="C221" s="8"/>
      <c r="D221" s="8"/>
      <c r="E221" s="13"/>
      <c r="F221" s="16"/>
      <c r="G221" s="8"/>
      <c r="H221" s="8"/>
      <c r="I221" s="8"/>
      <c r="J221" s="9"/>
      <c r="K221" s="9"/>
      <c r="L221" s="8"/>
      <c r="M221" s="16"/>
      <c r="N221" s="8"/>
      <c r="O221" s="8"/>
      <c r="P221" s="9"/>
      <c r="Q221" s="9"/>
    </row>
    <row r="222" spans="1:17" x14ac:dyDescent="0.3">
      <c r="A222" s="8"/>
      <c r="B222" s="8"/>
      <c r="C222" s="8"/>
      <c r="D222" s="8"/>
      <c r="E222" s="13"/>
      <c r="F222" s="16"/>
      <c r="G222" s="8"/>
      <c r="H222" s="8"/>
      <c r="I222" s="8"/>
      <c r="J222" s="9"/>
      <c r="K222" s="9"/>
      <c r="L222" s="8"/>
      <c r="M222" s="16"/>
      <c r="N222" s="8"/>
      <c r="O222" s="8"/>
      <c r="P222" s="9"/>
      <c r="Q222" s="9"/>
    </row>
    <row r="223" spans="1:17" x14ac:dyDescent="0.3">
      <c r="A223" s="8"/>
      <c r="B223" s="8"/>
      <c r="C223" s="8"/>
      <c r="D223" s="8"/>
      <c r="E223" s="13"/>
      <c r="F223" s="16"/>
      <c r="G223" s="8"/>
      <c r="H223" s="8"/>
      <c r="I223" s="8"/>
      <c r="J223" s="9"/>
      <c r="K223" s="9"/>
      <c r="L223" s="8"/>
      <c r="M223" s="16"/>
      <c r="N223" s="8"/>
      <c r="O223" s="8"/>
      <c r="P223" s="9"/>
      <c r="Q223" s="9"/>
    </row>
    <row r="224" spans="1:17" x14ac:dyDescent="0.3">
      <c r="A224" s="8"/>
      <c r="B224" s="8"/>
      <c r="C224" s="8"/>
      <c r="D224" s="8"/>
      <c r="E224" s="13"/>
      <c r="F224" s="16"/>
      <c r="G224" s="8"/>
      <c r="H224" s="8"/>
      <c r="I224" s="8"/>
      <c r="J224" s="9"/>
      <c r="K224" s="9"/>
      <c r="L224" s="8"/>
      <c r="M224" s="16"/>
      <c r="N224" s="8"/>
      <c r="O224" s="8"/>
      <c r="P224" s="9"/>
      <c r="Q224" s="9"/>
    </row>
    <row r="225" spans="1:17" x14ac:dyDescent="0.3">
      <c r="A225" s="8"/>
      <c r="B225" s="8"/>
      <c r="C225" s="8"/>
      <c r="D225" s="8"/>
      <c r="E225" s="13"/>
      <c r="F225" s="16"/>
      <c r="G225" s="8"/>
      <c r="H225" s="8"/>
      <c r="I225" s="8"/>
      <c r="J225" s="9"/>
      <c r="K225" s="9"/>
      <c r="L225" s="8"/>
      <c r="M225" s="16"/>
      <c r="N225" s="8"/>
      <c r="O225" s="8"/>
      <c r="P225" s="9"/>
      <c r="Q225" s="9"/>
    </row>
    <row r="226" spans="1:17" x14ac:dyDescent="0.3">
      <c r="A226" s="8"/>
      <c r="B226" s="8"/>
      <c r="C226" s="8"/>
      <c r="D226" s="8"/>
      <c r="E226" s="13"/>
      <c r="F226" s="16"/>
      <c r="G226" s="8"/>
      <c r="H226" s="8"/>
      <c r="I226" s="8"/>
      <c r="J226" s="9"/>
      <c r="K226" s="9"/>
      <c r="L226" s="8"/>
      <c r="M226" s="16"/>
      <c r="N226" s="8"/>
      <c r="O226" s="8"/>
      <c r="P226" s="9"/>
      <c r="Q226" s="9"/>
    </row>
    <row r="227" spans="1:17" x14ac:dyDescent="0.3">
      <c r="A227" s="8"/>
      <c r="B227" s="8"/>
      <c r="C227" s="8"/>
      <c r="D227" s="8"/>
      <c r="E227" s="13"/>
      <c r="F227" s="16"/>
      <c r="G227" s="8"/>
      <c r="H227" s="8"/>
      <c r="I227" s="8"/>
      <c r="J227" s="9"/>
      <c r="K227" s="9"/>
      <c r="L227" s="8"/>
      <c r="M227" s="16"/>
      <c r="N227" s="8"/>
      <c r="O227" s="8"/>
      <c r="P227" s="9"/>
      <c r="Q227" s="9"/>
    </row>
    <row r="228" spans="1:17" x14ac:dyDescent="0.3">
      <c r="A228" s="8"/>
      <c r="B228" s="8"/>
      <c r="C228" s="8"/>
      <c r="D228" s="8"/>
      <c r="E228" s="13"/>
      <c r="F228" s="16"/>
      <c r="G228" s="8"/>
      <c r="H228" s="8"/>
      <c r="I228" s="8"/>
      <c r="J228" s="9"/>
      <c r="K228" s="9"/>
      <c r="L228" s="8"/>
      <c r="M228" s="16"/>
      <c r="N228" s="8"/>
      <c r="O228" s="8"/>
      <c r="P228" s="9"/>
      <c r="Q228" s="9"/>
    </row>
    <row r="229" spans="1:17" x14ac:dyDescent="0.3">
      <c r="A229" s="8"/>
      <c r="B229" s="8"/>
      <c r="C229" s="8"/>
      <c r="D229" s="8"/>
      <c r="E229" s="13"/>
      <c r="F229" s="16"/>
      <c r="G229" s="8"/>
      <c r="H229" s="8"/>
      <c r="I229" s="8"/>
      <c r="J229" s="9"/>
      <c r="K229" s="9"/>
      <c r="L229" s="8"/>
      <c r="M229" s="16"/>
      <c r="N229" s="8"/>
      <c r="O229" s="8"/>
      <c r="P229" s="9"/>
      <c r="Q229" s="9"/>
    </row>
    <row r="230" spans="1:17" x14ac:dyDescent="0.3">
      <c r="A230" s="8"/>
      <c r="B230" s="8"/>
      <c r="C230" s="8"/>
      <c r="D230" s="8"/>
      <c r="E230" s="13"/>
      <c r="F230" s="16"/>
      <c r="G230" s="8"/>
      <c r="H230" s="8"/>
      <c r="I230" s="8"/>
      <c r="J230" s="9"/>
      <c r="K230" s="9"/>
      <c r="L230" s="8"/>
      <c r="M230" s="16"/>
      <c r="N230" s="8"/>
      <c r="O230" s="8"/>
      <c r="P230" s="9"/>
      <c r="Q230" s="9"/>
    </row>
    <row r="231" spans="1:17" x14ac:dyDescent="0.3">
      <c r="A231" s="8"/>
      <c r="B231" s="8"/>
      <c r="C231" s="8"/>
      <c r="D231" s="8"/>
      <c r="E231" s="13"/>
      <c r="F231" s="16"/>
      <c r="G231" s="8"/>
      <c r="H231" s="8"/>
      <c r="I231" s="8"/>
      <c r="J231" s="9"/>
      <c r="K231" s="9"/>
      <c r="L231" s="8"/>
      <c r="M231" s="16"/>
      <c r="N231" s="8"/>
      <c r="O231" s="8"/>
      <c r="P231" s="9"/>
      <c r="Q231" s="9"/>
    </row>
    <row r="232" spans="1:17" x14ac:dyDescent="0.3">
      <c r="A232" s="8"/>
      <c r="B232" s="8"/>
      <c r="C232" s="8"/>
      <c r="D232" s="8"/>
      <c r="E232" s="13"/>
      <c r="F232" s="16"/>
      <c r="G232" s="8"/>
      <c r="H232" s="8"/>
      <c r="I232" s="8"/>
      <c r="J232" s="9"/>
      <c r="K232" s="9"/>
      <c r="L232" s="8"/>
      <c r="M232" s="16"/>
      <c r="N232" s="8"/>
      <c r="O232" s="8"/>
      <c r="P232" s="9"/>
      <c r="Q232" s="9"/>
    </row>
    <row r="233" spans="1:17" x14ac:dyDescent="0.3">
      <c r="A233" s="8"/>
      <c r="B233" s="8"/>
      <c r="C233" s="8"/>
      <c r="D233" s="8"/>
      <c r="E233" s="13"/>
      <c r="F233" s="16"/>
      <c r="G233" s="8"/>
      <c r="H233" s="8"/>
      <c r="I233" s="8"/>
      <c r="J233" s="9"/>
      <c r="K233" s="9"/>
      <c r="L233" s="8"/>
      <c r="M233" s="16"/>
      <c r="N233" s="8"/>
      <c r="O233" s="8"/>
      <c r="P233" s="9"/>
      <c r="Q233" s="9"/>
    </row>
    <row r="234" spans="1:17" x14ac:dyDescent="0.3">
      <c r="A234" s="8"/>
      <c r="B234" s="8"/>
      <c r="C234" s="8"/>
      <c r="D234" s="8"/>
      <c r="E234" s="13"/>
      <c r="F234" s="16"/>
      <c r="G234" s="8"/>
      <c r="H234" s="8"/>
      <c r="I234" s="8"/>
      <c r="J234" s="9"/>
      <c r="K234" s="9"/>
      <c r="L234" s="8"/>
      <c r="M234" s="16"/>
      <c r="N234" s="8"/>
      <c r="O234" s="8"/>
      <c r="P234" s="9"/>
      <c r="Q234" s="9"/>
    </row>
    <row r="235" spans="1:17" x14ac:dyDescent="0.3">
      <c r="A235" s="8"/>
      <c r="B235" s="8"/>
      <c r="C235" s="8"/>
      <c r="D235" s="8"/>
      <c r="E235" s="13"/>
      <c r="F235" s="16"/>
      <c r="G235" s="8"/>
      <c r="H235" s="8"/>
      <c r="I235" s="8"/>
      <c r="J235" s="9"/>
      <c r="K235" s="9"/>
      <c r="L235" s="8"/>
      <c r="M235" s="16"/>
      <c r="N235" s="8"/>
      <c r="O235" s="8"/>
      <c r="P235" s="9"/>
      <c r="Q235" s="9"/>
    </row>
    <row r="236" spans="1:17" x14ac:dyDescent="0.3">
      <c r="A236" s="8"/>
      <c r="B236" s="8"/>
      <c r="C236" s="8"/>
      <c r="D236" s="8"/>
      <c r="E236" s="13"/>
      <c r="F236" s="16"/>
      <c r="G236" s="8"/>
      <c r="H236" s="8"/>
      <c r="I236" s="8"/>
      <c r="J236" s="9"/>
      <c r="K236" s="9"/>
      <c r="L236" s="8"/>
      <c r="M236" s="16"/>
      <c r="N236" s="8"/>
      <c r="O236" s="8"/>
      <c r="P236" s="9"/>
      <c r="Q236" s="9"/>
    </row>
    <row r="237" spans="1:17" x14ac:dyDescent="0.3">
      <c r="A237" s="8"/>
      <c r="B237" s="8"/>
      <c r="C237" s="8"/>
      <c r="D237" s="8"/>
      <c r="E237" s="13"/>
      <c r="F237" s="16"/>
      <c r="G237" s="8"/>
      <c r="H237" s="8"/>
      <c r="I237" s="8"/>
      <c r="J237" s="9"/>
      <c r="K237" s="9"/>
      <c r="L237" s="8"/>
      <c r="M237" s="16"/>
      <c r="N237" s="8"/>
      <c r="O237" s="8"/>
      <c r="P237" s="9"/>
      <c r="Q237" s="9"/>
    </row>
    <row r="238" spans="1:17" x14ac:dyDescent="0.3">
      <c r="A238" s="8"/>
      <c r="B238" s="8"/>
      <c r="C238" s="8"/>
      <c r="D238" s="8"/>
      <c r="E238" s="13"/>
      <c r="F238" s="16"/>
      <c r="G238" s="8"/>
      <c r="H238" s="8"/>
      <c r="I238" s="8"/>
      <c r="J238" s="9"/>
      <c r="K238" s="9"/>
      <c r="L238" s="8"/>
      <c r="M238" s="16"/>
      <c r="N238" s="8"/>
      <c r="O238" s="8"/>
      <c r="P238" s="9"/>
      <c r="Q238" s="9"/>
    </row>
    <row r="239" spans="1:17" x14ac:dyDescent="0.3">
      <c r="A239" s="8"/>
      <c r="B239" s="8"/>
      <c r="C239" s="8"/>
      <c r="D239" s="8"/>
      <c r="E239" s="13"/>
      <c r="F239" s="16"/>
      <c r="G239" s="8"/>
      <c r="H239" s="8"/>
      <c r="I239" s="8"/>
      <c r="J239" s="9"/>
      <c r="K239" s="9"/>
      <c r="L239" s="8"/>
      <c r="M239" s="16"/>
      <c r="N239" s="8"/>
      <c r="O239" s="8"/>
      <c r="P239" s="9"/>
      <c r="Q239" s="9"/>
    </row>
    <row r="240" spans="1:17" x14ac:dyDescent="0.3">
      <c r="A240" s="8"/>
      <c r="B240" s="8"/>
      <c r="C240" s="8"/>
      <c r="D240" s="8"/>
      <c r="E240" s="13"/>
      <c r="F240" s="16"/>
      <c r="G240" s="8"/>
      <c r="H240" s="8"/>
      <c r="I240" s="8"/>
      <c r="J240" s="9"/>
      <c r="K240" s="9"/>
      <c r="L240" s="8"/>
      <c r="M240" s="16"/>
      <c r="N240" s="8"/>
      <c r="O240" s="8"/>
      <c r="P240" s="9"/>
      <c r="Q240" s="9"/>
    </row>
    <row r="241" spans="1:17" x14ac:dyDescent="0.3">
      <c r="A241" s="8"/>
      <c r="B241" s="8"/>
      <c r="C241" s="8"/>
      <c r="D241" s="8"/>
      <c r="E241" s="13"/>
      <c r="F241" s="16"/>
      <c r="G241" s="8"/>
      <c r="H241" s="8"/>
      <c r="I241" s="8"/>
      <c r="J241" s="9"/>
      <c r="K241" s="9"/>
      <c r="L241" s="8"/>
      <c r="M241" s="16"/>
      <c r="N241" s="8"/>
      <c r="O241" s="8"/>
      <c r="P241" s="9"/>
      <c r="Q241" s="9"/>
    </row>
    <row r="242" spans="1:17" x14ac:dyDescent="0.3">
      <c r="A242" s="8"/>
      <c r="B242" s="8"/>
      <c r="C242" s="8"/>
      <c r="D242" s="8"/>
      <c r="E242" s="13"/>
      <c r="F242" s="16"/>
      <c r="G242" s="8"/>
      <c r="H242" s="8"/>
      <c r="I242" s="8"/>
      <c r="J242" s="9"/>
      <c r="K242" s="9"/>
      <c r="L242" s="8"/>
      <c r="M242" s="16"/>
      <c r="N242" s="8"/>
      <c r="O242" s="8"/>
      <c r="P242" s="9"/>
      <c r="Q242" s="9"/>
    </row>
    <row r="243" spans="1:17" x14ac:dyDescent="0.3">
      <c r="A243" s="8"/>
      <c r="B243" s="8"/>
      <c r="C243" s="8"/>
      <c r="D243" s="8"/>
      <c r="E243" s="13"/>
      <c r="F243" s="16"/>
      <c r="G243" s="8"/>
      <c r="H243" s="8"/>
      <c r="I243" s="8"/>
      <c r="J243" s="9"/>
      <c r="K243" s="9"/>
      <c r="L243" s="8"/>
      <c r="M243" s="16"/>
      <c r="N243" s="8"/>
      <c r="O243" s="8"/>
      <c r="P243" s="9"/>
      <c r="Q243" s="9"/>
    </row>
    <row r="244" spans="1:17" x14ac:dyDescent="0.3">
      <c r="A244" s="8"/>
      <c r="B244" s="8"/>
      <c r="C244" s="8"/>
      <c r="D244" s="8"/>
      <c r="E244" s="13"/>
      <c r="F244" s="16"/>
      <c r="G244" s="8"/>
      <c r="H244" s="8"/>
      <c r="I244" s="8"/>
      <c r="J244" s="9"/>
      <c r="K244" s="9"/>
      <c r="L244" s="8"/>
      <c r="M244" s="16"/>
      <c r="N244" s="8"/>
      <c r="O244" s="8"/>
      <c r="P244" s="9"/>
      <c r="Q244" s="9"/>
    </row>
    <row r="245" spans="1:17" x14ac:dyDescent="0.3">
      <c r="A245" s="8"/>
      <c r="B245" s="8"/>
      <c r="C245" s="8"/>
      <c r="D245" s="8"/>
      <c r="E245" s="13"/>
      <c r="F245" s="16"/>
      <c r="G245" s="8"/>
      <c r="H245" s="8"/>
      <c r="I245" s="8"/>
      <c r="J245" s="9"/>
      <c r="K245" s="9"/>
      <c r="L245" s="8"/>
      <c r="M245" s="16"/>
      <c r="N245" s="8"/>
      <c r="O245" s="8"/>
      <c r="P245" s="9"/>
      <c r="Q245" s="9"/>
    </row>
    <row r="246" spans="1:17" x14ac:dyDescent="0.3">
      <c r="A246" s="8"/>
      <c r="B246" s="8"/>
      <c r="C246" s="8"/>
      <c r="D246" s="8"/>
      <c r="E246" s="13"/>
      <c r="F246" s="16"/>
      <c r="G246" s="8"/>
      <c r="H246" s="8"/>
      <c r="I246" s="8"/>
      <c r="J246" s="9"/>
      <c r="K246" s="9"/>
      <c r="L246" s="8"/>
      <c r="M246" s="16"/>
      <c r="N246" s="8"/>
      <c r="O246" s="8"/>
      <c r="P246" s="9"/>
      <c r="Q246" s="9"/>
    </row>
    <row r="247" spans="1:17" x14ac:dyDescent="0.3">
      <c r="A247" s="8"/>
      <c r="B247" s="8"/>
      <c r="C247" s="8"/>
      <c r="D247" s="8"/>
      <c r="E247" s="13"/>
      <c r="F247" s="16"/>
      <c r="G247" s="8"/>
      <c r="H247" s="8"/>
      <c r="I247" s="8"/>
      <c r="J247" s="9"/>
      <c r="K247" s="9"/>
      <c r="L247" s="8"/>
      <c r="M247" s="16"/>
      <c r="N247" s="8"/>
      <c r="O247" s="8"/>
      <c r="P247" s="9"/>
      <c r="Q247" s="9"/>
    </row>
    <row r="248" spans="1:17" x14ac:dyDescent="0.3">
      <c r="A248" s="8"/>
      <c r="B248" s="8"/>
      <c r="C248" s="8"/>
      <c r="D248" s="8"/>
      <c r="E248" s="13"/>
      <c r="F248" s="16"/>
      <c r="G248" s="8"/>
      <c r="H248" s="8"/>
      <c r="I248" s="8"/>
      <c r="J248" s="9"/>
      <c r="K248" s="9"/>
      <c r="L248" s="8"/>
      <c r="M248" s="16"/>
      <c r="N248" s="8"/>
      <c r="O248" s="8"/>
      <c r="P248" s="9"/>
      <c r="Q248" s="9"/>
    </row>
    <row r="249" spans="1:17" x14ac:dyDescent="0.3">
      <c r="A249" s="8"/>
      <c r="B249" s="8"/>
      <c r="C249" s="8"/>
      <c r="D249" s="8"/>
      <c r="E249" s="13"/>
      <c r="F249" s="16"/>
      <c r="G249" s="8"/>
      <c r="H249" s="8"/>
      <c r="I249" s="8"/>
      <c r="J249" s="9"/>
      <c r="K249" s="9"/>
      <c r="L249" s="8"/>
      <c r="M249" s="16"/>
      <c r="N249" s="8"/>
      <c r="O249" s="8"/>
      <c r="P249" s="9"/>
      <c r="Q249" s="9"/>
    </row>
    <row r="250" spans="1:17" x14ac:dyDescent="0.3">
      <c r="A250" s="8"/>
      <c r="B250" s="8"/>
      <c r="C250" s="8"/>
      <c r="D250" s="8"/>
      <c r="E250" s="13"/>
      <c r="F250" s="16"/>
      <c r="G250" s="8"/>
      <c r="H250" s="8"/>
      <c r="I250" s="8"/>
      <c r="J250" s="9"/>
      <c r="K250" s="9"/>
      <c r="L250" s="8"/>
      <c r="M250" s="16"/>
      <c r="N250" s="8"/>
      <c r="O250" s="8"/>
      <c r="P250" s="9"/>
      <c r="Q250" s="9"/>
    </row>
    <row r="251" spans="1:17" x14ac:dyDescent="0.3">
      <c r="A251" s="8"/>
      <c r="B251" s="8"/>
      <c r="C251" s="8"/>
      <c r="D251" s="8"/>
      <c r="E251" s="13"/>
      <c r="F251" s="16"/>
      <c r="G251" s="8"/>
      <c r="H251" s="8"/>
      <c r="I251" s="8"/>
      <c r="J251" s="9"/>
      <c r="K251" s="9"/>
      <c r="L251" s="8"/>
      <c r="M251" s="16"/>
      <c r="N251" s="8"/>
      <c r="O251" s="8"/>
      <c r="P251" s="9"/>
      <c r="Q251" s="9"/>
    </row>
    <row r="252" spans="1:17" x14ac:dyDescent="0.3">
      <c r="A252" s="8"/>
      <c r="B252" s="8"/>
      <c r="C252" s="8"/>
      <c r="D252" s="8"/>
      <c r="E252" s="13"/>
      <c r="F252" s="16"/>
      <c r="G252" s="8"/>
      <c r="H252" s="8"/>
      <c r="I252" s="8"/>
      <c r="J252" s="9"/>
      <c r="K252" s="9"/>
      <c r="L252" s="8"/>
      <c r="M252" s="16"/>
      <c r="N252" s="8"/>
      <c r="O252" s="8"/>
      <c r="P252" s="9"/>
      <c r="Q252" s="9"/>
    </row>
    <row r="253" spans="1:17" x14ac:dyDescent="0.3">
      <c r="A253" s="8"/>
      <c r="B253" s="8"/>
      <c r="C253" s="8"/>
      <c r="D253" s="8"/>
      <c r="E253" s="13"/>
      <c r="F253" s="16"/>
      <c r="G253" s="8"/>
      <c r="H253" s="8"/>
      <c r="I253" s="8"/>
      <c r="J253" s="9"/>
      <c r="K253" s="9"/>
      <c r="L253" s="8"/>
      <c r="M253" s="16"/>
      <c r="N253" s="8"/>
      <c r="O253" s="8"/>
      <c r="P253" s="9"/>
      <c r="Q253" s="9"/>
    </row>
    <row r="254" spans="1:17" x14ac:dyDescent="0.3">
      <c r="A254" s="8"/>
      <c r="B254" s="8"/>
      <c r="C254" s="8"/>
      <c r="D254" s="8"/>
      <c r="E254" s="13"/>
      <c r="F254" s="16"/>
      <c r="G254" s="8"/>
      <c r="H254" s="8"/>
      <c r="I254" s="8"/>
      <c r="J254" s="9"/>
      <c r="K254" s="9"/>
      <c r="L254" s="8"/>
      <c r="M254" s="16"/>
      <c r="N254" s="8"/>
      <c r="O254" s="8"/>
      <c r="P254" s="9"/>
      <c r="Q254" s="9"/>
    </row>
    <row r="255" spans="1:17" x14ac:dyDescent="0.3">
      <c r="A255" s="8"/>
      <c r="B255" s="8"/>
      <c r="C255" s="8"/>
      <c r="D255" s="8"/>
      <c r="E255" s="13"/>
      <c r="F255" s="16"/>
      <c r="G255" s="8"/>
      <c r="H255" s="8"/>
      <c r="I255" s="8"/>
      <c r="J255" s="9"/>
      <c r="K255" s="9"/>
      <c r="L255" s="8"/>
      <c r="M255" s="16"/>
      <c r="N255" s="8"/>
      <c r="O255" s="8"/>
      <c r="P255" s="9"/>
      <c r="Q255" s="9"/>
    </row>
    <row r="256" spans="1:17" x14ac:dyDescent="0.3">
      <c r="A256" s="8"/>
      <c r="B256" s="8"/>
      <c r="C256" s="8"/>
      <c r="D256" s="8"/>
      <c r="E256" s="13"/>
      <c r="F256" s="16"/>
      <c r="G256" s="8"/>
      <c r="H256" s="8"/>
      <c r="I256" s="8"/>
      <c r="J256" s="9"/>
      <c r="K256" s="9"/>
      <c r="L256" s="8"/>
      <c r="M256" s="16"/>
      <c r="N256" s="8"/>
      <c r="O256" s="8"/>
      <c r="P256" s="9"/>
      <c r="Q256" s="9"/>
    </row>
    <row r="257" spans="1:17" x14ac:dyDescent="0.3">
      <c r="A257" s="8"/>
      <c r="B257" s="8"/>
      <c r="C257" s="8"/>
      <c r="D257" s="8"/>
      <c r="E257" s="13"/>
      <c r="F257" s="16"/>
      <c r="G257" s="8"/>
      <c r="H257" s="8"/>
      <c r="I257" s="8"/>
      <c r="J257" s="9"/>
      <c r="K257" s="9"/>
      <c r="L257" s="8"/>
      <c r="M257" s="16"/>
      <c r="N257" s="8"/>
      <c r="O257" s="8"/>
      <c r="P257" s="9"/>
      <c r="Q257" s="9"/>
    </row>
    <row r="258" spans="1:17" x14ac:dyDescent="0.3">
      <c r="A258" s="8"/>
      <c r="B258" s="8"/>
      <c r="C258" s="8"/>
      <c r="D258" s="8"/>
      <c r="E258" s="13"/>
      <c r="F258" s="16"/>
      <c r="G258" s="8"/>
      <c r="H258" s="8"/>
      <c r="I258" s="8"/>
      <c r="J258" s="9"/>
      <c r="K258" s="9"/>
      <c r="L258" s="8"/>
      <c r="M258" s="16"/>
      <c r="N258" s="8"/>
      <c r="O258" s="8"/>
      <c r="P258" s="9"/>
      <c r="Q258" s="9"/>
    </row>
    <row r="259" spans="1:17" x14ac:dyDescent="0.3">
      <c r="A259" s="8"/>
      <c r="B259" s="8"/>
      <c r="C259" s="8"/>
      <c r="D259" s="8"/>
      <c r="E259" s="13"/>
      <c r="F259" s="16"/>
      <c r="G259" s="8"/>
      <c r="H259" s="8"/>
      <c r="I259" s="8"/>
      <c r="J259" s="9"/>
      <c r="K259" s="9"/>
      <c r="L259" s="8"/>
      <c r="M259" s="16"/>
      <c r="N259" s="8"/>
      <c r="O259" s="8"/>
      <c r="P259" s="9"/>
      <c r="Q259" s="9"/>
    </row>
    <row r="260" spans="1:17" x14ac:dyDescent="0.3">
      <c r="A260" s="8"/>
      <c r="B260" s="8"/>
      <c r="C260" s="8"/>
      <c r="D260" s="8"/>
      <c r="E260" s="13"/>
      <c r="F260" s="16"/>
      <c r="G260" s="8"/>
      <c r="H260" s="8"/>
      <c r="I260" s="8"/>
      <c r="J260" s="9"/>
      <c r="K260" s="9"/>
      <c r="L260" s="8"/>
      <c r="M260" s="16"/>
      <c r="N260" s="8"/>
      <c r="O260" s="8"/>
      <c r="P260" s="9"/>
      <c r="Q260" s="9"/>
    </row>
    <row r="261" spans="1:17" x14ac:dyDescent="0.3">
      <c r="A261" s="8"/>
      <c r="B261" s="8"/>
      <c r="C261" s="8"/>
      <c r="D261" s="8"/>
      <c r="E261" s="13"/>
      <c r="F261" s="16"/>
      <c r="G261" s="8"/>
      <c r="H261" s="8"/>
      <c r="I261" s="8"/>
      <c r="J261" s="9"/>
      <c r="K261" s="9"/>
      <c r="L261" s="8"/>
      <c r="M261" s="16"/>
      <c r="N261" s="8"/>
      <c r="O261" s="8"/>
      <c r="P261" s="9"/>
      <c r="Q261" s="9"/>
    </row>
    <row r="262" spans="1:17" x14ac:dyDescent="0.3">
      <c r="A262" s="8"/>
      <c r="B262" s="8"/>
      <c r="C262" s="8"/>
      <c r="D262" s="8"/>
      <c r="E262" s="13"/>
      <c r="F262" s="16"/>
      <c r="G262" s="8"/>
      <c r="H262" s="8"/>
      <c r="I262" s="8"/>
      <c r="J262" s="9"/>
      <c r="K262" s="9"/>
      <c r="L262" s="8"/>
      <c r="M262" s="16"/>
      <c r="N262" s="8"/>
      <c r="O262" s="8"/>
      <c r="P262" s="9"/>
      <c r="Q262" s="9"/>
    </row>
    <row r="263" spans="1:17" x14ac:dyDescent="0.3">
      <c r="A263" s="8"/>
      <c r="B263" s="8"/>
      <c r="C263" s="8"/>
      <c r="D263" s="8"/>
      <c r="E263" s="13"/>
      <c r="F263" s="16"/>
      <c r="G263" s="8"/>
      <c r="H263" s="8"/>
      <c r="I263" s="8"/>
      <c r="J263" s="9"/>
      <c r="K263" s="9"/>
      <c r="L263" s="8"/>
      <c r="M263" s="16"/>
      <c r="N263" s="8"/>
      <c r="O263" s="8"/>
      <c r="P263" s="9"/>
      <c r="Q263" s="9"/>
    </row>
    <row r="264" spans="1:17" x14ac:dyDescent="0.3">
      <c r="A264" s="8"/>
      <c r="B264" s="8"/>
      <c r="C264" s="8"/>
      <c r="D264" s="8"/>
      <c r="E264" s="13"/>
      <c r="F264" s="16"/>
      <c r="G264" s="8"/>
      <c r="H264" s="8"/>
      <c r="I264" s="8"/>
      <c r="J264" s="9"/>
      <c r="K264" s="9"/>
      <c r="L264" s="8"/>
      <c r="M264" s="16"/>
      <c r="N264" s="8"/>
      <c r="O264" s="8"/>
      <c r="P264" s="9"/>
      <c r="Q264" s="9"/>
    </row>
    <row r="265" spans="1:17" x14ac:dyDescent="0.3">
      <c r="A265" s="8"/>
      <c r="B265" s="8"/>
      <c r="C265" s="8"/>
      <c r="D265" s="8"/>
      <c r="E265" s="14"/>
      <c r="F265" s="16"/>
      <c r="G265" s="8"/>
      <c r="H265" s="8"/>
      <c r="I265" s="8"/>
      <c r="J265" s="9"/>
      <c r="K265" s="9"/>
      <c r="L265" s="8"/>
      <c r="M265" s="16"/>
      <c r="N265" s="8"/>
      <c r="O265" s="8"/>
      <c r="P265" s="9"/>
      <c r="Q265" s="9"/>
    </row>
    <row r="266" spans="1:17" x14ac:dyDescent="0.3">
      <c r="A266" s="8"/>
      <c r="B266" s="8"/>
      <c r="C266" s="8"/>
      <c r="D266" s="8"/>
      <c r="E266" s="13"/>
      <c r="F266" s="16"/>
      <c r="G266" s="8"/>
      <c r="H266" s="8"/>
      <c r="I266" s="8"/>
      <c r="J266" s="9"/>
      <c r="K266" s="9"/>
      <c r="L266" s="8"/>
      <c r="M266" s="16"/>
      <c r="N266" s="8"/>
      <c r="O266" s="8"/>
      <c r="P266" s="9"/>
      <c r="Q266" s="9"/>
    </row>
    <row r="267" spans="1:17" x14ac:dyDescent="0.3">
      <c r="A267" s="8"/>
      <c r="B267" s="8"/>
      <c r="C267" s="8"/>
      <c r="D267" s="8"/>
      <c r="E267" s="13"/>
      <c r="F267" s="16"/>
      <c r="G267" s="8"/>
      <c r="H267" s="8"/>
      <c r="I267" s="8"/>
      <c r="J267" s="9"/>
      <c r="K267" s="9"/>
      <c r="L267" s="8"/>
      <c r="M267" s="16"/>
      <c r="N267" s="8"/>
      <c r="O267" s="8"/>
      <c r="P267" s="9"/>
      <c r="Q267" s="9"/>
    </row>
    <row r="268" spans="1:17" x14ac:dyDescent="0.3">
      <c r="A268" s="8"/>
      <c r="B268" s="8"/>
      <c r="C268" s="8"/>
      <c r="D268" s="8"/>
      <c r="E268" s="13"/>
      <c r="F268" s="16"/>
      <c r="G268" s="8"/>
      <c r="H268" s="8"/>
      <c r="I268" s="8"/>
      <c r="J268" s="9"/>
      <c r="K268" s="9"/>
      <c r="L268" s="8"/>
      <c r="M268" s="16"/>
      <c r="N268" s="8"/>
      <c r="O268" s="8"/>
      <c r="P268" s="9"/>
      <c r="Q268" s="9"/>
    </row>
    <row r="269" spans="1:17" x14ac:dyDescent="0.3">
      <c r="A269" s="8"/>
      <c r="B269" s="8"/>
      <c r="C269" s="8"/>
      <c r="D269" s="8"/>
      <c r="E269" s="13"/>
      <c r="F269" s="16"/>
      <c r="G269" s="8"/>
      <c r="H269" s="8"/>
      <c r="I269" s="8"/>
      <c r="J269" s="9"/>
      <c r="K269" s="9"/>
      <c r="L269" s="8"/>
      <c r="M269" s="16"/>
      <c r="N269" s="8"/>
      <c r="O269" s="8"/>
      <c r="P269" s="9"/>
      <c r="Q269" s="9"/>
    </row>
    <row r="270" spans="1:17" x14ac:dyDescent="0.3">
      <c r="A270" s="8"/>
      <c r="B270" s="8"/>
      <c r="C270" s="8"/>
      <c r="D270" s="8"/>
      <c r="E270" s="13"/>
      <c r="F270" s="16"/>
      <c r="G270" s="8"/>
      <c r="H270" s="8"/>
      <c r="I270" s="8"/>
      <c r="J270" s="9"/>
      <c r="K270" s="9"/>
      <c r="L270" s="8"/>
      <c r="M270" s="16"/>
      <c r="N270" s="8"/>
      <c r="O270" s="8"/>
      <c r="P270" s="9"/>
      <c r="Q270" s="9"/>
    </row>
    <row r="271" spans="1:17" x14ac:dyDescent="0.3">
      <c r="A271" s="8"/>
      <c r="B271" s="8"/>
      <c r="C271" s="8"/>
      <c r="D271" s="8"/>
      <c r="E271" s="13"/>
      <c r="F271" s="16"/>
      <c r="G271" s="8"/>
      <c r="H271" s="8"/>
      <c r="I271" s="8"/>
      <c r="J271" s="9"/>
      <c r="K271" s="9"/>
      <c r="L271" s="8"/>
      <c r="M271" s="16"/>
      <c r="N271" s="8"/>
      <c r="O271" s="8"/>
      <c r="P271" s="9"/>
      <c r="Q271" s="9"/>
    </row>
    <row r="272" spans="1:17" x14ac:dyDescent="0.3">
      <c r="A272" s="8"/>
      <c r="B272" s="8"/>
      <c r="C272" s="8"/>
      <c r="D272" s="8"/>
      <c r="E272" s="13"/>
      <c r="F272" s="16"/>
      <c r="G272" s="8"/>
      <c r="H272" s="8"/>
      <c r="I272" s="8"/>
      <c r="J272" s="9"/>
      <c r="K272" s="9"/>
      <c r="L272" s="8"/>
      <c r="M272" s="16"/>
      <c r="N272" s="8"/>
      <c r="O272" s="8"/>
      <c r="P272" s="9"/>
      <c r="Q272" s="9"/>
    </row>
    <row r="273" spans="1:17" x14ac:dyDescent="0.3">
      <c r="A273" s="8"/>
      <c r="B273" s="8"/>
      <c r="C273" s="8"/>
      <c r="D273" s="8"/>
      <c r="E273" s="13"/>
      <c r="F273" s="16"/>
      <c r="G273" s="8"/>
      <c r="H273" s="8"/>
      <c r="I273" s="8"/>
      <c r="J273" s="9"/>
      <c r="K273" s="9"/>
      <c r="L273" s="8"/>
      <c r="M273" s="16"/>
      <c r="N273" s="8"/>
      <c r="O273" s="8"/>
      <c r="P273" s="9"/>
      <c r="Q273" s="9"/>
    </row>
    <row r="274" spans="1:17" x14ac:dyDescent="0.3">
      <c r="A274" s="8"/>
      <c r="B274" s="8"/>
      <c r="C274" s="8"/>
      <c r="D274" s="8"/>
      <c r="E274" s="13"/>
      <c r="F274" s="16"/>
      <c r="G274" s="8"/>
      <c r="H274" s="8"/>
      <c r="I274" s="8"/>
      <c r="J274" s="9"/>
      <c r="K274" s="9"/>
      <c r="L274" s="8"/>
      <c r="M274" s="16"/>
      <c r="N274" s="8"/>
      <c r="O274" s="8"/>
      <c r="P274" s="9"/>
      <c r="Q274" s="9"/>
    </row>
    <row r="275" spans="1:17" x14ac:dyDescent="0.3">
      <c r="A275" s="8"/>
      <c r="B275" s="8"/>
      <c r="C275" s="8"/>
      <c r="D275" s="8"/>
      <c r="E275" s="13"/>
      <c r="F275" s="16"/>
      <c r="G275" s="8"/>
      <c r="H275" s="8"/>
      <c r="I275" s="8"/>
      <c r="J275" s="9"/>
      <c r="K275" s="9"/>
      <c r="L275" s="8"/>
      <c r="M275" s="16"/>
      <c r="N275" s="8"/>
      <c r="O275" s="8"/>
      <c r="P275" s="9"/>
      <c r="Q275" s="9"/>
    </row>
    <row r="276" spans="1:17" x14ac:dyDescent="0.3">
      <c r="A276" s="8"/>
      <c r="B276" s="8"/>
      <c r="C276" s="8"/>
      <c r="D276" s="8"/>
      <c r="E276" s="13"/>
      <c r="F276" s="16"/>
      <c r="G276" s="8"/>
      <c r="H276" s="8"/>
      <c r="I276" s="8"/>
      <c r="J276" s="9"/>
      <c r="K276" s="9"/>
      <c r="L276" s="8"/>
      <c r="M276" s="16"/>
      <c r="N276" s="8"/>
      <c r="O276" s="8"/>
      <c r="P276" s="9"/>
      <c r="Q276" s="9"/>
    </row>
    <row r="277" spans="1:17" x14ac:dyDescent="0.3">
      <c r="A277" s="8"/>
      <c r="B277" s="8"/>
      <c r="C277" s="8"/>
      <c r="D277" s="8"/>
      <c r="E277" s="13"/>
      <c r="F277" s="16"/>
      <c r="G277" s="8"/>
      <c r="H277" s="8"/>
      <c r="I277" s="8"/>
      <c r="J277" s="9"/>
      <c r="K277" s="9"/>
      <c r="L277" s="8"/>
      <c r="M277" s="16"/>
      <c r="N277" s="8"/>
      <c r="O277" s="8"/>
      <c r="P277" s="9"/>
      <c r="Q277" s="9"/>
    </row>
    <row r="278" spans="1:17" x14ac:dyDescent="0.3">
      <c r="A278" s="8"/>
      <c r="B278" s="8"/>
      <c r="C278" s="8"/>
      <c r="D278" s="8"/>
      <c r="E278" s="13"/>
      <c r="F278" s="16"/>
      <c r="G278" s="8"/>
      <c r="H278" s="8"/>
      <c r="I278" s="8"/>
      <c r="J278" s="9"/>
      <c r="K278" s="9"/>
      <c r="L278" s="8"/>
      <c r="M278" s="16"/>
      <c r="N278" s="8"/>
      <c r="O278" s="8"/>
      <c r="P278" s="9"/>
      <c r="Q278" s="9"/>
    </row>
    <row r="279" spans="1:17" x14ac:dyDescent="0.3">
      <c r="A279" s="8"/>
      <c r="B279" s="8"/>
      <c r="C279" s="8"/>
      <c r="D279" s="8"/>
      <c r="E279" s="13"/>
      <c r="F279" s="16"/>
      <c r="G279" s="8"/>
      <c r="H279" s="8"/>
      <c r="I279" s="8"/>
      <c r="J279" s="9"/>
      <c r="K279" s="9"/>
      <c r="L279" s="8"/>
      <c r="M279" s="16"/>
      <c r="N279" s="8"/>
      <c r="O279" s="8"/>
      <c r="P279" s="9"/>
      <c r="Q279" s="9"/>
    </row>
    <row r="280" spans="1:17" x14ac:dyDescent="0.3">
      <c r="A280" s="8"/>
      <c r="B280" s="8"/>
      <c r="C280" s="8"/>
      <c r="D280" s="8"/>
      <c r="E280" s="13"/>
      <c r="F280" s="16"/>
      <c r="G280" s="8"/>
      <c r="H280" s="8"/>
      <c r="I280" s="8"/>
      <c r="J280" s="9"/>
      <c r="K280" s="9"/>
      <c r="L280" s="8"/>
      <c r="M280" s="16"/>
      <c r="N280" s="8"/>
      <c r="O280" s="8"/>
      <c r="P280" s="9"/>
      <c r="Q280" s="9"/>
    </row>
    <row r="281" spans="1:17" x14ac:dyDescent="0.3">
      <c r="A281" s="8"/>
      <c r="B281" s="8"/>
      <c r="C281" s="8"/>
      <c r="D281" s="8"/>
      <c r="E281" s="13"/>
      <c r="F281" s="16"/>
      <c r="G281" s="8"/>
      <c r="H281" s="8"/>
      <c r="I281" s="8"/>
      <c r="J281" s="9"/>
      <c r="K281" s="9"/>
      <c r="L281" s="8"/>
      <c r="M281" s="16"/>
      <c r="N281" s="8"/>
      <c r="O281" s="8"/>
      <c r="P281" s="9"/>
      <c r="Q281" s="9"/>
    </row>
    <row r="291" spans="10:11" x14ac:dyDescent="0.3">
      <c r="J291" s="32"/>
      <c r="K291" s="32"/>
    </row>
  </sheetData>
  <mergeCells count="5">
    <mergeCell ref="A1:Q1"/>
    <mergeCell ref="S1:V1"/>
    <mergeCell ref="S18:V19"/>
    <mergeCell ref="S49:V50"/>
    <mergeCell ref="S85:V86"/>
  </mergeCell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A745915-40BE-48E9-9CF5-9BCD34C035A3}">
          <x14:formula1>
            <xm:f>Listas!$G$2:$G$50</xm:f>
          </x14:formula1>
          <xm:sqref>D4:D281</xm:sqref>
        </x14:dataValidation>
        <x14:dataValidation type="list" allowBlank="1" showInputMessage="1" showErrorMessage="1" xr:uid="{0C8825B6-5182-4D27-A41E-2A06A51AA905}">
          <x14:formula1>
            <xm:f>Listas!$F$2:$F$7</xm:f>
          </x14:formula1>
          <xm:sqref>H4:H281 N4:N281</xm:sqref>
        </x14:dataValidation>
        <x14:dataValidation type="list" allowBlank="1" showInputMessage="1" showErrorMessage="1" xr:uid="{B774688E-E997-47C4-A192-06AE8247A4C3}">
          <x14:formula1>
            <xm:f>Listas!$D$2:$D$5</xm:f>
          </x14:formula1>
          <xm:sqref>G4:G103 G187:G281 G172:G177</xm:sqref>
        </x14:dataValidation>
        <x14:dataValidation type="list" allowBlank="1" showInputMessage="1" showErrorMessage="1" xr:uid="{BD07E00D-2DB2-4A62-BDA5-040BB64393D9}">
          <x14:formula1>
            <xm:f>Listas!$A$2:$A$36</xm:f>
          </x14:formula1>
          <xm:sqref>A4:A281</xm:sqref>
        </x14:dataValidation>
        <x14:dataValidation type="list" allowBlank="1" showInputMessage="1" showErrorMessage="1" xr:uid="{5C8B9F9F-AA4A-44A3-A84A-318336F9A195}">
          <x14:formula1>
            <xm:f>Listas!$D$2:$D$4</xm:f>
          </x14:formula1>
          <xm:sqref>G104:G171 G178:G186</xm:sqref>
        </x14:dataValidation>
        <x14:dataValidation type="list" allowBlank="1" showInputMessage="1" showErrorMessage="1" xr:uid="{0C288452-16D6-4809-800A-003558E5E73C}">
          <x14:formula1>
            <xm:f>Listas!$E$2:$E$4</xm:f>
          </x14:formula1>
          <xm:sqref>L4:L281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76E100-D21D-4E73-ABEF-D966564F82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Tablero de control</vt:lpstr>
      <vt:lpstr>Datos</vt:lpstr>
      <vt:lpstr>Listas</vt:lpstr>
      <vt:lpstr>Proveedores</vt:lpstr>
      <vt:lpstr>Proyecciones</vt:lpstr>
      <vt:lpstr>Formato</vt:lpstr>
      <vt:lpstr>CAH</vt:lpstr>
      <vt:lpstr>Celsius</vt:lpstr>
      <vt:lpstr>Doxa</vt:lpstr>
      <vt:lpstr>NA</vt:lpstr>
      <vt:lpstr>Precision</vt:lpstr>
      <vt:lpstr>Zoser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Rodríguez Bernal</dc:creator>
  <cp:lastModifiedBy>USER</cp:lastModifiedBy>
  <dcterms:created xsi:type="dcterms:W3CDTF">2023-05-08T18:44:30Z</dcterms:created>
  <dcterms:modified xsi:type="dcterms:W3CDTF">2023-08-01T13:16:02Z</dcterms:modified>
</cp:coreProperties>
</file>