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3e03174c8f7b896/Escritorio/PROPUESTA DE GRADO/CORRECCIONES FINALES DE LA PROFESORA 5 DE OCTUBRE DEL 2023/"/>
    </mc:Choice>
  </mc:AlternateContent>
  <xr:revisionPtr revIDLastSave="7" documentId="8_{4F326391-B5C2-4A3A-A9F7-C7600134FF91}" xr6:coauthVersionLast="47" xr6:coauthVersionMax="47" xr10:uidLastSave="{A5EFA0C5-2FC8-4F55-8CF8-7D0D482C6041}"/>
  <bookViews>
    <workbookView xWindow="-110" yWindow="-110" windowWidth="21820" windowHeight="13000" firstSheet="12" activeTab="14" xr2:uid="{00000000-000D-0000-FFFF-FFFF00000000}"/>
  </bookViews>
  <sheets>
    <sheet name="MAQUINARIA Y EQUIPO" sheetId="13" r:id="rId1"/>
    <sheet name="COSTOS FIJO-NOMINA" sheetId="4" r:id="rId2"/>
    <sheet name="TOTAL INVERSIONES" sheetId="14" r:id="rId3"/>
    <sheet name="ACTIVOS INTANGIBLES" sheetId="16" r:id="rId4"/>
    <sheet name="ACTIVOS DEPRECIABLES" sheetId="15" r:id="rId5"/>
    <sheet name="PROVEEDORES" sheetId="27" r:id="rId6"/>
    <sheet name="PROYECCIÓN DE DEMANDA Y % CAPAC" sheetId="26" r:id="rId7"/>
    <sheet name="CAPITAL DE TRABAJO" sheetId="17" r:id="rId8"/>
    <sheet name="GASTOS LEGALES" sheetId="28" r:id="rId9"/>
    <sheet name="PARÁMETROS DEL MODELO" sheetId="38" r:id="rId10"/>
    <sheet name="An. Sensibilidad-Precio Venta" sheetId="39" r:id="rId11"/>
    <sheet name="An. Sensibilidad % Capacidad" sheetId="40" r:id="rId12"/>
    <sheet name="Ana. Sensibilidad CV" sheetId="48" r:id="rId13"/>
    <sheet name="An. Sensibilidad CF" sheetId="50" r:id="rId14"/>
    <sheet name="ESTUDIO FINANCIERO CONSTANTE" sheetId="34" r:id="rId15"/>
    <sheet name="VALOR DE RESCATE" sheetId="37" r:id="rId16"/>
    <sheet name="SUBPROCESO DE COMPRAS" sheetId="29" r:id="rId17"/>
    <sheet name="PREPA. DE INGREDIENTES" sheetId="24" r:id="rId18"/>
    <sheet name="MISE EN PLACE-BÁCON BECHAMEL" sheetId="21" r:id="rId19"/>
    <sheet name=" PREPARACIÓN SALSA BECHAMEL" sheetId="22" r:id="rId20"/>
    <sheet name="BÁCON BECHAMEL-COCCIÓN PECHUGA" sheetId="20" r:id="rId21"/>
    <sheet name="COSTO DE PRODUCCIÓN SIMPLY" sheetId="30" r:id="rId22"/>
    <sheet name="COSTO DE PRODUCCIÓN PORC 20 CM" sheetId="12" r:id="rId23"/>
    <sheet name="COSTO DE PRODUCCIÓN BÁCON B" sheetId="31" r:id="rId24"/>
  </sheets>
  <definedNames>
    <definedName name="FromOrganiz_1">_xlfn.ANCHORARRAY('ESTUDIO FINANCIERO CONSTANTE'!$B$45)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" i="34" l="1"/>
  <c r="G102" i="34"/>
  <c r="C43" i="34"/>
  <c r="D43" i="34" s="1"/>
  <c r="C20" i="34"/>
  <c r="B26" i="34"/>
  <c r="B85" i="34" s="1"/>
  <c r="B91" i="34" s="1"/>
  <c r="D8" i="26"/>
  <c r="D4" i="26"/>
  <c r="D7" i="26"/>
  <c r="D5" i="26"/>
  <c r="C8" i="26"/>
  <c r="C7" i="26"/>
  <c r="C6" i="26"/>
  <c r="C5" i="26"/>
  <c r="B50" i="34"/>
  <c r="B49" i="34"/>
  <c r="D15" i="37"/>
  <c r="D3" i="37"/>
  <c r="E22" i="37"/>
  <c r="D26" i="37"/>
  <c r="D2" i="37"/>
  <c r="D30" i="37"/>
  <c r="E31" i="37"/>
  <c r="D31" i="37"/>
  <c r="B27" i="34"/>
  <c r="F102" i="34" s="1"/>
  <c r="E30" i="37"/>
  <c r="E29" i="37"/>
  <c r="E28" i="37"/>
  <c r="E27" i="37"/>
  <c r="E26" i="37"/>
  <c r="B46" i="34"/>
  <c r="D20" i="34" l="1"/>
  <c r="B102" i="34"/>
  <c r="C102" i="34" s="1"/>
  <c r="C46" i="34"/>
  <c r="C81" i="34" s="1"/>
  <c r="I7" i="31"/>
  <c r="I6" i="31"/>
  <c r="I5" i="31"/>
  <c r="I4" i="31"/>
  <c r="H5" i="31"/>
  <c r="H4" i="31"/>
  <c r="C45" i="34"/>
  <c r="B29" i="34"/>
  <c r="B15" i="37"/>
  <c r="D16" i="13"/>
  <c r="F2" i="14" s="1"/>
  <c r="C25" i="26"/>
  <c r="C26" i="26"/>
  <c r="C27" i="26"/>
  <c r="C28" i="26"/>
  <c r="C24" i="26"/>
  <c r="F16" i="26"/>
  <c r="D24" i="26" s="1"/>
  <c r="E25" i="26"/>
  <c r="E26" i="26"/>
  <c r="E27" i="26"/>
  <c r="E28" i="26"/>
  <c r="I17" i="26"/>
  <c r="I18" i="26"/>
  <c r="I19" i="26"/>
  <c r="I20" i="26"/>
  <c r="I16" i="26"/>
  <c r="H13" i="26"/>
  <c r="E13" i="26"/>
  <c r="C16" i="26"/>
  <c r="E24" i="26" s="1"/>
  <c r="F4" i="26"/>
  <c r="C17" i="26"/>
  <c r="D7" i="4"/>
  <c r="D3" i="4"/>
  <c r="D4" i="4"/>
  <c r="D5" i="4"/>
  <c r="D6" i="4"/>
  <c r="D2" i="4"/>
  <c r="G2" i="4"/>
  <c r="D37" i="30"/>
  <c r="A76" i="34"/>
  <c r="E20" i="34" l="1"/>
  <c r="C3" i="38"/>
  <c r="D46" i="34"/>
  <c r="I8" i="31"/>
  <c r="D28" i="37"/>
  <c r="D29" i="37"/>
  <c r="D27" i="37"/>
  <c r="B12" i="34"/>
  <c r="B65" i="34" s="1"/>
  <c r="D4" i="37"/>
  <c r="D5" i="37"/>
  <c r="D6" i="37"/>
  <c r="D7" i="37"/>
  <c r="D8" i="37"/>
  <c r="D9" i="37"/>
  <c r="D10" i="37"/>
  <c r="D11" i="37"/>
  <c r="D12" i="37"/>
  <c r="D13" i="37"/>
  <c r="D14" i="37"/>
  <c r="F2" i="37"/>
  <c r="F20" i="34" l="1"/>
  <c r="E46" i="34"/>
  <c r="E81" i="34" s="1"/>
  <c r="D81" i="34"/>
  <c r="B70" i="34"/>
  <c r="B69" i="34"/>
  <c r="C119" i="34"/>
  <c r="C123" i="34" s="1"/>
  <c r="F24" i="14"/>
  <c r="A15" i="14"/>
  <c r="F4" i="37"/>
  <c r="G4" i="37" s="1"/>
  <c r="F7" i="37"/>
  <c r="G7" i="37" s="1"/>
  <c r="F8" i="37"/>
  <c r="G8" i="37" s="1"/>
  <c r="F9" i="37"/>
  <c r="G9" i="37" s="1"/>
  <c r="F12" i="37"/>
  <c r="G12" i="37" s="1"/>
  <c r="F14" i="37"/>
  <c r="G14" i="37" s="1"/>
  <c r="B4" i="26"/>
  <c r="B87" i="34"/>
  <c r="D11" i="13"/>
  <c r="F6" i="37"/>
  <c r="G6" i="37" s="1"/>
  <c r="F10" i="37"/>
  <c r="G10" i="37" s="1"/>
  <c r="F11" i="37"/>
  <c r="G11" i="37" s="1"/>
  <c r="F13" i="37"/>
  <c r="G13" i="37" s="1"/>
  <c r="I3" i="31"/>
  <c r="H3" i="31"/>
  <c r="C17" i="34"/>
  <c r="C19" i="34" s="1"/>
  <c r="B111" i="34"/>
  <c r="A110" i="34"/>
  <c r="E103" i="34"/>
  <c r="E104" i="34" s="1"/>
  <c r="E105" i="34" s="1"/>
  <c r="A103" i="34"/>
  <c r="A104" i="34" s="1"/>
  <c r="A105" i="34" s="1"/>
  <c r="C77" i="34"/>
  <c r="D77" i="34" s="1"/>
  <c r="C42" i="34"/>
  <c r="D42" i="34" s="1"/>
  <c r="E42" i="34" s="1"/>
  <c r="F42" i="34" s="1"/>
  <c r="G42" i="34" s="1"/>
  <c r="C16" i="34"/>
  <c r="A7" i="34" s="1"/>
  <c r="A8" i="34" s="1"/>
  <c r="A9" i="34" s="1"/>
  <c r="A10" i="34" s="1"/>
  <c r="A11" i="34" s="1"/>
  <c r="A15" i="34"/>
  <c r="B5" i="26"/>
  <c r="B6" i="26" s="1"/>
  <c r="B7" i="26" s="1"/>
  <c r="B8" i="26" s="1"/>
  <c r="C8" i="28"/>
  <c r="D12" i="31"/>
  <c r="D45" i="34" s="1"/>
  <c r="E45" i="34" s="1"/>
  <c r="F45" i="34" s="1"/>
  <c r="G45" i="34" s="1"/>
  <c r="G80" i="34" s="1"/>
  <c r="D12" i="12"/>
  <c r="D12" i="30"/>
  <c r="D13" i="30" s="1"/>
  <c r="D20" i="15"/>
  <c r="D13" i="15"/>
  <c r="D15" i="15"/>
  <c r="I48" i="31"/>
  <c r="E26" i="31"/>
  <c r="I47" i="31"/>
  <c r="I46" i="31"/>
  <c r="I45" i="31"/>
  <c r="I44" i="31"/>
  <c r="I43" i="31"/>
  <c r="E25" i="31"/>
  <c r="E32" i="31"/>
  <c r="E31" i="31"/>
  <c r="I30" i="31"/>
  <c r="E33" i="31" s="1"/>
  <c r="E29" i="31"/>
  <c r="I28" i="31"/>
  <c r="E30" i="31" s="1"/>
  <c r="E28" i="31"/>
  <c r="E23" i="31"/>
  <c r="E22" i="31"/>
  <c r="E21" i="31"/>
  <c r="E20" i="31"/>
  <c r="E19" i="31"/>
  <c r="E18" i="31"/>
  <c r="I17" i="31"/>
  <c r="B44" i="12"/>
  <c r="B43" i="12"/>
  <c r="B42" i="12"/>
  <c r="E27" i="30"/>
  <c r="E31" i="30"/>
  <c r="E30" i="30"/>
  <c r="J29" i="30"/>
  <c r="E32" i="30" s="1"/>
  <c r="E28" i="30"/>
  <c r="J27" i="30"/>
  <c r="E29" i="30" s="1"/>
  <c r="E25" i="30"/>
  <c r="E24" i="30"/>
  <c r="E23" i="30"/>
  <c r="E22" i="30"/>
  <c r="E21" i="30"/>
  <c r="E20" i="30"/>
  <c r="E19" i="30"/>
  <c r="E18" i="30"/>
  <c r="J17" i="30"/>
  <c r="H2" i="4"/>
  <c r="I2" i="4"/>
  <c r="B7" i="4"/>
  <c r="C44" i="34" l="1"/>
  <c r="C21" i="34"/>
  <c r="C78" i="34" s="1"/>
  <c r="G20" i="34"/>
  <c r="F17" i="26"/>
  <c r="D6" i="26"/>
  <c r="D13" i="31"/>
  <c r="E33" i="30"/>
  <c r="D34" i="30" s="1"/>
  <c r="D35" i="30" s="1"/>
  <c r="C40" i="30" s="1"/>
  <c r="F80" i="34"/>
  <c r="G2" i="37"/>
  <c r="B86" i="34"/>
  <c r="F5" i="37"/>
  <c r="G5" i="37" s="1"/>
  <c r="F3" i="37"/>
  <c r="G3" i="37" s="1"/>
  <c r="F106" i="34"/>
  <c r="G119" i="34" s="1"/>
  <c r="G123" i="34" s="1"/>
  <c r="F105" i="34"/>
  <c r="G105" i="34" s="1"/>
  <c r="F119" i="34" s="1"/>
  <c r="F123" i="34" s="1"/>
  <c r="F104" i="34"/>
  <c r="G104" i="34" s="1"/>
  <c r="E119" i="34" s="1"/>
  <c r="E123" i="34" s="1"/>
  <c r="F103" i="34"/>
  <c r="G103" i="34" s="1"/>
  <c r="D119" i="34" s="1"/>
  <c r="D123" i="34" s="1"/>
  <c r="E80" i="34"/>
  <c r="D80" i="34"/>
  <c r="C80" i="34"/>
  <c r="I49" i="31"/>
  <c r="I50" i="31" s="1"/>
  <c r="E24" i="31" s="1"/>
  <c r="E34" i="31" s="1"/>
  <c r="C111" i="34"/>
  <c r="D111" i="34"/>
  <c r="E77" i="34"/>
  <c r="D17" i="34"/>
  <c r="D19" i="34" s="1"/>
  <c r="D21" i="34" s="1"/>
  <c r="D16" i="34"/>
  <c r="E16" i="34" s="1"/>
  <c r="F16" i="34" s="1"/>
  <c r="G16" i="34" s="1"/>
  <c r="D10" i="17"/>
  <c r="D6" i="17"/>
  <c r="D12" i="17" s="1"/>
  <c r="D5" i="13"/>
  <c r="D19" i="15"/>
  <c r="D12" i="15"/>
  <c r="D23" i="15"/>
  <c r="D16" i="15"/>
  <c r="D17" i="15"/>
  <c r="D18" i="15"/>
  <c r="D11" i="15"/>
  <c r="D5" i="15"/>
  <c r="D6" i="15"/>
  <c r="D7" i="15"/>
  <c r="D8" i="15"/>
  <c r="D4" i="15"/>
  <c r="D22" i="15"/>
  <c r="D10" i="15"/>
  <c r="D14" i="13"/>
  <c r="D7" i="13"/>
  <c r="E27" i="12"/>
  <c r="E24" i="12"/>
  <c r="E23" i="12"/>
  <c r="E18" i="12"/>
  <c r="E26" i="12"/>
  <c r="D13" i="12"/>
  <c r="D3" i="13"/>
  <c r="D4" i="13"/>
  <c r="D6" i="13"/>
  <c r="D8" i="13"/>
  <c r="D9" i="13"/>
  <c r="D10" i="13"/>
  <c r="D12" i="13"/>
  <c r="D2" i="13"/>
  <c r="C47" i="34" l="1"/>
  <c r="C48" i="34"/>
  <c r="D25" i="26"/>
  <c r="D3" i="38"/>
  <c r="F18" i="26"/>
  <c r="D35" i="31"/>
  <c r="D36" i="31" s="1"/>
  <c r="C41" i="31" s="1"/>
  <c r="G15" i="37"/>
  <c r="B88" i="34"/>
  <c r="G89" i="34" s="1"/>
  <c r="F77" i="34"/>
  <c r="E111" i="34"/>
  <c r="E17" i="34"/>
  <c r="C18" i="26"/>
  <c r="C41" i="30"/>
  <c r="E33" i="12"/>
  <c r="E32" i="12"/>
  <c r="J31" i="12"/>
  <c r="E34" i="12" s="1"/>
  <c r="E30" i="12"/>
  <c r="J29" i="12"/>
  <c r="E31" i="12" s="1"/>
  <c r="E29" i="12"/>
  <c r="E25" i="12"/>
  <c r="E22" i="12"/>
  <c r="E21" i="12"/>
  <c r="E20" i="12"/>
  <c r="E19" i="12"/>
  <c r="J17" i="12"/>
  <c r="R6" i="4"/>
  <c r="N6" i="4"/>
  <c r="M6" i="4"/>
  <c r="L6" i="4"/>
  <c r="K6" i="4"/>
  <c r="J6" i="4"/>
  <c r="I6" i="4"/>
  <c r="H6" i="4"/>
  <c r="G6" i="4"/>
  <c r="R5" i="4"/>
  <c r="N5" i="4"/>
  <c r="M5" i="4"/>
  <c r="L5" i="4"/>
  <c r="K5" i="4"/>
  <c r="J5" i="4"/>
  <c r="I5" i="4"/>
  <c r="H5" i="4"/>
  <c r="G5" i="4"/>
  <c r="C5" i="4" s="1"/>
  <c r="R4" i="4"/>
  <c r="N4" i="4"/>
  <c r="M4" i="4"/>
  <c r="L4" i="4"/>
  <c r="K4" i="4"/>
  <c r="J4" i="4"/>
  <c r="I4" i="4"/>
  <c r="H4" i="4"/>
  <c r="G4" i="4"/>
  <c r="O4" i="4" s="1"/>
  <c r="P4" i="4" s="1"/>
  <c r="Q4" i="4" s="1"/>
  <c r="R3" i="4"/>
  <c r="N3" i="4"/>
  <c r="M3" i="4"/>
  <c r="L3" i="4"/>
  <c r="K3" i="4"/>
  <c r="J3" i="4"/>
  <c r="I3" i="4"/>
  <c r="H3" i="4"/>
  <c r="G3" i="4"/>
  <c r="C3" i="4" s="1"/>
  <c r="R2" i="4"/>
  <c r="N2" i="4"/>
  <c r="M2" i="4"/>
  <c r="L2" i="4"/>
  <c r="K2" i="4"/>
  <c r="J2" i="4"/>
  <c r="D48" i="34" l="1"/>
  <c r="D47" i="34"/>
  <c r="C82" i="34"/>
  <c r="C83" i="34"/>
  <c r="D26" i="26"/>
  <c r="E3" i="38"/>
  <c r="F20" i="26"/>
  <c r="F19" i="26"/>
  <c r="G16" i="37"/>
  <c r="G90" i="34"/>
  <c r="G130" i="34" s="1"/>
  <c r="B105" i="34"/>
  <c r="C105" i="34" s="1"/>
  <c r="F120" i="34" s="1"/>
  <c r="F124" i="34" s="1"/>
  <c r="C120" i="34"/>
  <c r="C124" i="34" s="1"/>
  <c r="B104" i="34"/>
  <c r="C104" i="34" s="1"/>
  <c r="E120" i="34" s="1"/>
  <c r="E124" i="34" s="1"/>
  <c r="B30" i="34"/>
  <c r="B103" i="34"/>
  <c r="B106" i="34"/>
  <c r="C106" i="34" s="1"/>
  <c r="G120" i="34" s="1"/>
  <c r="G124" i="34" s="1"/>
  <c r="E43" i="34"/>
  <c r="F43" i="34" s="1"/>
  <c r="G43" i="34" s="1"/>
  <c r="C79" i="34"/>
  <c r="G77" i="34"/>
  <c r="F111" i="34"/>
  <c r="F46" i="34"/>
  <c r="D78" i="34"/>
  <c r="F17" i="34"/>
  <c r="E19" i="34"/>
  <c r="E21" i="34" s="1"/>
  <c r="C19" i="26"/>
  <c r="C20" i="26"/>
  <c r="E35" i="12"/>
  <c r="E36" i="12" s="1"/>
  <c r="D37" i="12" s="1"/>
  <c r="C42" i="31"/>
  <c r="C4" i="4"/>
  <c r="C6" i="4"/>
  <c r="C2" i="4"/>
  <c r="C7" i="4" s="1"/>
  <c r="F10" i="14"/>
  <c r="S4" i="4"/>
  <c r="B15" i="4" s="1"/>
  <c r="O6" i="4"/>
  <c r="P6" i="4" s="1"/>
  <c r="Q6" i="4" s="1"/>
  <c r="O2" i="4"/>
  <c r="P2" i="4" s="1"/>
  <c r="Q2" i="4" s="1"/>
  <c r="O5" i="4"/>
  <c r="P5" i="4" s="1"/>
  <c r="Q5" i="4" s="1"/>
  <c r="O3" i="4"/>
  <c r="P3" i="4" s="1"/>
  <c r="Q3" i="4" s="1"/>
  <c r="C84" i="34" l="1"/>
  <c r="D83" i="34"/>
  <c r="D82" i="34"/>
  <c r="F3" i="38"/>
  <c r="D27" i="26"/>
  <c r="D28" i="26"/>
  <c r="G3" i="38"/>
  <c r="E44" i="34"/>
  <c r="E79" i="34" s="1"/>
  <c r="C103" i="34"/>
  <c r="D120" i="34" s="1"/>
  <c r="D124" i="34" s="1"/>
  <c r="F81" i="34"/>
  <c r="D44" i="34"/>
  <c r="D79" i="34" s="1"/>
  <c r="S2" i="4"/>
  <c r="B13" i="4"/>
  <c r="G129" i="34"/>
  <c r="B125" i="34" a="1"/>
  <c r="B125" i="34" s="1"/>
  <c r="G46" i="34"/>
  <c r="F19" i="34"/>
  <c r="G17" i="34"/>
  <c r="G19" i="34" s="1"/>
  <c r="G21" i="34" s="1"/>
  <c r="S6" i="4"/>
  <c r="B17" i="4" s="1"/>
  <c r="S3" i="4"/>
  <c r="B14" i="4" s="1"/>
  <c r="S5" i="4"/>
  <c r="B16" i="4" s="1"/>
  <c r="F44" i="34" l="1"/>
  <c r="F79" i="34" s="1"/>
  <c r="F21" i="34"/>
  <c r="D84" i="34"/>
  <c r="D91" i="34" s="1"/>
  <c r="D92" i="34" s="1"/>
  <c r="E48" i="34"/>
  <c r="E47" i="34"/>
  <c r="C91" i="34"/>
  <c r="C92" i="34" s="1"/>
  <c r="C93" i="34" s="1"/>
  <c r="E78" i="34"/>
  <c r="G81" i="34"/>
  <c r="G44" i="34"/>
  <c r="G79" i="34" s="1"/>
  <c r="B18" i="4"/>
  <c r="O7" i="4"/>
  <c r="F48" i="34" l="1"/>
  <c r="F47" i="34"/>
  <c r="E82" i="34"/>
  <c r="E84" i="34" s="1"/>
  <c r="E91" i="34" s="1"/>
  <c r="E83" i="34"/>
  <c r="G47" i="34"/>
  <c r="G48" i="34"/>
  <c r="D93" i="34"/>
  <c r="G78" i="34"/>
  <c r="F78" i="34"/>
  <c r="F82" i="34" l="1"/>
  <c r="F84" i="34" s="1"/>
  <c r="F91" i="34" s="1"/>
  <c r="F92" i="34" s="1"/>
  <c r="F83" i="34"/>
  <c r="G82" i="34"/>
  <c r="G84" i="34" s="1"/>
  <c r="G91" i="34" s="1"/>
  <c r="G83" i="34"/>
  <c r="E92" i="34"/>
  <c r="E93" i="34" s="1"/>
  <c r="C112" i="34" a="1"/>
  <c r="I114" i="34" l="1"/>
  <c r="I119" i="34"/>
  <c r="I118" i="34"/>
  <c r="I113" i="34"/>
  <c r="D117" i="34"/>
  <c r="G117" i="34"/>
  <c r="E117" i="34"/>
  <c r="F117" i="34"/>
  <c r="D116" i="34"/>
  <c r="F93" i="34"/>
  <c r="C112" i="34"/>
  <c r="B131" i="34"/>
  <c r="B94" i="34"/>
  <c r="B95" i="34"/>
  <c r="G92" i="34"/>
  <c r="G116" i="34"/>
  <c r="F116" i="34"/>
  <c r="E116" i="34"/>
  <c r="E118" i="34" l="1"/>
  <c r="E121" i="34" s="1"/>
  <c r="F118" i="34"/>
  <c r="F121" i="34" s="1"/>
  <c r="F122" i="34" s="1"/>
  <c r="F131" i="34" s="1"/>
  <c r="F132" i="34" s="1"/>
  <c r="D118" i="34"/>
  <c r="G118" i="34"/>
  <c r="G121" i="34" s="1"/>
  <c r="G122" i="34" s="1"/>
  <c r="G131" i="34" s="1"/>
  <c r="G132" i="34" s="1"/>
  <c r="C116" i="34"/>
  <c r="C117" i="34"/>
  <c r="G93" i="34"/>
  <c r="C118" i="34" l="1"/>
  <c r="C121" i="34" s="1"/>
  <c r="C122" i="34" s="1"/>
  <c r="C131" i="34" s="1"/>
  <c r="D121" i="34"/>
  <c r="D122" i="34" s="1"/>
  <c r="D131" i="34" s="1"/>
  <c r="D132" i="34" s="1"/>
  <c r="E122" i="34"/>
  <c r="C132" i="34" l="1"/>
  <c r="C133" i="34" s="1"/>
  <c r="D133" i="34" s="1"/>
  <c r="E131" i="34"/>
  <c r="B134" i="34" s="1"/>
  <c r="B135" i="34" l="1"/>
  <c r="E132" i="34"/>
  <c r="E133" i="34" s="1"/>
  <c r="F133" i="34" s="1"/>
  <c r="G133" i="34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<sst xmlns="http://schemas.openxmlformats.org/spreadsheetml/2006/main" count="1045" uniqueCount="603">
  <si>
    <t>Pan</t>
  </si>
  <si>
    <t>Pechuga</t>
  </si>
  <si>
    <t>Lechuga</t>
  </si>
  <si>
    <t>COSTO UNITARIO</t>
  </si>
  <si>
    <t>Piña</t>
  </si>
  <si>
    <t>Guacamole</t>
  </si>
  <si>
    <t>Tomate</t>
  </si>
  <si>
    <t>Servicio de agua</t>
  </si>
  <si>
    <t>COSTOS FIJOS</t>
  </si>
  <si>
    <t>CONCEPTO</t>
  </si>
  <si>
    <t>Alquiler del local</t>
  </si>
  <si>
    <t>COSTOS DE PRODUCCIÓN- SÁNDWICH SIMPLY 20CM</t>
  </si>
  <si>
    <t>Servicio de luz</t>
  </si>
  <si>
    <t>Pago de nómina</t>
  </si>
  <si>
    <t>Servicio de gas</t>
  </si>
  <si>
    <t>COSTOS VARIABLES</t>
  </si>
  <si>
    <t>VALOR ESTIMADO</t>
  </si>
  <si>
    <t>INSUMOS</t>
  </si>
  <si>
    <t>Jamón</t>
  </si>
  <si>
    <t>Pepinos</t>
  </si>
  <si>
    <t>Salsa BBQ Suite</t>
  </si>
  <si>
    <t>Queso mozarella</t>
  </si>
  <si>
    <t>CANTIDADES</t>
  </si>
  <si>
    <t>120 gr</t>
  </si>
  <si>
    <t>2 rodajas</t>
  </si>
  <si>
    <t>1 lonja</t>
  </si>
  <si>
    <t>1 hoja</t>
  </si>
  <si>
    <t xml:space="preserve">TOMATE </t>
  </si>
  <si>
    <t>LECHUGA</t>
  </si>
  <si>
    <t>(COSTO LIBRA)</t>
  </si>
  <si>
    <t>COSTOS</t>
  </si>
  <si>
    <t>(1 LECHUGA)</t>
  </si>
  <si>
    <t>JAMON</t>
  </si>
  <si>
    <t>(21 LONJAS)</t>
  </si>
  <si>
    <t>PEPINOS</t>
  </si>
  <si>
    <t>(1 LIBRA)</t>
  </si>
  <si>
    <t>QUESO MOZZRELLA</t>
  </si>
  <si>
    <t>(BLOQUE X 70 und aprox)</t>
  </si>
  <si>
    <t>SALSA BBQ SUITE</t>
  </si>
  <si>
    <t>(1 LITRO)</t>
  </si>
  <si>
    <t>5ml</t>
  </si>
  <si>
    <t>Empaque para salsa</t>
  </si>
  <si>
    <t>Papel parafinado</t>
  </si>
  <si>
    <t>MATERIA PRIMA</t>
  </si>
  <si>
    <t>TOTAL COSTOS FIJOS</t>
  </si>
  <si>
    <t xml:space="preserve">INSUMOS </t>
  </si>
  <si>
    <t>Papel de sticker</t>
  </si>
  <si>
    <t>Servilleta</t>
  </si>
  <si>
    <t>Tinta para marcar bolsa</t>
  </si>
  <si>
    <t>(100 metros)</t>
  </si>
  <si>
    <t>(90 unidades)</t>
  </si>
  <si>
    <t>(PAQUETE X 200 UND)</t>
  </si>
  <si>
    <t>Bolsa parafinada para papas</t>
  </si>
  <si>
    <t>(100 UNIDADES)</t>
  </si>
  <si>
    <t>30 cm</t>
  </si>
  <si>
    <t>(PAQUETE X 100 UND)</t>
  </si>
  <si>
    <t>TOTAL COSTOS VARIABLES</t>
  </si>
  <si>
    <t>COSTO UNITARIO DE PRODUCCIÓN</t>
  </si>
  <si>
    <t>PROYECCIÓN DE PRODUCCIÓN (MES)</t>
  </si>
  <si>
    <t>ORÉGANO</t>
  </si>
  <si>
    <t>(SOBRE POR 20 gr)</t>
  </si>
  <si>
    <t>Aderezo</t>
  </si>
  <si>
    <t>10ml</t>
  </si>
  <si>
    <t>PRECIO DE VENTA</t>
  </si>
  <si>
    <t>Cargo</t>
  </si>
  <si>
    <t>Salario mensual</t>
  </si>
  <si>
    <t>Salario + auxilio de transporte</t>
  </si>
  <si>
    <t>Salario + prestaciones sociales + seguridad social+ aportes a parafiscales</t>
  </si>
  <si>
    <t>AUXILIO DE TRANSPORTE</t>
  </si>
  <si>
    <t>TOTAL</t>
  </si>
  <si>
    <t>DESCUENTO</t>
  </si>
  <si>
    <t>SALUD</t>
  </si>
  <si>
    <t>PENSIÓN</t>
  </si>
  <si>
    <t>ARL</t>
  </si>
  <si>
    <t>SENA</t>
  </si>
  <si>
    <t>ICBF</t>
  </si>
  <si>
    <t>CAJA COMPENSACIÓN FAMILIAR</t>
  </si>
  <si>
    <t>PRIMA</t>
  </si>
  <si>
    <t>CESANTÍAS</t>
  </si>
  <si>
    <t>INTERESES DE CESANTÍAS</t>
  </si>
  <si>
    <t>VACACIONES</t>
  </si>
  <si>
    <t>SALARIO MENSUAL</t>
  </si>
  <si>
    <t>Gerente</t>
  </si>
  <si>
    <t>Mesero(a)</t>
  </si>
  <si>
    <t>Personal de limpieza</t>
  </si>
  <si>
    <t>CARGO</t>
  </si>
  <si>
    <t>COSTO REAL PARA LA EMPRESA</t>
  </si>
  <si>
    <t>Maquinaria y equipos</t>
  </si>
  <si>
    <t>Valor unitario</t>
  </si>
  <si>
    <t>Unidades</t>
  </si>
  <si>
    <t>Valor total</t>
  </si>
  <si>
    <t>Planchas industriales</t>
  </si>
  <si>
    <t>Refrigerador</t>
  </si>
  <si>
    <t xml:space="preserve">Congelador </t>
  </si>
  <si>
    <t>Estanterías</t>
  </si>
  <si>
    <t xml:space="preserve">Mesas </t>
  </si>
  <si>
    <t>Sillas</t>
  </si>
  <si>
    <t>Computador</t>
  </si>
  <si>
    <t>Caja registradora</t>
  </si>
  <si>
    <t>N/A</t>
  </si>
  <si>
    <t xml:space="preserve">Utensilios de cocina(incluyendo platos y cubiertos)                                             </t>
  </si>
  <si>
    <t>Cerdo</t>
  </si>
  <si>
    <t>Ketchup + picante</t>
  </si>
  <si>
    <t>(1000 gr)</t>
  </si>
  <si>
    <t>SALSA KÉTCHUP</t>
  </si>
  <si>
    <t>PICANTE</t>
  </si>
  <si>
    <t>(EMPAQUE POR 1000 GR)</t>
  </si>
  <si>
    <t>(ENVASE POR 250 GR)</t>
  </si>
  <si>
    <t>GUACAMOLE ZAFRÁN</t>
  </si>
  <si>
    <t>SALSA BBQ SWEET</t>
  </si>
  <si>
    <t>30ml</t>
  </si>
  <si>
    <t>60 ml</t>
  </si>
  <si>
    <t>COSTOS DE PRODUCCIÓN- SÁNDWICH PORC 20CM</t>
  </si>
  <si>
    <t>PIÑA</t>
  </si>
  <si>
    <t>(UNIDAD)</t>
  </si>
  <si>
    <t>50gr</t>
  </si>
  <si>
    <t>TIPO DE INVERSIÓN</t>
  </si>
  <si>
    <t>ACTIVOS FIJOS</t>
  </si>
  <si>
    <t>INSUMOS Y SUMINISTROS</t>
  </si>
  <si>
    <t>Campana de extracción</t>
  </si>
  <si>
    <t>Aires acondicionados</t>
  </si>
  <si>
    <t>Sotfware para la gestión de pedidos</t>
  </si>
  <si>
    <t>COSTOS DE MARKETING</t>
  </si>
  <si>
    <t>COSTOS DE CONTRATACIÓN</t>
  </si>
  <si>
    <t>LICENCIAS Y PERMISOS</t>
  </si>
  <si>
    <t>GASTOS LEGALES</t>
  </si>
  <si>
    <t>Costos de publicación de empleo, entrevistas, uniformes, etc.</t>
  </si>
  <si>
    <t>Licencias de operación, permisos de salud, etc.</t>
  </si>
  <si>
    <t>DESCRIPCIÓN</t>
  </si>
  <si>
    <t>COSTO ESTIMADO</t>
  </si>
  <si>
    <t>Diseño del logo, flyers, publicidad en redes sociales, etc.</t>
  </si>
  <si>
    <t>TOTAL INVERSIONES</t>
  </si>
  <si>
    <t>ASESORÍA DE EXPERTO EN COCINA</t>
  </si>
  <si>
    <t>Honorarios de abogados para redacción de contratos y asesorías, etc.</t>
  </si>
  <si>
    <t>Activo fijo depreciable</t>
  </si>
  <si>
    <t>ACTIVOS FIJOS DEPRECIABLES</t>
  </si>
  <si>
    <t>Congeladores</t>
  </si>
  <si>
    <t>MAQUINARIA Y EQUIPO</t>
  </si>
  <si>
    <t>MOBILIARIO Y ENSERES</t>
  </si>
  <si>
    <t>EQUIPO DE INFORMÁTICA</t>
  </si>
  <si>
    <t>Impresora</t>
  </si>
  <si>
    <t>UTENSILIOS DE COCINA</t>
  </si>
  <si>
    <t>Cuchillos</t>
  </si>
  <si>
    <t>Tablas para cortar</t>
  </si>
  <si>
    <t>Platos</t>
  </si>
  <si>
    <t>Vasos</t>
  </si>
  <si>
    <t>Freidora</t>
  </si>
  <si>
    <t>Maquinaria para preparar sándwiches, estanterías, mesas, sillas, sistema de aire acondicionado, freidoras, etc.</t>
  </si>
  <si>
    <t xml:space="preserve">Chef que colaboró en la elaboración del menú </t>
  </si>
  <si>
    <t>Tasa de depreciación fiscal anual</t>
  </si>
  <si>
    <t>Equivalente en meses</t>
  </si>
  <si>
    <t>Vida útil estimada (años)</t>
  </si>
  <si>
    <t>Cubiertos</t>
  </si>
  <si>
    <t>Ollas, sartenes</t>
  </si>
  <si>
    <t>ACTIVOS INTANGIBLES</t>
  </si>
  <si>
    <t>ACTIVO</t>
  </si>
  <si>
    <t>Freidoras</t>
  </si>
  <si>
    <t>CAPITAL DE TRABAJO</t>
  </si>
  <si>
    <t>ACTIVOS CORRIENTES</t>
  </si>
  <si>
    <t xml:space="preserve">MONTO </t>
  </si>
  <si>
    <t>Caja y bancos</t>
  </si>
  <si>
    <t>Cuentas por cobrar</t>
  </si>
  <si>
    <t>TOTAL ACTIVO CORRIENTE</t>
  </si>
  <si>
    <t>MONTO</t>
  </si>
  <si>
    <t>PASIVOS CORRIENTES</t>
  </si>
  <si>
    <t>TOTAL PASIVO CORRIENTE</t>
  </si>
  <si>
    <t>CAPITAL DE TRABAJO                           (ACTIVOS CORRRIENTES - PASIVOS CORRIENTES)</t>
  </si>
  <si>
    <t>ACTIVIDAD</t>
  </si>
  <si>
    <t>RESPONSABLE</t>
  </si>
  <si>
    <t>TIEMPO ESTIMADO</t>
  </si>
  <si>
    <t>Condimentar cada trozo de pechuga con orégano (por cada 10 Lb, 2 sobres de orégano 20 gr), pimienta y sal.</t>
  </si>
  <si>
    <t>5 minutos</t>
  </si>
  <si>
    <t>15-20 minutos</t>
  </si>
  <si>
    <t>Pesar la pechuga cocida en porciones de 120 gr. Colocarla en una bolsa sellable.</t>
  </si>
  <si>
    <t>2 minutos</t>
  </si>
  <si>
    <t>Auxiliar de cocina</t>
  </si>
  <si>
    <t>TIEMPO TOTAL</t>
  </si>
  <si>
    <t>37 A 42 MINUTOS</t>
  </si>
  <si>
    <t>Retirar la pechuga cocida de la plancha y dejarla reposar durante unos minutos para que los jugos se redistribuyan y la carne se asiente.</t>
  </si>
  <si>
    <t>Congelar las pechuga a una temperatura mínima de 4°C.</t>
  </si>
  <si>
    <t xml:space="preserve">Repasar detalladamente la receta del sándwich Bacon Bechamel. 
</t>
  </si>
  <si>
    <t>Verificar la disponibilidad de los ingredientes en cocina y realiza las compras necesarias para asegurarse de tener todo lo requerido en cantidad suficiente.</t>
  </si>
  <si>
    <t>Etiquetar y almacenar correctamente los ingredientes preparados, como las pechugas de pollo cocidas y pesadas, la salsa bechamel de tocino y los vegetales cortados. Se mantiene todo organizado en recipientes sellables y bolsas de almacenamiento en el refrigerador.</t>
  </si>
  <si>
    <t>Asegurar de tener el lugar de trabajo limpio y ordenado. Lavar y secar los elementos y utensilios de cocina utilizados en el mise en place.</t>
  </si>
  <si>
    <t xml:space="preserve"> Se preparan todos los utensilios necesarios, como cuchillos, tablas de cortar, sartenes, plancha, recipientes y bolsas de almacenamiento de basura.</t>
  </si>
  <si>
    <t xml:space="preserve">Verificar que el espacio de trabajo esté limpio y despejado. </t>
  </si>
  <si>
    <t>Encargado de compras</t>
  </si>
  <si>
    <t>Cortar la pechuga de pollo en trozos (cuadros) de 4 cm por 5cm aprox.</t>
  </si>
  <si>
    <t>Cocinar la pechuga de pollo en la plancha o sartén a fuego medio-alto hasta que estén completamente cocidas y tengan un color dorado. Asegurarse de voltearlas para una cocción uniforme.</t>
  </si>
  <si>
    <t>RESPONSABLES</t>
  </si>
  <si>
    <t>Cortar el tocino</t>
  </si>
  <si>
    <t>Freír el tocino</t>
  </si>
  <si>
    <t>Retirar el tocino</t>
  </si>
  <si>
    <t>Derretir la mantequilla</t>
  </si>
  <si>
    <t>Preparar la mezcla</t>
  </si>
  <si>
    <t>Adicionar laleche</t>
  </si>
  <si>
    <t>Mezclar el tocino frío</t>
  </si>
  <si>
    <t>Sazonar la salsa</t>
  </si>
  <si>
    <t>Reenvasar y almacenar</t>
  </si>
  <si>
    <t>Cortar el tocino en trozos pequeños.</t>
  </si>
  <si>
    <t>Freír el tocino en una sartén grande hasta que esté crujiente y dorado.</t>
  </si>
  <si>
    <t>Retirar el tocino frito de la sartén y colocarlo sobre papel absorbente(toallín) para eliminar el exceso de grasa.</t>
  </si>
  <si>
    <t>Derretir la mantequilla en la misma sartén a fuego medio.</t>
  </si>
  <si>
    <t>Agregar la harina de trigo a la mantequilla derretida y mezclar bien para formar una pasta suave. Cocinar a fuego medio-bajo hasta que adquiera un color dorado claro.</t>
  </si>
  <si>
    <t>Verter la leche gradualmente en la mezcla, revolviendo constantemente para evitar grumos. Cocinar a fuego medio hasta que la mezcla espese y adquiera la consistencia deseada.</t>
  </si>
  <si>
    <t>Agregar el tocino frito a la salsa bechamel y mezclar bien.</t>
  </si>
  <si>
    <t>Agregar sal y pimienta al gusto y mezclar nuevamente.</t>
  </si>
  <si>
    <t>Transferir la salsa bechamel de tocino a un recipiente adecuado y almacenarla para su uso posterior.</t>
  </si>
  <si>
    <t>10-15 minutos</t>
  </si>
  <si>
    <t>10 minutos</t>
  </si>
  <si>
    <t>1 minuto</t>
  </si>
  <si>
    <t>Tiempo Total</t>
  </si>
  <si>
    <t>39-44 minutos</t>
  </si>
  <si>
    <t>Elaborar lista de los ingredientes necesarios para la preparación del sándwich bácon bechamel: Pan, pechuga, tocineta, vegetales (pimentón, pepinos agridulces, tomate), salsa bechamel (mantequilla, harina y leche deslactosada) y aderezo de la casa.</t>
  </si>
  <si>
    <t>Preparación de la pechuga</t>
  </si>
  <si>
    <t>Picar el tomate en rodajas</t>
  </si>
  <si>
    <t>Se corta el tomate en rodajas delgadas.</t>
  </si>
  <si>
    <t>37 a 42 minutos</t>
  </si>
  <si>
    <t>En esta actividad se procede a cortar los pimentones en trozos pequeños.</t>
  </si>
  <si>
    <t>15 minutos</t>
  </si>
  <si>
    <t>21 minutos</t>
  </si>
  <si>
    <t>TIEMPO TOTAL APROXIMADO</t>
  </si>
  <si>
    <t>78 A 83 MINUTOS</t>
  </si>
  <si>
    <t>1 HORA Y 23 MINUTOS</t>
  </si>
  <si>
    <t>83 minutos</t>
  </si>
  <si>
    <t>TIEMPO TOTAL APROXIMADO (MINUTOS)</t>
  </si>
  <si>
    <t>TIEMPO TOTAL APROXIMADO (HORAS)</t>
  </si>
  <si>
    <t>3 HORAS</t>
  </si>
  <si>
    <t>Realizar el mise en place de cada ingrediente. Esto incluye cortar, preparar y pesar la pechuga de pollo, cortar el tocino en trozos, picar los vegetales según las indicaciones.</t>
  </si>
  <si>
    <t>Se realiza la preparación de las salsas necesarias para el sándwich y se tienen listas para su uso (salsa bechamel, salsa BBQ con orégano y salsa de la casa).</t>
  </si>
  <si>
    <t>42 minutos</t>
  </si>
  <si>
    <t>Cocción de los pepinos</t>
  </si>
  <si>
    <t>Picado de pimentones</t>
  </si>
  <si>
    <t>Rebanado de pepinos</t>
  </si>
  <si>
    <t xml:space="preserve"> Los pepinos también son cocinados con azucar y vinagre, para resaltar su sabor y aportar un sabor agridulce</t>
  </si>
  <si>
    <t xml:space="preserve">Se cortan los pepinos en rodajas delgadas. </t>
  </si>
  <si>
    <t>PROYECCIÓN DE DEMANDA</t>
  </si>
  <si>
    <t>PROVEEDORES</t>
  </si>
  <si>
    <t>MATERIA PRIMA/INSUMO</t>
  </si>
  <si>
    <t>UNIDAD DE MEDIDA</t>
  </si>
  <si>
    <t>PROVEEDOR</t>
  </si>
  <si>
    <t>CANTIDAD MENSUAL</t>
  </si>
  <si>
    <t xml:space="preserve">PANES </t>
  </si>
  <si>
    <t>PANADERIA LA CANDELARIA</t>
  </si>
  <si>
    <t>UNIDAD</t>
  </si>
  <si>
    <t>JAMÓN</t>
  </si>
  <si>
    <t>QUESO</t>
  </si>
  <si>
    <t>RIB EYE</t>
  </si>
  <si>
    <t>TOCINETA</t>
  </si>
  <si>
    <t>PECHUGA</t>
  </si>
  <si>
    <t>CERDO</t>
  </si>
  <si>
    <t>EL ESQUINAZO SUPERMERCADO</t>
  </si>
  <si>
    <t>SUPERMERCADO EL ESQUINAZO</t>
  </si>
  <si>
    <t>MAGROS BOUTIQUE</t>
  </si>
  <si>
    <t>DISTRIPAPAS</t>
  </si>
  <si>
    <t>SALCHICHA SUIZA</t>
  </si>
  <si>
    <t>GUACAMOLE</t>
  </si>
  <si>
    <t>SALSA BBQ</t>
  </si>
  <si>
    <t>MAIZ</t>
  </si>
  <si>
    <t>TIENDAS D1</t>
  </si>
  <si>
    <t>SALSA DE TOMATE</t>
  </si>
  <si>
    <t>TIENDAS OLIMPICA</t>
  </si>
  <si>
    <t>SALSA PICANTE</t>
  </si>
  <si>
    <t>TIENDAS OLÍMPICA</t>
  </si>
  <si>
    <t>PIMIENTA PICANTE</t>
  </si>
  <si>
    <t>LIBRA</t>
  </si>
  <si>
    <t>TOMATE</t>
  </si>
  <si>
    <t>PEPINO</t>
  </si>
  <si>
    <t>PEREJIL</t>
  </si>
  <si>
    <t>ACEITE DE OLIVA</t>
  </si>
  <si>
    <t>TIENDAS OLIMPICA - MERCADO NUEVO</t>
  </si>
  <si>
    <t>BOLSAS DE PAPEL 12 LB</t>
  </si>
  <si>
    <t>SALSEROS 1/2 ONZA</t>
  </si>
  <si>
    <t>EMPAQUE PARA PAPAS</t>
  </si>
  <si>
    <t>UNIDAD (BOLSA)</t>
  </si>
  <si>
    <t>PAPAS RIZADAS</t>
  </si>
  <si>
    <t>SURTIPLASTICOS</t>
  </si>
  <si>
    <t>DISTRIPAPAS- SURTIPLASTICOS</t>
  </si>
  <si>
    <t>DISTRIPAPAS - SURTIPLASTICOS</t>
  </si>
  <si>
    <t>PAPEL PARAFINADO X 100 MTS</t>
  </si>
  <si>
    <t>Año</t>
  </si>
  <si>
    <t>Pesimista</t>
  </si>
  <si>
    <t>Moderado</t>
  </si>
  <si>
    <t>Optimista</t>
  </si>
  <si>
    <t>Año 1</t>
  </si>
  <si>
    <t>Año 2</t>
  </si>
  <si>
    <t>Año 3</t>
  </si>
  <si>
    <t>Año 5</t>
  </si>
  <si>
    <t xml:space="preserve">Año 4 </t>
  </si>
  <si>
    <t>SUBPROCESO: MISE EN PLACE</t>
  </si>
  <si>
    <t>ACTIVIDAD: PREPARACIÓN DE INGREDIENTES</t>
  </si>
  <si>
    <t>ACTIVIDAD: PREPARACIÓN DE LA SALSA BECHAMEL</t>
  </si>
  <si>
    <t>ACTIVIDADES</t>
  </si>
  <si>
    <t>SUBPROCESO: COMPRAS, RECEPCIÓN Y ALMACENAMIENTO</t>
  </si>
  <si>
    <t>El auxiliar de cocina revisa el inventario actual y crea una lista de los insumos necesarios para la semana siguiente.</t>
  </si>
  <si>
    <t>Gerente- Auxiliar de cocina</t>
  </si>
  <si>
    <t>Se preparan las órdenes de compra de acuerdo a la lista de insumos necesarios. Se incluyen detalles como la cantidad, la descripción del producto, los proveedores preferidos y cualquier requisito especial.</t>
  </si>
  <si>
    <t>Cuando llegan los insumos, el personal encargado de la recepción los inspecciona para asegurarse de que cumplan con las especificaciones y la calidad requerida. Se verifica la cantidad y se comparan con los pedidos realizados.</t>
  </si>
  <si>
    <t xml:space="preserve"> Los insumos se almacenan en áreas designadas del restaurante, como la despensa, la nevera o el congelador, según sus requisitos de almacenamiento. Se etiquetan algunos correctamente para facilitar la identificación.</t>
  </si>
  <si>
    <t xml:space="preserve">Se registra la entrada de los insumos en el sistema para mantener un seguimiento preciso de las existencias </t>
  </si>
  <si>
    <t xml:space="preserve">Se realiza la compra determinada según la lista de compras en las tiendas de los proveedores y se realizan algunos pedidos vía WhatsApp. </t>
  </si>
  <si>
    <t>Realizar la preparación, cocción y almacenamiento de la pechuga</t>
  </si>
  <si>
    <t>ACTIVIDAD: PREPARACIÓN DE LA PECHUGA</t>
  </si>
  <si>
    <t>Chef</t>
  </si>
  <si>
    <t>COSTO FIJO UNITARIO</t>
  </si>
  <si>
    <t>PRECIO DE VENTA FIJADO POR LA SANDWICHERÍA</t>
  </si>
  <si>
    <t>PROYECCIÓN DE PRODUCCIÓN MENSUAL (UNIDADES)</t>
  </si>
  <si>
    <t>PRECIO DE VENTA EN PLATAFORMA DIGITALES</t>
  </si>
  <si>
    <t>RAPPI</t>
  </si>
  <si>
    <t>IFOOD</t>
  </si>
  <si>
    <t>PRECIO FIJADO</t>
  </si>
  <si>
    <t>PROYECCIÓN DE PRODUCCIÓN MENSUAL (MENSUAL)</t>
  </si>
  <si>
    <t>PRECIO FIJADO POR LA SANDWICHERÍA</t>
  </si>
  <si>
    <t>Pimentones</t>
  </si>
  <si>
    <t>PIMENTÓN</t>
  </si>
  <si>
    <t>SALSA BÁCON BECHAMEL</t>
  </si>
  <si>
    <t>Salsa Bechamel</t>
  </si>
  <si>
    <t>90ml</t>
  </si>
  <si>
    <t>SALSA BECHAMEL</t>
  </si>
  <si>
    <t>COSTO</t>
  </si>
  <si>
    <t>Sal</t>
  </si>
  <si>
    <t>Nuez moscada</t>
  </si>
  <si>
    <t xml:space="preserve">Pimienta negra </t>
  </si>
  <si>
    <t>BARRA X 125 GR</t>
  </si>
  <si>
    <t>1 KILO</t>
  </si>
  <si>
    <t>40 GRAMOS</t>
  </si>
  <si>
    <t>PARA PREPARAR 1 LITRO DE SALSA BECHAMEL</t>
  </si>
  <si>
    <t xml:space="preserve">Harina de trigo </t>
  </si>
  <si>
    <t xml:space="preserve">1 litro de leche entera </t>
  </si>
  <si>
    <t xml:space="preserve">Mantequilla </t>
  </si>
  <si>
    <t>Harina de trigo  (125 gramos)</t>
  </si>
  <si>
    <t>Leche (1000 ml)</t>
  </si>
  <si>
    <t>Mantequilla (125 gramos)</t>
  </si>
  <si>
    <t>Sal(30 gramos)</t>
  </si>
  <si>
    <t>Nuez moscada (4 gramos)</t>
  </si>
  <si>
    <t>Pimienta negra (10 gramos)</t>
  </si>
  <si>
    <t>COSTO (1 LITRO-SALSA BECHAMEL)</t>
  </si>
  <si>
    <t>COSTO POR SÁNDWICH (90 ML)</t>
  </si>
  <si>
    <t>60gr</t>
  </si>
  <si>
    <t>COSTOS DE PRODUCCIÓN- BÁCON BECHAMEL 20CM</t>
  </si>
  <si>
    <t>Inventario (Insumos, empaques)</t>
  </si>
  <si>
    <t>Licencia de Software</t>
  </si>
  <si>
    <t>POSIBILIDAD DE AMORTIZACIÓN</t>
  </si>
  <si>
    <t>Protección de la Marca</t>
  </si>
  <si>
    <t>Capacitación del Personal</t>
  </si>
  <si>
    <t>Gastos de Constitución</t>
  </si>
  <si>
    <t>Costos relacionados con la creación y establecimiento legal de la empresa.</t>
  </si>
  <si>
    <t>PARA ESTIMAR SU VALOR</t>
  </si>
  <si>
    <t>El valor de la protección de la marca  será basado en el costo de registro y mantenimiento de la marca La Sandwichería, y teniendo en cuenta el valor estimado de mercado de la marca.</t>
  </si>
  <si>
    <r>
      <t>Gastos asociados al registro de la marca comercial y su protección legal.</t>
    </r>
    <r>
      <rPr>
        <b/>
        <sz val="12"/>
        <color theme="1"/>
        <rFont val="Times New Roman"/>
        <family val="1"/>
      </rPr>
      <t xml:space="preserve"> </t>
    </r>
  </si>
  <si>
    <t>Se considerarán los costos asociados con la formación, como la contratación de instructores, materiales de capacitación y tiempo dedicado al proceso de aprendizaje.</t>
  </si>
  <si>
    <t>Sí</t>
  </si>
  <si>
    <t>Costo de adquisición o precio de la licencia pagado al proveedor del software.</t>
  </si>
  <si>
    <t>Pago por el uso de software específico para operaciones y gestión del negocio.</t>
  </si>
  <si>
    <t>Inversión en la formación y capacitación del equipo para mejorar sus habilidades comunicativas y conocimientos en la preparación de los nuevos productos de la carta.</t>
  </si>
  <si>
    <t>Se incluirán los costos legales y administrativos para establecer la empresa. Nota: El valor de estos gastos puede reflejarse en los activos de "gastos diferidos" y amortizarse a lo largo del tiempo.</t>
  </si>
  <si>
    <t>Papelería</t>
  </si>
  <si>
    <t>Publicidad</t>
  </si>
  <si>
    <t xml:space="preserve">Papelería </t>
  </si>
  <si>
    <t>Trámites</t>
  </si>
  <si>
    <t>Entidad</t>
  </si>
  <si>
    <t>Costo</t>
  </si>
  <si>
    <t>Registro Único Tributario</t>
  </si>
  <si>
    <t>Consulta de nombre</t>
  </si>
  <si>
    <t>Matrícula mercantil</t>
  </si>
  <si>
    <t>Descripción</t>
  </si>
  <si>
    <t>Secretaría de Salud</t>
  </si>
  <si>
    <t>Sayco y Acimpro</t>
  </si>
  <si>
    <t>Sayco y Acinpro</t>
  </si>
  <si>
    <t>Avisos y Tablero</t>
  </si>
  <si>
    <t>Industria y Comercio</t>
  </si>
  <si>
    <t>Certificación sanitaria</t>
  </si>
  <si>
    <t>Se puede consultar a través de la página web de la Cámara de comercio. No tiene costo alguno.</t>
  </si>
  <si>
    <t>Documento que acredita el cumplimiento de las normas sanitarias y condiciones de salubridad por parte de La Sandwichería.</t>
  </si>
  <si>
    <t xml:space="preserve">Impuesto de carácter municipal que grava toda actividad industrial, comercial o de servicios que se realiza en el municipio de Sincelejo, de forma ocasional o permanente, con o sin establecimientos. </t>
  </si>
  <si>
    <t>Cámara de comercio de Sincelejo</t>
  </si>
  <si>
    <r>
      <t xml:space="preserve">Permiso para el uso de obras musicales y producciones audiovisuales en el negocio. </t>
    </r>
    <r>
      <rPr>
        <b/>
        <sz val="12"/>
        <color theme="1"/>
        <rFont val="Times New Roman"/>
        <family val="1"/>
      </rPr>
      <t xml:space="preserve">Este pago se realiza anual. </t>
    </r>
  </si>
  <si>
    <t>No tienen ningún costo, el trámite es completamente gratuito, así como el formulario requerido para ello.</t>
  </si>
  <si>
    <t>Años 3</t>
  </si>
  <si>
    <t>Período</t>
  </si>
  <si>
    <t>Pagos en la cámara de comercio</t>
  </si>
  <si>
    <r>
      <t xml:space="preserve">Registro que deben realizar todos los comenciartes en el país, ya sean personas naturales o jurídicas. </t>
    </r>
    <r>
      <rPr>
        <b/>
        <sz val="12"/>
        <color theme="1"/>
        <rFont val="Times New Roman"/>
        <family val="1"/>
      </rPr>
      <t>Se renueva cada año.</t>
    </r>
  </si>
  <si>
    <t>UTILIZACIÓN DE CAPACIDAD</t>
  </si>
  <si>
    <t>Año 4</t>
  </si>
  <si>
    <t>AÑO</t>
  </si>
  <si>
    <t>% UTILIZADO</t>
  </si>
  <si>
    <t>CAPACIDAD INSTALADA</t>
  </si>
  <si>
    <t>143.080 Unidades/año</t>
  </si>
  <si>
    <t>Alimentos, bebidas, servilletas, empaques, papelería etc.</t>
  </si>
  <si>
    <t>COSTOS DE INSTALACIÓN Y ADECUACIONES DEL LOCAL</t>
  </si>
  <si>
    <t>Modificaciones realizadas previas a la apertura del negocio, como la instalación, modificación y redistribución de los espacios y de paredes, techos, suelos y sistemas eléctricos, adecuación del baño.</t>
  </si>
  <si>
    <t xml:space="preserve">EVALUACIÓN FINANCIERA </t>
  </si>
  <si>
    <t>UNIDADES DE ANÁLISIS</t>
  </si>
  <si>
    <t>TÍTULO DEL PROYECTO:</t>
  </si>
  <si>
    <t>FECHA DE REALIZACIÓN</t>
  </si>
  <si>
    <t>Nombre del analista</t>
  </si>
  <si>
    <t>Tabla 1. Inflación proyectada</t>
  </si>
  <si>
    <t>Inflación PROYECTADA</t>
  </si>
  <si>
    <t>Tabla 2. Ingresos operacionales</t>
  </si>
  <si>
    <t>INGRESOS OPERACIONALES Y NO OPERACIONALES</t>
  </si>
  <si>
    <t xml:space="preserve">CAPACIDAD DE PRODUCCIÒN </t>
  </si>
  <si>
    <t>Porcentaje de utilizaciòn de la capacidad instalada</t>
  </si>
  <si>
    <t>Producción (Unidades)</t>
  </si>
  <si>
    <t>Precio venta  ($/unidad)</t>
  </si>
  <si>
    <t xml:space="preserve">Total Ingresos operacionales </t>
  </si>
  <si>
    <t xml:space="preserve">Ingresos no operacionales </t>
  </si>
  <si>
    <t>Tabla 3. Inversiones</t>
  </si>
  <si>
    <t>INVERSIONES</t>
  </si>
  <si>
    <t>Activos fijos depreciables</t>
  </si>
  <si>
    <t>Activos diferidos</t>
  </si>
  <si>
    <t>Terrenos</t>
  </si>
  <si>
    <t>Capital de trabajo</t>
  </si>
  <si>
    <t>Total inversión</t>
  </si>
  <si>
    <t>Tabla 4. Datos para el cálculo de la depreciación y amortización de activos</t>
  </si>
  <si>
    <t>Datos para cálculo de depreciación y amortización de activos</t>
  </si>
  <si>
    <t>Periodo amortización diferidos e intangibles (años)</t>
  </si>
  <si>
    <t>Valor activos fijos depreciables que se venden</t>
  </si>
  <si>
    <t>Depreciación anual del activo que se vende</t>
  </si>
  <si>
    <t>Valor en libros del activo que se vende en el año 3</t>
  </si>
  <si>
    <t>Tabla 5. Datos apra el cálculo de los egresos</t>
  </si>
  <si>
    <t>DATOS PARA EL CÁLCULO DE EGRESOS</t>
  </si>
  <si>
    <t>Costos variables totales (millones de pesos)</t>
  </si>
  <si>
    <t xml:space="preserve">Costos fijos por año </t>
  </si>
  <si>
    <t xml:space="preserve">Gastos de administración y ventas </t>
  </si>
  <si>
    <t>Vlr de rescate (millones de pesos corrientes)</t>
  </si>
  <si>
    <t>Vlr de rescate (millones de pesos constantes)</t>
  </si>
  <si>
    <t>Tabla 6. Datos para el cálculo de la financiación</t>
  </si>
  <si>
    <t>FINANCIACIÓN</t>
  </si>
  <si>
    <t>Préstamo (millones)</t>
  </si>
  <si>
    <t>Interés efectivo</t>
  </si>
  <si>
    <t>Anual</t>
  </si>
  <si>
    <t>Forma de pago</t>
  </si>
  <si>
    <t>Número de cuotas</t>
  </si>
  <si>
    <t>Tabla 7. Tarifa impositiva</t>
  </si>
  <si>
    <t>IMPUESTOS</t>
  </si>
  <si>
    <t>Impuesto de renta (%)</t>
  </si>
  <si>
    <t>Tabla 8. Cálculo de los costos de oportunidad</t>
  </si>
  <si>
    <t>COSTO DE OPORTUNIDAD</t>
  </si>
  <si>
    <t>Costo de oportunidad en términos reales</t>
  </si>
  <si>
    <t>Costo de oportunidad en térnimos nominales</t>
  </si>
  <si>
    <t>Porcentaje financiado con recursos propios</t>
  </si>
  <si>
    <t>Costo de la deuda d.d.i  (k.d.d.i=Kd(1-t))</t>
  </si>
  <si>
    <t>CCPP adi en términos reales</t>
  </si>
  <si>
    <t>CCPP ddi en términos reales</t>
  </si>
  <si>
    <t>CCP ddi en términos nominales</t>
  </si>
  <si>
    <t>Flujo de caja proyectado para el calculo de la TIR y VPN del proyecto puro antes de impuestos</t>
  </si>
  <si>
    <t>Concepto</t>
  </si>
  <si>
    <t>Ventas netas (Ingreso por ventas/Ingresos operacionales)</t>
  </si>
  <si>
    <t xml:space="preserve">  - Costo de producción variable totales</t>
  </si>
  <si>
    <t xml:space="preserve">  - Costo de producción fijo</t>
  </si>
  <si>
    <t xml:space="preserve">  - Gastos de administración y ventas</t>
  </si>
  <si>
    <t xml:space="preserve">  = Renta bruta</t>
  </si>
  <si>
    <t>- Activos fijos depreciables</t>
  </si>
  <si>
    <t>- Activos diferidos</t>
  </si>
  <si>
    <t>- Terrenos</t>
  </si>
  <si>
    <t>(-)Capital de trabajo</t>
  </si>
  <si>
    <t>(+) Recuperacion del capital de trabajo</t>
  </si>
  <si>
    <t>+Valor de rescate</t>
  </si>
  <si>
    <t xml:space="preserve">Flujo de caja proyectado </t>
  </si>
  <si>
    <t xml:space="preserve"> = Flujo de caja del proyecto puro a.d.i actualizado</t>
  </si>
  <si>
    <t xml:space="preserve"> = Flujo de caja acumulado</t>
  </si>
  <si>
    <t>Tir pp a.d.i</t>
  </si>
  <si>
    <t>VPN(CCPP a.d.i)</t>
  </si>
  <si>
    <t>Periódo de Recuperación de la inversión</t>
  </si>
  <si>
    <t>Tabla 10.</t>
  </si>
  <si>
    <t xml:space="preserve">Depreciación </t>
  </si>
  <si>
    <t>Amortización de Inversiones</t>
  </si>
  <si>
    <t>Millones de pesos</t>
  </si>
  <si>
    <t>Fin Año</t>
  </si>
  <si>
    <t>Depreciación anual pesos constantes</t>
  </si>
  <si>
    <t>Amortización anual pesos corrientes</t>
  </si>
  <si>
    <t>Amortización anual pesos constantes</t>
  </si>
  <si>
    <t>+Ingresos por ventas</t>
  </si>
  <si>
    <t xml:space="preserve">  - Costo de producción variable</t>
  </si>
  <si>
    <t xml:space="preserve"> = Renta bruta</t>
  </si>
  <si>
    <t xml:space="preserve">  -Amortización   intangibles</t>
  </si>
  <si>
    <t xml:space="preserve">  -Depreciación</t>
  </si>
  <si>
    <t xml:space="preserve"> = Renta Líquida Gravable (RLG)</t>
  </si>
  <si>
    <t>-Impuesto de renta</t>
  </si>
  <si>
    <t xml:space="preserve">  +Amortización   intangibles</t>
  </si>
  <si>
    <t xml:space="preserve">  +Depreciación</t>
  </si>
  <si>
    <t>-Activos depreciables</t>
  </si>
  <si>
    <t>-Activos Diferidos</t>
  </si>
  <si>
    <t>-Terrenos</t>
  </si>
  <si>
    <t>-Capital de Trabajo</t>
  </si>
  <si>
    <t>+Recuperación del Capital de Trabajo</t>
  </si>
  <si>
    <t>+Valor de Rescate</t>
  </si>
  <si>
    <t xml:space="preserve"> = Flujo proyecto puro d.d.i.</t>
  </si>
  <si>
    <t xml:space="preserve"> = Flujo de caja del proyecto puro d.d.i actualizado</t>
  </si>
  <si>
    <t>TIR p.p. d.d.i.</t>
  </si>
  <si>
    <t>VPN(CCPP ddi)</t>
  </si>
  <si>
    <t>ACTIVOS DIFERIDOS</t>
  </si>
  <si>
    <t>Costo variable unitario ($/unidad)</t>
  </si>
  <si>
    <t>VALOR</t>
  </si>
  <si>
    <t>ACTIVOS</t>
  </si>
  <si>
    <t>VIDA ÚTIL</t>
  </si>
  <si>
    <t>VALOR DE RESCATE</t>
  </si>
  <si>
    <t>DEPRECIACIÓN ACUMULADA</t>
  </si>
  <si>
    <t xml:space="preserve">PROYECCIÓN DE AÑOS </t>
  </si>
  <si>
    <t>Período de Recuperación de la inversión</t>
  </si>
  <si>
    <t>José Hernán Medina Olivera</t>
  </si>
  <si>
    <t>FIN DE AÑO</t>
  </si>
  <si>
    <t>INFLACIÓN IPC</t>
  </si>
  <si>
    <t>2024 (Año 1)</t>
  </si>
  <si>
    <t>2025 (Año 2)</t>
  </si>
  <si>
    <t>21 DE JULIO DEL 2023</t>
  </si>
  <si>
    <t>ESTUDIO FINANCIERO DE LA SANDWICHERÍA HAND EXPRESS</t>
  </si>
  <si>
    <t>TOTAL ACTIVOS DIFERIDOS</t>
  </si>
  <si>
    <t>PARÁMETROS</t>
  </si>
  <si>
    <t>AÑO 1</t>
  </si>
  <si>
    <t>AÑO 2</t>
  </si>
  <si>
    <t>AÑO 3</t>
  </si>
  <si>
    <t>AÑO 4</t>
  </si>
  <si>
    <t>AÑO 5</t>
  </si>
  <si>
    <t>Inflación</t>
  </si>
  <si>
    <t>9.49%</t>
  </si>
  <si>
    <t>5.6%</t>
  </si>
  <si>
    <t>% Utilización de capacidad</t>
  </si>
  <si>
    <t>TOTAL PESOS CORRIENTES</t>
  </si>
  <si>
    <t>TOTAL PESOS CONSTANTES</t>
  </si>
  <si>
    <t>2026 (Año 3)</t>
  </si>
  <si>
    <t>2027 (Año 4)</t>
  </si>
  <si>
    <t>2028 (Año 5)</t>
  </si>
  <si>
    <t>Promedio</t>
  </si>
  <si>
    <t>Vida útil activos depreciables (años)</t>
  </si>
  <si>
    <t>Depreciación anual     ( Pesos corrientes)</t>
  </si>
  <si>
    <t>PRECIO EN PLATAFORMAS DIGITALES</t>
  </si>
  <si>
    <t>PRECIO FIJADO EN PLATAFORMAS DIGITALES</t>
  </si>
  <si>
    <t>PRECIO DE VENTA EN PLATAFORMAS DIGITALES</t>
  </si>
  <si>
    <t>Costo total por cargo</t>
  </si>
  <si>
    <t>ESCENARIO MODERADO</t>
  </si>
  <si>
    <t>%UTILIZADO</t>
  </si>
  <si>
    <t>ESCENARIO OPTIMISTA</t>
  </si>
  <si>
    <t>Se recupera la inversión en el año 3 del horizonte de evaluación.</t>
  </si>
  <si>
    <t>Impuesto sobre la Renta</t>
  </si>
  <si>
    <t>ESCENARIO PESIMISTA</t>
  </si>
  <si>
    <t>DEPRECIACIÓN ANUAL TOTAL</t>
  </si>
  <si>
    <t>DEPRECIACIÓN ANUAL TOTAL PESOS CORRIENTES</t>
  </si>
  <si>
    <t>Impuesto al consumo</t>
  </si>
  <si>
    <t>GASTOS DE FUNCIONAMIENTO</t>
  </si>
  <si>
    <t>TOTAL GASTOS DE FUNCIONAMIENTO</t>
  </si>
  <si>
    <t>COSTO TOTAL ACTIVOS FIJOS DEPRECIABLES</t>
  </si>
  <si>
    <t>VIUDA ÚTIL (AÑOS)</t>
  </si>
  <si>
    <t>DEPRECIACIÓN ANUAL TOTAL PESOS CONSTANTES</t>
  </si>
  <si>
    <t>TOTAL DEPRECIACIÓN</t>
  </si>
  <si>
    <t xml:space="preserve">  - Gastos de administración y ventas </t>
  </si>
  <si>
    <t>Gastos de publicidad (plan de mercado )</t>
  </si>
  <si>
    <t>Impoconumo (8%)</t>
  </si>
  <si>
    <t xml:space="preserve"> - Inversión en plan de mercadeo</t>
  </si>
  <si>
    <t xml:space="preserve">  - Impoconsumo (8%)</t>
  </si>
  <si>
    <t>Flujo de caja proyectado para el calculo de la TIR y VPN del proyecto puro después de impuestos</t>
  </si>
  <si>
    <t>Creado por Lenovo Yoga Duet 7 el 1/10/2023</t>
  </si>
  <si>
    <t>PRECIO DE VENTA- ESCENARIO BASE</t>
  </si>
  <si>
    <t>Creado por Lenovo Yoga Duet 7 el 1/10/2023
Modificado por Lenovo Yoga Duet 7 el 1/10/2023</t>
  </si>
  <si>
    <t>PRECIO DE VENTA - ESCENARIO CRÍTICO</t>
  </si>
  <si>
    <t>Resumen del escenario</t>
  </si>
  <si>
    <t>Valores actuales:</t>
  </si>
  <si>
    <t>PRECIO DE VENTA        + 10%</t>
  </si>
  <si>
    <t>PRECIO DE VENTA      -10%</t>
  </si>
  <si>
    <t>TIR</t>
  </si>
  <si>
    <t>VPN</t>
  </si>
  <si>
    <t>VARIABLE</t>
  </si>
  <si>
    <t>DATOS</t>
  </si>
  <si>
    <t xml:space="preserve">PRECIO DE VENTA                            + 20% </t>
  </si>
  <si>
    <t>PRECIO DE VENTA            -20%</t>
  </si>
  <si>
    <t xml:space="preserve">PESIMISTA </t>
  </si>
  <si>
    <t>MODERADO</t>
  </si>
  <si>
    <t xml:space="preserve">OPTIMISTA </t>
  </si>
  <si>
    <t>OPTIMISTA AÑO 5</t>
  </si>
  <si>
    <t>-</t>
  </si>
  <si>
    <t>% CAPACIDAD UTILIZADA</t>
  </si>
  <si>
    <t>RESULTADO</t>
  </si>
  <si>
    <t>%CAPACIDAD UTILIZADA</t>
  </si>
  <si>
    <t xml:space="preserve">MODERADO </t>
  </si>
  <si>
    <t>PESIMISTA</t>
  </si>
  <si>
    <t>OPTIMISTA</t>
  </si>
  <si>
    <t>% CAPACIDAD INSTALADA</t>
  </si>
  <si>
    <t>COSTO VARIABLE + 20%</t>
  </si>
  <si>
    <t>Creado por Lenovo Yoga Duet 7 el 2/10/2023
Modificado por Lenovo Yoga Duet 7 el 2/10/2023</t>
  </si>
  <si>
    <t>COSTO VARIABLE + 10%</t>
  </si>
  <si>
    <t>Creado por Lenovo Yoga Duet 7 el 2/10/2023</t>
  </si>
  <si>
    <t>COSTO VARIABLE-ESCENARIO BASE</t>
  </si>
  <si>
    <t>COSTO VARIABLE - 10%</t>
  </si>
  <si>
    <t>COSTO VARIABLE - 20%</t>
  </si>
  <si>
    <t>ESCENARIO CRÍTICO</t>
  </si>
  <si>
    <t>ESCENARIO CRÍTICO 1</t>
  </si>
  <si>
    <t>ESCENARIO CRÍTICO 2</t>
  </si>
  <si>
    <t>COSTO VARIABLE UNITARIO</t>
  </si>
  <si>
    <t>RESULTADOS</t>
  </si>
  <si>
    <t>COSTOS FIJOS + 20%</t>
  </si>
  <si>
    <t>COSTOS FIJOS + 10%</t>
  </si>
  <si>
    <t>COSTOS FIJOS - ESCENARIO BASE</t>
  </si>
  <si>
    <t>COSTOS FIJOS - 10%</t>
  </si>
  <si>
    <t>COSTOS FIJOS - 20%</t>
  </si>
  <si>
    <t>AÑO 1- % DE UTILIZACIÓN DE CAPACIDAD</t>
  </si>
  <si>
    <t>AÑO 2 - % DE UTILIZACIÓN DE CAPACIDAD</t>
  </si>
  <si>
    <t>AÑO 3- % DE UTILIZACIÓN DE CAPACIDAD</t>
  </si>
  <si>
    <t>AÑO 4- % DE UTILIZACIÓN DE CAPACIDAD</t>
  </si>
  <si>
    <t>AÑO 5-% DE UTILIZACIÓN DE CAPACIDAD</t>
  </si>
  <si>
    <t>Pesos</t>
  </si>
  <si>
    <t>Tabla 11.</t>
  </si>
  <si>
    <t>Tabla 12.</t>
  </si>
  <si>
    <t>Tabla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</si>
</sst>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0.0"/>
    <numFmt numFmtId="166" formatCode="0.0%"/>
    <numFmt numFmtId="167" formatCode="&quot;$&quot;#,##0.00"/>
    <numFmt numFmtId="168" formatCode="#,##0.00_ ;\-#,##0.00\ "/>
    <numFmt numFmtId="169" formatCode="&quot;$&quot;\ #,##0.00;[Red]&quot;$&quot;\ \-#,##0.00"/>
    <numFmt numFmtId="170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u/>
      <sz val="11"/>
      <color theme="1"/>
      <name val="Times New Roman"/>
      <family val="1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b/>
      <sz val="10"/>
      <color rgb="FFFFFFFF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Times New Roman"/>
      <family val="1"/>
    </font>
    <font>
      <b/>
      <sz val="11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2"/>
      <color indexed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002060"/>
        <bgColor indexed="2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561">
    <xf numFmtId="0" fontId="0" fillId="0" borderId="0" xfId="0"/>
    <xf numFmtId="0" fontId="2" fillId="0" borderId="0" xfId="0" applyFont="1" applyAlignment="1">
      <alignment horizontal="center" vertical="center"/>
    </xf>
    <xf numFmtId="44" fontId="0" fillId="0" borderId="0" xfId="1" applyFont="1" applyBorder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5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5" fillId="0" borderId="1" xfId="1" applyNumberFormat="1" applyFont="1" applyBorder="1"/>
    <xf numFmtId="164" fontId="5" fillId="0" borderId="1" xfId="1" applyNumberFormat="1" applyFont="1" applyBorder="1" applyAlignment="1"/>
    <xf numFmtId="6" fontId="5" fillId="0" borderId="1" xfId="0" applyNumberFormat="1" applyFont="1" applyBorder="1"/>
    <xf numFmtId="164" fontId="5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5" fillId="0" borderId="7" xfId="1" applyNumberFormat="1" applyFont="1" applyBorder="1"/>
    <xf numFmtId="164" fontId="5" fillId="0" borderId="6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3" xfId="1" applyNumberFormat="1" applyFont="1" applyBorder="1" applyAlignment="1"/>
    <xf numFmtId="164" fontId="3" fillId="0" borderId="0" xfId="1" applyNumberFormat="1" applyFont="1" applyBorder="1" applyAlignment="1"/>
    <xf numFmtId="164" fontId="5" fillId="0" borderId="0" xfId="1" applyNumberFormat="1" applyFont="1"/>
    <xf numFmtId="164" fontId="0" fillId="0" borderId="0" xfId="1" applyNumberFormat="1" applyFont="1"/>
    <xf numFmtId="164" fontId="4" fillId="0" borderId="6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vertical="center" wrapText="1"/>
    </xf>
    <xf numFmtId="164" fontId="9" fillId="2" borderId="0" xfId="1" applyNumberFormat="1" applyFont="1" applyFill="1"/>
    <xf numFmtId="164" fontId="8" fillId="2" borderId="6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6" borderId="0" xfId="0" applyFont="1" applyFill="1"/>
    <xf numFmtId="164" fontId="3" fillId="3" borderId="1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5" fontId="0" fillId="0" borderId="0" xfId="0" applyNumberFormat="1"/>
    <xf numFmtId="9" fontId="0" fillId="0" borderId="0" xfId="2" applyFont="1"/>
    <xf numFmtId="1" fontId="4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/>
    </xf>
    <xf numFmtId="164" fontId="4" fillId="0" borderId="1" xfId="0" applyNumberFormat="1" applyFont="1" applyBorder="1"/>
    <xf numFmtId="164" fontId="8" fillId="2" borderId="1" xfId="1" applyNumberFormat="1" applyFont="1" applyFill="1" applyBorder="1"/>
    <xf numFmtId="0" fontId="3" fillId="0" borderId="1" xfId="0" applyFont="1" applyBorder="1" applyAlignment="1">
      <alignment vertical="center"/>
    </xf>
    <xf numFmtId="0" fontId="3" fillId="12" borderId="2" xfId="0" applyFont="1" applyFill="1" applyBorder="1" applyAlignment="1">
      <alignment vertical="center"/>
    </xf>
    <xf numFmtId="164" fontId="0" fillId="0" borderId="0" xfId="0" applyNumberFormat="1"/>
    <xf numFmtId="44" fontId="9" fillId="2" borderId="1" xfId="0" applyNumberFormat="1" applyFont="1" applyFill="1" applyBorder="1" applyAlignment="1">
      <alignment horizontal="center"/>
    </xf>
    <xf numFmtId="44" fontId="6" fillId="5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6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6" fontId="8" fillId="2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64" fontId="4" fillId="5" borderId="1" xfId="1" applyNumberFormat="1" applyFont="1" applyFill="1" applyBorder="1"/>
    <xf numFmtId="0" fontId="4" fillId="13" borderId="1" xfId="0" applyFont="1" applyFill="1" applyBorder="1" applyAlignment="1">
      <alignment horizontal="center"/>
    </xf>
    <xf numFmtId="164" fontId="4" fillId="13" borderId="1" xfId="1" applyNumberFormat="1" applyFont="1" applyFill="1" applyBorder="1"/>
    <xf numFmtId="164" fontId="3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8" fillId="2" borderId="1" xfId="0" applyFont="1" applyFill="1" applyBorder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horizontal="left"/>
    </xf>
    <xf numFmtId="0" fontId="19" fillId="0" borderId="0" xfId="4" applyFont="1" applyAlignment="1">
      <alignment horizontal="centerContinuous"/>
    </xf>
    <xf numFmtId="0" fontId="16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4" fontId="17" fillId="0" borderId="0" xfId="0" applyNumberFormat="1" applyFont="1"/>
    <xf numFmtId="4" fontId="19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9" fillId="0" borderId="13" xfId="0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17" fillId="15" borderId="0" xfId="0" applyFont="1" applyFill="1"/>
    <xf numFmtId="0" fontId="19" fillId="0" borderId="0" xfId="0" applyFont="1"/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19" fillId="0" borderId="31" xfId="0" applyFont="1" applyBorder="1" applyAlignment="1">
      <alignment horizontal="left"/>
    </xf>
    <xf numFmtId="4" fontId="17" fillId="0" borderId="32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0" fontId="17" fillId="0" borderId="0" xfId="0" applyNumberFormat="1" applyFont="1" applyAlignment="1">
      <alignment horizontal="center"/>
    </xf>
    <xf numFmtId="10" fontId="17" fillId="0" borderId="0" xfId="5" applyNumberFormat="1" applyFont="1" applyFill="1" applyBorder="1" applyAlignment="1">
      <alignment horizontal="center"/>
    </xf>
    <xf numFmtId="9" fontId="17" fillId="0" borderId="0" xfId="5" applyFont="1" applyFill="1" applyBorder="1" applyAlignment="1">
      <alignment horizontal="center"/>
    </xf>
    <xf numFmtId="9" fontId="17" fillId="0" borderId="0" xfId="4" applyNumberFormat="1" applyFont="1"/>
    <xf numFmtId="0" fontId="16" fillId="0" borderId="0" xfId="4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16" fillId="16" borderId="1" xfId="4" applyFont="1" applyFill="1" applyBorder="1" applyAlignment="1">
      <alignment horizontal="center"/>
    </xf>
    <xf numFmtId="49" fontId="16" fillId="0" borderId="1" xfId="4" applyNumberFormat="1" applyFont="1" applyBorder="1" applyAlignment="1">
      <alignment wrapText="1"/>
    </xf>
    <xf numFmtId="0" fontId="19" fillId="0" borderId="0" xfId="4" applyFont="1"/>
    <xf numFmtId="0" fontId="16" fillId="0" borderId="1" xfId="4" applyFont="1" applyBorder="1" applyAlignment="1">
      <alignment horizontal="left"/>
    </xf>
    <xf numFmtId="49" fontId="16" fillId="0" borderId="1" xfId="4" applyNumberFormat="1" applyFont="1" applyBorder="1"/>
    <xf numFmtId="0" fontId="24" fillId="18" borderId="0" xfId="4" applyFont="1" applyFill="1"/>
    <xf numFmtId="0" fontId="16" fillId="0" borderId="1" xfId="4" applyFont="1" applyBorder="1"/>
    <xf numFmtId="0" fontId="16" fillId="8" borderId="1" xfId="4" applyFont="1" applyFill="1" applyBorder="1"/>
    <xf numFmtId="4" fontId="17" fillId="0" borderId="0" xfId="4" applyNumberFormat="1" applyFont="1" applyAlignment="1">
      <alignment horizontal="right"/>
    </xf>
    <xf numFmtId="4" fontId="19" fillId="0" borderId="0" xfId="4" applyNumberFormat="1" applyFont="1" applyAlignment="1">
      <alignment horizontal="right"/>
    </xf>
    <xf numFmtId="0" fontId="16" fillId="19" borderId="1" xfId="4" applyFont="1" applyFill="1" applyBorder="1" applyAlignment="1">
      <alignment wrapText="1"/>
    </xf>
    <xf numFmtId="165" fontId="17" fillId="0" borderId="0" xfId="4" applyNumberFormat="1" applyFont="1"/>
    <xf numFmtId="10" fontId="19" fillId="0" borderId="0" xfId="4" applyNumberFormat="1" applyFont="1" applyAlignment="1">
      <alignment horizontal="center"/>
    </xf>
    <xf numFmtId="2" fontId="17" fillId="0" borderId="0" xfId="4" applyNumberFormat="1" applyFont="1"/>
    <xf numFmtId="0" fontId="16" fillId="0" borderId="1" xfId="4" applyFont="1" applyBorder="1" applyAlignment="1">
      <alignment wrapText="1"/>
    </xf>
    <xf numFmtId="0" fontId="24" fillId="20" borderId="0" xfId="4" applyFont="1" applyFill="1"/>
    <xf numFmtId="0" fontId="24" fillId="17" borderId="0" xfId="4" applyFont="1" applyFill="1"/>
    <xf numFmtId="0" fontId="17" fillId="21" borderId="9" xfId="4" applyFont="1" applyFill="1" applyBorder="1"/>
    <xf numFmtId="0" fontId="17" fillId="9" borderId="0" xfId="4" applyFont="1" applyFill="1"/>
    <xf numFmtId="0" fontId="24" fillId="0" borderId="0" xfId="4" applyFont="1"/>
    <xf numFmtId="4" fontId="17" fillId="0" borderId="0" xfId="4" applyNumberFormat="1" applyFont="1"/>
    <xf numFmtId="0" fontId="27" fillId="4" borderId="0" xfId="4" applyFont="1" applyFill="1"/>
    <xf numFmtId="0" fontId="17" fillId="4" borderId="0" xfId="4" applyFont="1" applyFill="1"/>
    <xf numFmtId="0" fontId="15" fillId="0" borderId="0" xfId="4"/>
    <xf numFmtId="169" fontId="17" fillId="0" borderId="0" xfId="4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3" fillId="5" borderId="0" xfId="1" applyNumberFormat="1" applyFont="1" applyFill="1" applyAlignment="1">
      <alignment vertical="center"/>
    </xf>
    <xf numFmtId="44" fontId="11" fillId="0" borderId="3" xfId="0" applyNumberFormat="1" applyFont="1" applyBorder="1" applyAlignment="1">
      <alignment horizontal="center" vertical="center"/>
    </xf>
    <xf numFmtId="164" fontId="8" fillId="22" borderId="0" xfId="1" applyNumberFormat="1" applyFont="1" applyFill="1" applyBorder="1" applyAlignment="1"/>
    <xf numFmtId="164" fontId="8" fillId="22" borderId="35" xfId="1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0" fontId="6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0" fontId="23" fillId="2" borderId="1" xfId="4" applyFont="1" applyFill="1" applyBorder="1" applyAlignment="1">
      <alignment wrapText="1"/>
    </xf>
    <xf numFmtId="10" fontId="19" fillId="0" borderId="0" xfId="4" applyNumberFormat="1" applyFont="1" applyAlignment="1">
      <alignment horizontal="centerContinuous"/>
    </xf>
    <xf numFmtId="0" fontId="23" fillId="0" borderId="0" xfId="4" applyFont="1"/>
    <xf numFmtId="4" fontId="20" fillId="0" borderId="0" xfId="4" applyNumberFormat="1" applyFont="1" applyAlignment="1">
      <alignment horizontal="right"/>
    </xf>
    <xf numFmtId="4" fontId="22" fillId="0" borderId="0" xfId="4" applyNumberFormat="1" applyFont="1" applyAlignment="1">
      <alignment horizontal="right"/>
    </xf>
    <xf numFmtId="0" fontId="26" fillId="0" borderId="0" xfId="4" applyFont="1"/>
    <xf numFmtId="0" fontId="27" fillId="0" borderId="0" xfId="4" applyFont="1"/>
    <xf numFmtId="4" fontId="17" fillId="0" borderId="0" xfId="4" applyNumberFormat="1" applyFont="1" applyAlignment="1">
      <alignment horizontal="right" vertical="center"/>
    </xf>
    <xf numFmtId="4" fontId="25" fillId="0" borderId="0" xfId="4" applyNumberFormat="1" applyFont="1" applyAlignment="1">
      <alignment horizontal="right"/>
    </xf>
    <xf numFmtId="2" fontId="17" fillId="0" borderId="0" xfId="4" applyNumberFormat="1" applyFont="1" applyAlignment="1">
      <alignment horizontal="right"/>
    </xf>
    <xf numFmtId="0" fontId="16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 wrapText="1"/>
    </xf>
    <xf numFmtId="8" fontId="17" fillId="0" borderId="0" xfId="4" applyNumberFormat="1" applyFont="1" applyAlignment="1">
      <alignment horizontal="center" vertical="center"/>
    </xf>
    <xf numFmtId="168" fontId="17" fillId="0" borderId="0" xfId="4" applyNumberFormat="1" applyFont="1" applyAlignment="1">
      <alignment horizontal="center" vertical="center"/>
    </xf>
    <xf numFmtId="10" fontId="19" fillId="0" borderId="0" xfId="4" applyNumberFormat="1" applyFont="1"/>
    <xf numFmtId="49" fontId="23" fillId="2" borderId="1" xfId="4" applyNumberFormat="1" applyFont="1" applyFill="1" applyBorder="1"/>
    <xf numFmtId="4" fontId="17" fillId="5" borderId="1" xfId="0" applyNumberFormat="1" applyFont="1" applyFill="1" applyBorder="1" applyAlignment="1">
      <alignment horizontal="center"/>
    </xf>
    <xf numFmtId="10" fontId="17" fillId="5" borderId="1" xfId="5" applyNumberFormat="1" applyFont="1" applyFill="1" applyBorder="1" applyAlignment="1">
      <alignment horizontal="center"/>
    </xf>
    <xf numFmtId="1" fontId="17" fillId="5" borderId="1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3" fillId="2" borderId="0" xfId="4" applyFont="1" applyFill="1"/>
    <xf numFmtId="0" fontId="16" fillId="5" borderId="0" xfId="4" applyFont="1" applyFill="1" applyAlignment="1">
      <alignment horizontal="left"/>
    </xf>
    <xf numFmtId="0" fontId="16" fillId="24" borderId="0" xfId="4" applyFont="1" applyFill="1" applyAlignment="1">
      <alignment horizontal="left"/>
    </xf>
    <xf numFmtId="0" fontId="16" fillId="0" borderId="23" xfId="4" applyFont="1" applyBorder="1" applyAlignment="1">
      <alignment horizontal="center"/>
    </xf>
    <xf numFmtId="0" fontId="19" fillId="0" borderId="25" xfId="4" applyFont="1" applyBorder="1" applyAlignment="1">
      <alignment horizontal="center"/>
    </xf>
    <xf numFmtId="0" fontId="23" fillId="2" borderId="1" xfId="4" applyFont="1" applyFill="1" applyBorder="1" applyAlignment="1">
      <alignment horizontal="center"/>
    </xf>
    <xf numFmtId="0" fontId="21" fillId="0" borderId="0" xfId="0" applyFont="1" applyAlignment="1">
      <alignment horizontal="justify" vertical="center"/>
    </xf>
    <xf numFmtId="0" fontId="17" fillId="0" borderId="9" xfId="4" applyFont="1" applyBorder="1"/>
    <xf numFmtId="0" fontId="17" fillId="0" borderId="0" xfId="4" applyFont="1" applyAlignment="1">
      <alignment horizontal="center" vertical="center"/>
    </xf>
    <xf numFmtId="167" fontId="17" fillId="0" borderId="0" xfId="4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9" fontId="3" fillId="0" borderId="1" xfId="2" applyFont="1" applyFill="1" applyBorder="1" applyAlignment="1">
      <alignment horizontal="center" vertical="center"/>
    </xf>
    <xf numFmtId="164" fontId="4" fillId="0" borderId="0" xfId="0" applyNumberFormat="1" applyFont="1"/>
    <xf numFmtId="0" fontId="4" fillId="0" borderId="0" xfId="0" applyFont="1"/>
    <xf numFmtId="9" fontId="4" fillId="0" borderId="1" xfId="2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19" fillId="0" borderId="1" xfId="5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/>
    </xf>
    <xf numFmtId="10" fontId="17" fillId="25" borderId="14" xfId="5" applyNumberFormat="1" applyFont="1" applyFill="1" applyBorder="1" applyAlignment="1">
      <alignment horizontal="center" vertical="center"/>
    </xf>
    <xf numFmtId="10" fontId="17" fillId="25" borderId="27" xfId="5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9" fillId="16" borderId="31" xfId="4" applyFont="1" applyFill="1" applyBorder="1" applyAlignment="1">
      <alignment horizontal="center" vertical="center" wrapText="1"/>
    </xf>
    <xf numFmtId="0" fontId="29" fillId="16" borderId="32" xfId="4" applyFont="1" applyFill="1" applyBorder="1" applyAlignment="1">
      <alignment horizontal="center" vertical="center" wrapText="1"/>
    </xf>
    <xf numFmtId="0" fontId="29" fillId="16" borderId="19" xfId="4" applyFont="1" applyFill="1" applyBorder="1" applyAlignment="1">
      <alignment horizontal="center" vertical="center" wrapText="1"/>
    </xf>
    <xf numFmtId="0" fontId="29" fillId="0" borderId="1" xfId="4" applyFont="1" applyBorder="1" applyAlignment="1">
      <alignment horizontal="center"/>
    </xf>
    <xf numFmtId="4" fontId="30" fillId="0" borderId="1" xfId="4" applyNumberFormat="1" applyFont="1" applyBorder="1" applyAlignment="1">
      <alignment horizontal="right"/>
    </xf>
    <xf numFmtId="167" fontId="30" fillId="0" borderId="1" xfId="4" applyNumberFormat="1" applyFont="1" applyBorder="1" applyAlignment="1">
      <alignment horizontal="center"/>
    </xf>
    <xf numFmtId="0" fontId="26" fillId="0" borderId="17" xfId="0" applyFont="1" applyBorder="1" applyAlignment="1">
      <alignment horizontal="left" vertical="top"/>
    </xf>
    <xf numFmtId="0" fontId="26" fillId="4" borderId="18" xfId="0" applyFont="1" applyFill="1" applyBorder="1" applyAlignment="1">
      <alignment horizontal="center" vertical="top"/>
    </xf>
    <xf numFmtId="0" fontId="26" fillId="4" borderId="19" xfId="0" applyFont="1" applyFill="1" applyBorder="1" applyAlignment="1">
      <alignment horizontal="center" vertical="top"/>
    </xf>
    <xf numFmtId="0" fontId="16" fillId="0" borderId="11" xfId="0" applyFont="1" applyBorder="1" applyAlignment="1">
      <alignment horizontal="left"/>
    </xf>
    <xf numFmtId="2" fontId="15" fillId="25" borderId="20" xfId="0" applyNumberFormat="1" applyFont="1" applyFill="1" applyBorder="1" applyAlignment="1">
      <alignment horizontal="center"/>
    </xf>
    <xf numFmtId="3" fontId="15" fillId="25" borderId="20" xfId="0" applyNumberFormat="1" applyFont="1" applyFill="1" applyBorder="1" applyAlignment="1">
      <alignment horizontal="right"/>
    </xf>
    <xf numFmtId="3" fontId="15" fillId="25" borderId="12" xfId="0" applyNumberFormat="1" applyFont="1" applyFill="1" applyBorder="1" applyAlignment="1">
      <alignment horizontal="right"/>
    </xf>
    <xf numFmtId="0" fontId="16" fillId="0" borderId="13" xfId="0" applyFont="1" applyBorder="1" applyAlignment="1">
      <alignment horizontal="left"/>
    </xf>
    <xf numFmtId="2" fontId="15" fillId="25" borderId="1" xfId="0" applyNumberFormat="1" applyFont="1" applyFill="1" applyBorder="1" applyAlignment="1">
      <alignment horizontal="center"/>
    </xf>
    <xf numFmtId="4" fontId="15" fillId="26" borderId="1" xfId="0" applyNumberFormat="1" applyFont="1" applyFill="1" applyBorder="1" applyAlignment="1">
      <alignment horizontal="right"/>
    </xf>
    <xf numFmtId="4" fontId="15" fillId="26" borderId="14" xfId="0" applyNumberFormat="1" applyFont="1" applyFill="1" applyBorder="1" applyAlignment="1">
      <alignment horizontal="right"/>
    </xf>
    <xf numFmtId="0" fontId="16" fillId="0" borderId="13" xfId="0" applyFont="1" applyBorder="1"/>
    <xf numFmtId="1" fontId="15" fillId="25" borderId="1" xfId="0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left" wrapText="1"/>
    </xf>
    <xf numFmtId="0" fontId="15" fillId="25" borderId="1" xfId="0" applyFont="1" applyFill="1" applyBorder="1" applyAlignment="1">
      <alignment horizontal="center"/>
    </xf>
    <xf numFmtId="3" fontId="15" fillId="25" borderId="1" xfId="0" applyNumberFormat="1" applyFont="1" applyFill="1" applyBorder="1" applyAlignment="1">
      <alignment horizontal="right"/>
    </xf>
    <xf numFmtId="0" fontId="16" fillId="0" borderId="21" xfId="0" applyFont="1" applyBorder="1"/>
    <xf numFmtId="0" fontId="15" fillId="25" borderId="22" xfId="0" applyFont="1" applyFill="1" applyBorder="1" applyAlignment="1">
      <alignment horizontal="center"/>
    </xf>
    <xf numFmtId="4" fontId="15" fillId="25" borderId="22" xfId="0" applyNumberFormat="1" applyFont="1" applyFill="1" applyBorder="1" applyAlignment="1">
      <alignment horizontal="center"/>
    </xf>
    <xf numFmtId="4" fontId="15" fillId="25" borderId="15" xfId="0" applyNumberFormat="1" applyFont="1" applyFill="1" applyBorder="1" applyAlignment="1">
      <alignment horizontal="center"/>
    </xf>
    <xf numFmtId="4" fontId="15" fillId="25" borderId="20" xfId="0" applyNumberFormat="1" applyFont="1" applyFill="1" applyBorder="1"/>
    <xf numFmtId="4" fontId="15" fillId="25" borderId="12" xfId="0" applyNumberFormat="1" applyFont="1" applyFill="1" applyBorder="1"/>
    <xf numFmtId="4" fontId="15" fillId="25" borderId="1" xfId="0" applyNumberFormat="1" applyFont="1" applyFill="1" applyBorder="1"/>
    <xf numFmtId="4" fontId="15" fillId="25" borderId="14" xfId="0" applyNumberFormat="1" applyFont="1" applyFill="1" applyBorder="1"/>
    <xf numFmtId="0" fontId="16" fillId="0" borderId="26" xfId="0" applyFont="1" applyBorder="1" applyAlignment="1">
      <alignment horizontal="left"/>
    </xf>
    <xf numFmtId="4" fontId="15" fillId="25" borderId="8" xfId="0" applyNumberFormat="1" applyFont="1" applyFill="1" applyBorder="1"/>
    <xf numFmtId="4" fontId="15" fillId="25" borderId="27" xfId="0" applyNumberFormat="1" applyFont="1" applyFill="1" applyBorder="1"/>
    <xf numFmtId="0" fontId="16" fillId="0" borderId="28" xfId="0" applyFont="1" applyBorder="1" applyAlignment="1">
      <alignment horizontal="left"/>
    </xf>
    <xf numFmtId="4" fontId="15" fillId="0" borderId="29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44" fontId="15" fillId="0" borderId="29" xfId="1" applyFont="1" applyBorder="1" applyAlignment="1">
      <alignment horizontal="right"/>
    </xf>
    <xf numFmtId="44" fontId="15" fillId="25" borderId="20" xfId="1" applyFont="1" applyFill="1" applyBorder="1" applyAlignment="1">
      <alignment horizontal="right"/>
    </xf>
    <xf numFmtId="44" fontId="15" fillId="25" borderId="1" xfId="1" applyFont="1" applyFill="1" applyBorder="1" applyAlignment="1">
      <alignment horizontal="right"/>
    </xf>
    <xf numFmtId="44" fontId="15" fillId="25" borderId="8" xfId="1" applyFont="1" applyFill="1" applyBorder="1" applyAlignment="1">
      <alignment horizontal="right"/>
    </xf>
    <xf numFmtId="0" fontId="16" fillId="0" borderId="17" xfId="0" applyFont="1" applyBorder="1" applyAlignment="1">
      <alignment horizontal="left"/>
    </xf>
    <xf numFmtId="4" fontId="15" fillId="0" borderId="33" xfId="0" applyNumberFormat="1" applyFont="1" applyBorder="1" applyAlignment="1">
      <alignment horizontal="right"/>
    </xf>
    <xf numFmtId="0" fontId="16" fillId="25" borderId="12" xfId="0" applyFont="1" applyFill="1" applyBorder="1" applyAlignment="1">
      <alignment horizontal="center"/>
    </xf>
    <xf numFmtId="0" fontId="16" fillId="25" borderId="14" xfId="0" applyFont="1" applyFill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25" borderId="15" xfId="0" applyFont="1" applyFill="1" applyBorder="1" applyAlignment="1">
      <alignment horizontal="center"/>
    </xf>
    <xf numFmtId="0" fontId="26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left"/>
    </xf>
    <xf numFmtId="4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/>
    <xf numFmtId="4" fontId="15" fillId="5" borderId="1" xfId="0" applyNumberFormat="1" applyFont="1" applyFill="1" applyBorder="1" applyAlignment="1" applyProtection="1">
      <alignment horizontal="right"/>
      <protection locked="0"/>
    </xf>
    <xf numFmtId="4" fontId="15" fillId="5" borderId="1" xfId="0" applyNumberFormat="1" applyFont="1" applyFill="1" applyBorder="1" applyProtection="1">
      <protection locked="0"/>
    </xf>
    <xf numFmtId="0" fontId="16" fillId="0" borderId="34" xfId="0" applyFont="1" applyBorder="1" applyAlignment="1">
      <alignment horizontal="left"/>
    </xf>
    <xf numFmtId="4" fontId="15" fillId="5" borderId="34" xfId="0" applyNumberFormat="1" applyFont="1" applyFill="1" applyBorder="1" applyAlignment="1">
      <alignment horizontal="right"/>
    </xf>
    <xf numFmtId="0" fontId="16" fillId="0" borderId="0" xfId="0" applyFont="1"/>
    <xf numFmtId="0" fontId="15" fillId="0" borderId="0" xfId="0" applyFont="1"/>
    <xf numFmtId="0" fontId="16" fillId="0" borderId="1" xfId="0" applyFont="1" applyBorder="1" applyAlignment="1">
      <alignment horizontal="center"/>
    </xf>
    <xf numFmtId="10" fontId="15" fillId="5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6" fontId="15" fillId="5" borderId="1" xfId="5" applyNumberFormat="1" applyFont="1" applyFill="1" applyBorder="1" applyAlignment="1">
      <alignment horizontal="center" vertical="center"/>
    </xf>
    <xf numFmtId="166" fontId="15" fillId="5" borderId="1" xfId="5" applyNumberFormat="1" applyFont="1" applyFill="1" applyBorder="1" applyAlignment="1">
      <alignment horizontal="center"/>
    </xf>
    <xf numFmtId="9" fontId="15" fillId="5" borderId="1" xfId="5" applyFont="1" applyFill="1" applyBorder="1" applyAlignment="1">
      <alignment horizontal="center"/>
    </xf>
    <xf numFmtId="0" fontId="16" fillId="21" borderId="1" xfId="4" applyFont="1" applyFill="1" applyBorder="1" applyAlignment="1">
      <alignment horizontal="center"/>
    </xf>
    <xf numFmtId="4" fontId="15" fillId="0" borderId="1" xfId="4" applyNumberFormat="1" applyBorder="1" applyAlignment="1">
      <alignment horizontal="right" indent="1"/>
    </xf>
    <xf numFmtId="4" fontId="31" fillId="2" borderId="1" xfId="4" applyNumberFormat="1" applyFont="1" applyFill="1" applyBorder="1" applyAlignment="1">
      <alignment horizontal="right" indent="1"/>
    </xf>
    <xf numFmtId="4" fontId="23" fillId="2" borderId="1" xfId="4" applyNumberFormat="1" applyFont="1" applyFill="1" applyBorder="1" applyAlignment="1">
      <alignment horizontal="right" indent="1"/>
    </xf>
    <xf numFmtId="4" fontId="16" fillId="0" borderId="1" xfId="4" applyNumberFormat="1" applyFont="1" applyBorder="1" applyAlignment="1">
      <alignment horizontal="right" indent="1"/>
    </xf>
    <xf numFmtId="0" fontId="15" fillId="0" borderId="1" xfId="4" applyBorder="1"/>
    <xf numFmtId="4" fontId="16" fillId="0" borderId="1" xfId="4" applyNumberFormat="1" applyFont="1" applyBorder="1"/>
    <xf numFmtId="4" fontId="15" fillId="0" borderId="1" xfId="4" applyNumberFormat="1" applyBorder="1"/>
    <xf numFmtId="4" fontId="15" fillId="0" borderId="1" xfId="4" applyNumberFormat="1" applyBorder="1" applyAlignment="1">
      <alignment horizontal="right"/>
    </xf>
    <xf numFmtId="9" fontId="15" fillId="0" borderId="1" xfId="2" applyFont="1" applyBorder="1" applyAlignment="1">
      <alignment horizontal="right"/>
    </xf>
    <xf numFmtId="4" fontId="16" fillId="0" borderId="1" xfId="4" applyNumberFormat="1" applyFont="1" applyBorder="1" applyAlignment="1">
      <alignment horizontal="center"/>
    </xf>
    <xf numFmtId="2" fontId="19" fillId="0" borderId="0" xfId="4" applyNumberFormat="1" applyFont="1" applyAlignment="1">
      <alignment horizontal="center"/>
    </xf>
    <xf numFmtId="4" fontId="32" fillId="0" borderId="1" xfId="4" applyNumberFormat="1" applyFont="1" applyBorder="1" applyAlignment="1">
      <alignment horizontal="right"/>
    </xf>
    <xf numFmtId="4" fontId="16" fillId="0" borderId="1" xfId="4" applyNumberFormat="1" applyFont="1" applyBorder="1" applyAlignment="1">
      <alignment horizontal="right"/>
    </xf>
    <xf numFmtId="4" fontId="23" fillId="2" borderId="1" xfId="4" applyNumberFormat="1" applyFont="1" applyFill="1" applyBorder="1" applyAlignment="1">
      <alignment horizontal="right"/>
    </xf>
    <xf numFmtId="4" fontId="16" fillId="0" borderId="1" xfId="4" applyNumberFormat="1" applyFont="1" applyBorder="1" applyAlignment="1">
      <alignment horizontal="center" vertical="center"/>
    </xf>
    <xf numFmtId="49" fontId="16" fillId="27" borderId="1" xfId="4" applyNumberFormat="1" applyFont="1" applyFill="1" applyBorder="1"/>
    <xf numFmtId="4" fontId="15" fillId="27" borderId="1" xfId="4" applyNumberFormat="1" applyFill="1" applyBorder="1" applyAlignment="1">
      <alignment horizontal="right"/>
    </xf>
    <xf numFmtId="4" fontId="16" fillId="27" borderId="1" xfId="4" applyNumberFormat="1" applyFont="1" applyFill="1" applyBorder="1" applyAlignment="1">
      <alignment horizontal="right"/>
    </xf>
    <xf numFmtId="49" fontId="16" fillId="25" borderId="1" xfId="4" applyNumberFormat="1" applyFont="1" applyFill="1" applyBorder="1"/>
    <xf numFmtId="4" fontId="16" fillId="27" borderId="1" xfId="4" applyNumberFormat="1" applyFont="1" applyFill="1" applyBorder="1"/>
    <xf numFmtId="167" fontId="33" fillId="0" borderId="0" xfId="4" applyNumberFormat="1" applyFont="1"/>
    <xf numFmtId="4" fontId="33" fillId="0" borderId="1" xfId="4" applyNumberFormat="1" applyFont="1" applyBorder="1" applyAlignment="1">
      <alignment horizontal="right" indent="1"/>
    </xf>
    <xf numFmtId="0" fontId="16" fillId="3" borderId="1" xfId="4" applyFont="1" applyFill="1" applyBorder="1" applyAlignment="1">
      <alignment wrapText="1"/>
    </xf>
    <xf numFmtId="4" fontId="26" fillId="0" borderId="1" xfId="4" applyNumberFormat="1" applyFont="1" applyBorder="1" applyAlignment="1">
      <alignment horizontal="right" indent="1"/>
    </xf>
    <xf numFmtId="4" fontId="33" fillId="0" borderId="1" xfId="4" applyNumberFormat="1" applyFont="1" applyBorder="1" applyAlignment="1">
      <alignment horizontal="right"/>
    </xf>
    <xf numFmtId="164" fontId="4" fillId="0" borderId="40" xfId="1" applyNumberFormat="1" applyFont="1" applyBorder="1" applyAlignment="1">
      <alignment horizontal="center" vertical="center"/>
    </xf>
    <xf numFmtId="164" fontId="3" fillId="0" borderId="40" xfId="1" applyNumberFormat="1" applyFont="1" applyBorder="1" applyAlignment="1"/>
    <xf numFmtId="164" fontId="3" fillId="0" borderId="1" xfId="1" applyNumberFormat="1" applyFont="1" applyBorder="1" applyAlignment="1"/>
    <xf numFmtId="164" fontId="3" fillId="0" borderId="40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/>
    </xf>
    <xf numFmtId="9" fontId="6" fillId="0" borderId="1" xfId="2" applyFont="1" applyBorder="1" applyAlignment="1">
      <alignment horizontal="center"/>
    </xf>
    <xf numFmtId="0" fontId="3" fillId="29" borderId="1" xfId="0" applyFont="1" applyFill="1" applyBorder="1" applyAlignment="1">
      <alignment horizontal="center" vertical="center"/>
    </xf>
    <xf numFmtId="9" fontId="4" fillId="29" borderId="1" xfId="2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/>
    <xf numFmtId="164" fontId="14" fillId="0" borderId="0" xfId="0" applyNumberFormat="1" applyFont="1"/>
    <xf numFmtId="164" fontId="8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19" fillId="0" borderId="0" xfId="0" applyNumberFormat="1" applyFont="1"/>
    <xf numFmtId="10" fontId="4" fillId="0" borderId="3" xfId="0" applyNumberFormat="1" applyFont="1" applyBorder="1" applyAlignment="1">
      <alignment horizontal="center"/>
    </xf>
    <xf numFmtId="0" fontId="3" fillId="5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vertical="center" wrapText="1"/>
    </xf>
    <xf numFmtId="44" fontId="3" fillId="13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" fontId="30" fillId="5" borderId="1" xfId="4" applyNumberFormat="1" applyFont="1" applyFill="1" applyBorder="1" applyAlignment="1">
      <alignment horizontal="right"/>
    </xf>
    <xf numFmtId="0" fontId="16" fillId="0" borderId="1" xfId="4" quotePrefix="1" applyFont="1" applyBorder="1" applyAlignment="1">
      <alignment horizontal="left"/>
    </xf>
    <xf numFmtId="2" fontId="0" fillId="0" borderId="0" xfId="0" applyNumberFormat="1"/>
    <xf numFmtId="0" fontId="29" fillId="12" borderId="1" xfId="4" applyFont="1" applyFill="1" applyBorder="1" applyAlignment="1">
      <alignment horizontal="center" vertical="center" wrapText="1"/>
    </xf>
    <xf numFmtId="4" fontId="15" fillId="5" borderId="2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44" xfId="0" applyBorder="1"/>
    <xf numFmtId="0" fontId="40" fillId="30" borderId="6" xfId="0" applyFont="1" applyFill="1" applyBorder="1" applyAlignment="1">
      <alignment horizontal="left"/>
    </xf>
    <xf numFmtId="0" fontId="5" fillId="0" borderId="6" xfId="0" applyFont="1" applyBorder="1"/>
    <xf numFmtId="0" fontId="41" fillId="0" borderId="6" xfId="0" applyFont="1" applyBorder="1" applyAlignment="1">
      <alignment vertical="top" wrapText="1"/>
    </xf>
    <xf numFmtId="3" fontId="5" fillId="0" borderId="6" xfId="0" applyNumberFormat="1" applyFont="1" applyBorder="1" applyAlignment="1">
      <alignment horizontal="center"/>
    </xf>
    <xf numFmtId="3" fontId="5" fillId="31" borderId="6" xfId="0" applyNumberFormat="1" applyFont="1" applyFill="1" applyBorder="1"/>
    <xf numFmtId="9" fontId="6" fillId="0" borderId="6" xfId="0" applyNumberFormat="1" applyFont="1" applyBorder="1" applyAlignment="1">
      <alignment horizontal="center"/>
    </xf>
    <xf numFmtId="9" fontId="6" fillId="0" borderId="6" xfId="0" applyNumberFormat="1" applyFont="1" applyBorder="1"/>
    <xf numFmtId="4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/>
    <xf numFmtId="4" fontId="0" fillId="0" borderId="0" xfId="0" applyNumberFormat="1"/>
    <xf numFmtId="0" fontId="40" fillId="30" borderId="0" xfId="0" applyFont="1" applyFill="1" applyAlignment="1">
      <alignment horizontal="left"/>
    </xf>
    <xf numFmtId="0" fontId="5" fillId="0" borderId="0" xfId="0" applyFont="1"/>
    <xf numFmtId="0" fontId="41" fillId="0" borderId="0" xfId="0" applyFont="1" applyAlignment="1">
      <alignment vertical="top" wrapText="1"/>
    </xf>
    <xf numFmtId="0" fontId="5" fillId="0" borderId="4" xfId="0" applyFont="1" applyBorder="1"/>
    <xf numFmtId="9" fontId="6" fillId="0" borderId="0" xfId="2" applyFont="1" applyFill="1" applyBorder="1" applyAlignment="1"/>
    <xf numFmtId="9" fontId="6" fillId="31" borderId="0" xfId="2" applyFont="1" applyFill="1" applyBorder="1" applyAlignment="1"/>
    <xf numFmtId="9" fontId="5" fillId="0" borderId="0" xfId="0" applyNumberFormat="1" applyFont="1"/>
    <xf numFmtId="4" fontId="5" fillId="0" borderId="16" xfId="0" applyNumberFormat="1" applyFont="1" applyBorder="1"/>
    <xf numFmtId="0" fontId="6" fillId="0" borderId="4" xfId="0" applyFont="1" applyBorder="1"/>
    <xf numFmtId="9" fontId="5" fillId="0" borderId="6" xfId="0" applyNumberFormat="1" applyFont="1" applyBorder="1"/>
    <xf numFmtId="4" fontId="6" fillId="0" borderId="0" xfId="0" applyNumberFormat="1" applyFont="1"/>
    <xf numFmtId="4" fontId="6" fillId="31" borderId="0" xfId="0" applyNumberFormat="1" applyFont="1" applyFill="1"/>
    <xf numFmtId="4" fontId="6" fillId="0" borderId="6" xfId="0" applyNumberFormat="1" applyFont="1" applyBorder="1"/>
    <xf numFmtId="4" fontId="6" fillId="31" borderId="6" xfId="0" applyNumberFormat="1" applyFont="1" applyFill="1" applyBorder="1"/>
    <xf numFmtId="170" fontId="0" fillId="0" borderId="0" xfId="0" applyNumberFormat="1"/>
    <xf numFmtId="4" fontId="17" fillId="10" borderId="0" xfId="0" applyNumberFormat="1" applyFont="1" applyFill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4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11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4" fillId="0" borderId="0" xfId="1" applyNumberFormat="1" applyFont="1" applyAlignment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5" borderId="0" xfId="0" applyFont="1" applyFill="1" applyAlignment="1">
      <alignment horizontal="center" vertical="center"/>
    </xf>
    <xf numFmtId="0" fontId="38" fillId="32" borderId="6" xfId="0" applyFont="1" applyFill="1" applyBorder="1" applyAlignment="1">
      <alignment horizontal="center" vertical="center" wrapText="1"/>
    </xf>
    <xf numFmtId="0" fontId="44" fillId="30" borderId="6" xfId="0" applyFont="1" applyFill="1" applyBorder="1" applyAlignment="1">
      <alignment horizontal="center"/>
    </xf>
    <xf numFmtId="0" fontId="37" fillId="32" borderId="6" xfId="0" applyFont="1" applyFill="1" applyBorder="1" applyAlignment="1">
      <alignment horizontal="center" vertical="center" wrapText="1"/>
    </xf>
    <xf numFmtId="0" fontId="39" fillId="32" borderId="6" xfId="0" applyFont="1" applyFill="1" applyBorder="1" applyAlignment="1">
      <alignment horizontal="center" vertical="center" wrapText="1"/>
    </xf>
    <xf numFmtId="0" fontId="43" fillId="30" borderId="6" xfId="0" applyFont="1" applyFill="1" applyBorder="1" applyAlignment="1">
      <alignment horizontal="center"/>
    </xf>
    <xf numFmtId="0" fontId="35" fillId="32" borderId="6" xfId="0" applyFont="1" applyFill="1" applyBorder="1" applyAlignment="1">
      <alignment horizontal="center" wrapText="1"/>
    </xf>
    <xf numFmtId="0" fontId="36" fillId="32" borderId="6" xfId="0" applyFont="1" applyFill="1" applyBorder="1" applyAlignment="1">
      <alignment horizontal="center" vertical="center" wrapText="1"/>
    </xf>
    <xf numFmtId="0" fontId="42" fillId="30" borderId="4" xfId="0" applyFont="1" applyFill="1" applyBorder="1" applyAlignment="1">
      <alignment horizontal="center"/>
    </xf>
    <xf numFmtId="0" fontId="40" fillId="30" borderId="4" xfId="0" applyFont="1" applyFill="1" applyBorder="1" applyAlignment="1">
      <alignment horizontal="center"/>
    </xf>
    <xf numFmtId="0" fontId="40" fillId="30" borderId="2" xfId="0" applyFont="1" applyFill="1" applyBorder="1" applyAlignment="1">
      <alignment horizontal="center"/>
    </xf>
    <xf numFmtId="0" fontId="40" fillId="30" borderId="16" xfId="0" applyFont="1" applyFill="1" applyBorder="1" applyAlignment="1">
      <alignment horizontal="center"/>
    </xf>
    <xf numFmtId="0" fontId="38" fillId="32" borderId="33" xfId="0" applyFont="1" applyFill="1" applyBorder="1" applyAlignment="1">
      <alignment horizontal="center" vertical="center"/>
    </xf>
    <xf numFmtId="0" fontId="38" fillId="32" borderId="9" xfId="0" applyFont="1" applyFill="1" applyBorder="1" applyAlignment="1">
      <alignment horizontal="center" vertical="center"/>
    </xf>
    <xf numFmtId="0" fontId="35" fillId="32" borderId="33" xfId="0" applyFont="1" applyFill="1" applyBorder="1" applyAlignment="1">
      <alignment horizontal="center" vertical="center"/>
    </xf>
    <xf numFmtId="0" fontId="35" fillId="32" borderId="9" xfId="0" applyFont="1" applyFill="1" applyBorder="1" applyAlignment="1">
      <alignment horizontal="center" vertical="center"/>
    </xf>
    <xf numFmtId="0" fontId="39" fillId="32" borderId="33" xfId="0" applyFont="1" applyFill="1" applyBorder="1" applyAlignment="1">
      <alignment horizontal="center" vertical="center"/>
    </xf>
    <xf numFmtId="0" fontId="39" fillId="32" borderId="9" xfId="0" applyFont="1" applyFill="1" applyBorder="1" applyAlignment="1">
      <alignment horizontal="center" vertical="center"/>
    </xf>
    <xf numFmtId="0" fontId="6" fillId="25" borderId="16" xfId="0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5" fillId="32" borderId="33" xfId="0" applyFont="1" applyFill="1" applyBorder="1" applyAlignment="1">
      <alignment horizontal="center" vertical="center" wrapText="1"/>
    </xf>
    <xf numFmtId="0" fontId="35" fillId="32" borderId="9" xfId="0" applyFont="1" applyFill="1" applyBorder="1" applyAlignment="1">
      <alignment horizontal="center" vertical="center" wrapText="1"/>
    </xf>
    <xf numFmtId="0" fontId="38" fillId="32" borderId="33" xfId="0" applyFont="1" applyFill="1" applyBorder="1" applyAlignment="1">
      <alignment horizontal="center" vertical="center" wrapText="1"/>
    </xf>
    <xf numFmtId="0" fontId="38" fillId="32" borderId="9" xfId="0" applyFont="1" applyFill="1" applyBorder="1" applyAlignment="1">
      <alignment horizontal="center" vertical="center" wrapText="1"/>
    </xf>
    <xf numFmtId="0" fontId="3" fillId="25" borderId="45" xfId="0" applyFont="1" applyFill="1" applyBorder="1" applyAlignment="1">
      <alignment horizontal="center" vertical="center"/>
    </xf>
    <xf numFmtId="0" fontId="40" fillId="30" borderId="6" xfId="0" applyFont="1" applyFill="1" applyBorder="1" applyAlignment="1">
      <alignment horizontal="center"/>
    </xf>
    <xf numFmtId="0" fontId="42" fillId="30" borderId="6" xfId="0" applyFont="1" applyFill="1" applyBorder="1" applyAlignment="1">
      <alignment horizontal="center"/>
    </xf>
    <xf numFmtId="0" fontId="38" fillId="32" borderId="6" xfId="0" applyFont="1" applyFill="1" applyBorder="1" applyAlignment="1">
      <alignment horizontal="center" vertical="center"/>
    </xf>
    <xf numFmtId="0" fontId="35" fillId="32" borderId="6" xfId="0" applyFont="1" applyFill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/>
    </xf>
    <xf numFmtId="0" fontId="39" fillId="32" borderId="33" xfId="0" applyFont="1" applyFill="1" applyBorder="1" applyAlignment="1">
      <alignment horizontal="center" vertical="center" wrapText="1"/>
    </xf>
    <xf numFmtId="0" fontId="39" fillId="32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9" fillId="5" borderId="0" xfId="4" applyFont="1" applyFill="1" applyAlignment="1">
      <alignment horizontal="center"/>
    </xf>
    <xf numFmtId="0" fontId="16" fillId="0" borderId="16" xfId="0" applyFont="1" applyBorder="1" applyAlignment="1">
      <alignment horizontal="center"/>
    </xf>
    <xf numFmtId="0" fontId="29" fillId="0" borderId="0" xfId="4" applyFont="1" applyAlignment="1">
      <alignment horizontal="center"/>
    </xf>
    <xf numFmtId="0" fontId="23" fillId="2" borderId="0" xfId="4" applyFont="1" applyFill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0" fillId="14" borderId="23" xfId="0" applyFont="1" applyFill="1" applyBorder="1" applyAlignment="1">
      <alignment horizontal="center"/>
    </xf>
    <xf numFmtId="0" fontId="20" fillId="14" borderId="24" xfId="0" applyFont="1" applyFill="1" applyBorder="1" applyAlignment="1">
      <alignment horizontal="center"/>
    </xf>
    <xf numFmtId="0" fontId="16" fillId="5" borderId="9" xfId="4" applyFont="1" applyFill="1" applyBorder="1" applyAlignment="1">
      <alignment horizontal="center"/>
    </xf>
    <xf numFmtId="0" fontId="29" fillId="5" borderId="16" xfId="4" applyFont="1" applyFill="1" applyBorder="1" applyAlignment="1">
      <alignment horizontal="center"/>
    </xf>
    <xf numFmtId="0" fontId="28" fillId="2" borderId="0" xfId="4" applyFont="1" applyFill="1" applyAlignment="1">
      <alignment horizontal="center" vertical="center"/>
    </xf>
    <xf numFmtId="0" fontId="16" fillId="0" borderId="0" xfId="4" applyFont="1" applyAlignment="1">
      <alignment horizontal="center" vertical="center"/>
    </xf>
    <xf numFmtId="4" fontId="15" fillId="0" borderId="39" xfId="4" applyNumberFormat="1" applyBorder="1" applyAlignment="1">
      <alignment horizontal="center"/>
    </xf>
    <xf numFmtId="4" fontId="15" fillId="0" borderId="2" xfId="4" applyNumberFormat="1" applyBorder="1" applyAlignment="1">
      <alignment horizontal="center"/>
    </xf>
    <xf numFmtId="4" fontId="15" fillId="0" borderId="10" xfId="4" applyNumberFormat="1" applyBorder="1" applyAlignment="1">
      <alignment horizontal="center"/>
    </xf>
    <xf numFmtId="4" fontId="15" fillId="0" borderId="0" xfId="4" applyNumberFormat="1" applyAlignment="1">
      <alignment horizontal="center"/>
    </xf>
    <xf numFmtId="0" fontId="16" fillId="0" borderId="0" xfId="4" applyFont="1" applyAlignment="1">
      <alignment horizontal="center"/>
    </xf>
    <xf numFmtId="0" fontId="16" fillId="0" borderId="9" xfId="4" applyFont="1" applyBorder="1" applyAlignment="1">
      <alignment horizontal="center"/>
    </xf>
    <xf numFmtId="0" fontId="17" fillId="5" borderId="0" xfId="4" applyFont="1" applyFill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6" fillId="5" borderId="0" xfId="4" applyFont="1" applyFill="1" applyAlignment="1">
      <alignment horizontal="center"/>
    </xf>
    <xf numFmtId="0" fontId="16" fillId="24" borderId="10" xfId="4" applyFont="1" applyFill="1" applyBorder="1" applyAlignment="1">
      <alignment horizontal="center"/>
    </xf>
    <xf numFmtId="0" fontId="16" fillId="24" borderId="0" xfId="4" applyFont="1" applyFill="1" applyAlignment="1">
      <alignment horizontal="center"/>
    </xf>
    <xf numFmtId="0" fontId="26" fillId="23" borderId="24" xfId="0" applyFont="1" applyFill="1" applyBorder="1" applyAlignment="1">
      <alignment horizontal="center" vertical="center"/>
    </xf>
    <xf numFmtId="2" fontId="16" fillId="5" borderId="39" xfId="4" applyNumberFormat="1" applyFont="1" applyFill="1" applyBorder="1" applyAlignment="1">
      <alignment horizontal="center" vertical="center"/>
    </xf>
    <xf numFmtId="2" fontId="16" fillId="5" borderId="2" xfId="4" applyNumberFormat="1" applyFont="1" applyFill="1" applyBorder="1" applyAlignment="1">
      <alignment horizontal="center" vertical="center"/>
    </xf>
    <xf numFmtId="2" fontId="16" fillId="5" borderId="10" xfId="4" applyNumberFormat="1" applyFont="1" applyFill="1" applyBorder="1" applyAlignment="1">
      <alignment horizontal="center" vertical="center"/>
    </xf>
    <xf numFmtId="2" fontId="16" fillId="5" borderId="0" xfId="4" applyNumberFormat="1" applyFont="1" applyFill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164" fontId="6" fillId="0" borderId="42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8" borderId="0" xfId="0" applyFont="1" applyFill="1" applyAlignment="1">
      <alignment horizontal="center"/>
    </xf>
    <xf numFmtId="164" fontId="3" fillId="28" borderId="0" xfId="0" applyNumberFormat="1" applyFont="1" applyFill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44" fontId="3" fillId="3" borderId="0" xfId="0" applyNumberFormat="1" applyFont="1" applyFill="1" applyAlignment="1">
      <alignment horizontal="center" vertical="center"/>
    </xf>
    <xf numFmtId="4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4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13" fillId="11" borderId="9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3" fillId="28" borderId="0" xfId="1" applyNumberFormat="1" applyFont="1" applyFill="1" applyAlignment="1">
      <alignment horizontal="center"/>
    </xf>
    <xf numFmtId="0" fontId="11" fillId="11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4" fontId="8" fillId="2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44" fontId="3" fillId="12" borderId="2" xfId="0" applyNumberFormat="1" applyFont="1" applyFill="1" applyBorder="1" applyAlignment="1">
      <alignment horizontal="right" vertical="center"/>
    </xf>
    <xf numFmtId="0" fontId="3" fillId="12" borderId="2" xfId="0" applyFont="1" applyFill="1" applyBorder="1" applyAlignment="1">
      <alignment horizontal="right" vertical="center"/>
    </xf>
    <xf numFmtId="164" fontId="6" fillId="5" borderId="4" xfId="0" applyNumberFormat="1" applyFont="1" applyFill="1" applyBorder="1" applyAlignment="1">
      <alignment horizontal="center"/>
    </xf>
    <xf numFmtId="164" fontId="6" fillId="5" borderId="5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4" fontId="10" fillId="10" borderId="3" xfId="0" applyNumberFormat="1" applyFont="1" applyFill="1" applyBorder="1" applyAlignment="1">
      <alignment horizontal="center" vertical="center"/>
    </xf>
    <xf numFmtId="44" fontId="10" fillId="10" borderId="4" xfId="0" applyNumberFormat="1" applyFont="1" applyFill="1" applyBorder="1" applyAlignment="1">
      <alignment horizontal="center" vertical="center"/>
    </xf>
    <xf numFmtId="44" fontId="10" fillId="10" borderId="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/>
    </xf>
  </cellXfs>
  <cellStyles count="6">
    <cellStyle name="Millares" xfId="3" builtinId="3"/>
    <cellStyle name="Moneda" xfId="1" builtinId="4"/>
    <cellStyle name="Normal" xfId="0" builtinId="0"/>
    <cellStyle name="Normal 2" xfId="4" xr:uid="{00000000-0005-0000-0000-000003000000}"/>
    <cellStyle name="Porcentaje" xfId="2" builtinId="5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104775</xdr:rowOff>
    </xdr:from>
    <xdr:to>
      <xdr:col>0</xdr:col>
      <xdr:colOff>1695450</xdr:colOff>
      <xdr:row>2</xdr:row>
      <xdr:rowOff>504825</xdr:rowOff>
    </xdr:to>
    <xdr:sp macro="" textlink="">
      <xdr:nvSpPr>
        <xdr:cNvPr id="2" name="Diagrama de flujo: terminador 1">
          <a:extLst>
            <a:ext uri="{FF2B5EF4-FFF2-40B4-BE49-F238E27FC236}">
              <a16:creationId xmlns:a16="http://schemas.microsoft.com/office/drawing/2014/main" id="{2F70A95D-4434-4EDA-80EA-80238900D22D}"/>
            </a:ext>
          </a:extLst>
        </xdr:cNvPr>
        <xdr:cNvSpPr/>
      </xdr:nvSpPr>
      <xdr:spPr>
        <a:xfrm>
          <a:off x="581025" y="866775"/>
          <a:ext cx="1114425" cy="4000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INICIO</a:t>
          </a:r>
        </a:p>
      </xdr:txBody>
    </xdr:sp>
    <xdr:clientData/>
  </xdr:twoCellAnchor>
  <xdr:twoCellAnchor>
    <xdr:from>
      <xdr:col>0</xdr:col>
      <xdr:colOff>466724</xdr:colOff>
      <xdr:row>3</xdr:row>
      <xdr:rowOff>69850</xdr:rowOff>
    </xdr:from>
    <xdr:to>
      <xdr:col>0</xdr:col>
      <xdr:colOff>1809749</xdr:colOff>
      <xdr:row>3</xdr:row>
      <xdr:rowOff>517525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9B5D77F-7139-461E-B023-57AFF3E9BCFB}"/>
            </a:ext>
          </a:extLst>
        </xdr:cNvPr>
        <xdr:cNvSpPr/>
      </xdr:nvSpPr>
      <xdr:spPr>
        <a:xfrm>
          <a:off x="466724" y="1066800"/>
          <a:ext cx="1343025" cy="4476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Determinar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insumos a comprar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466519</xdr:colOff>
      <xdr:row>4</xdr:row>
      <xdr:rowOff>193675</xdr:rowOff>
    </xdr:from>
    <xdr:to>
      <xdr:col>0</xdr:col>
      <xdr:colOff>1809544</xdr:colOff>
      <xdr:row>4</xdr:row>
      <xdr:rowOff>622300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6F92FE7-AA83-4E56-B4B2-18E82E703ACF}"/>
            </a:ext>
          </a:extLst>
        </xdr:cNvPr>
        <xdr:cNvSpPr/>
      </xdr:nvSpPr>
      <xdr:spPr>
        <a:xfrm>
          <a:off x="466519" y="1781175"/>
          <a:ext cx="13430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Elaborar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órdenes de compra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456167</xdr:colOff>
      <xdr:row>5</xdr:row>
      <xdr:rowOff>257175</xdr:rowOff>
    </xdr:from>
    <xdr:to>
      <xdr:col>0</xdr:col>
      <xdr:colOff>1818242</xdr:colOff>
      <xdr:row>5</xdr:row>
      <xdr:rowOff>685800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4017709-D4D0-49EC-B279-CCF047046C94}"/>
            </a:ext>
          </a:extLst>
        </xdr:cNvPr>
        <xdr:cNvSpPr/>
      </xdr:nvSpPr>
      <xdr:spPr>
        <a:xfrm>
          <a:off x="456167" y="2873375"/>
          <a:ext cx="136207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Compra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y pedido de insumos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489917</xdr:colOff>
      <xdr:row>6</xdr:row>
      <xdr:rowOff>184151</xdr:rowOff>
    </xdr:from>
    <xdr:to>
      <xdr:col>0</xdr:col>
      <xdr:colOff>1785317</xdr:colOff>
      <xdr:row>6</xdr:row>
      <xdr:rowOff>596901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AD52023-98B3-46CD-A97E-222B9152E790}"/>
            </a:ext>
          </a:extLst>
        </xdr:cNvPr>
        <xdr:cNvSpPr/>
      </xdr:nvSpPr>
      <xdr:spPr>
        <a:xfrm>
          <a:off x="489917" y="3606801"/>
          <a:ext cx="1295400" cy="4127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Recepción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insumos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470867</xdr:colOff>
      <xdr:row>7</xdr:row>
      <xdr:rowOff>209550</xdr:rowOff>
    </xdr:from>
    <xdr:to>
      <xdr:col>0</xdr:col>
      <xdr:colOff>1804367</xdr:colOff>
      <xdr:row>7</xdr:row>
      <xdr:rowOff>622299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36317166-B1B9-4D9C-9CD1-F2135A7483E7}"/>
            </a:ext>
          </a:extLst>
        </xdr:cNvPr>
        <xdr:cNvSpPr/>
      </xdr:nvSpPr>
      <xdr:spPr>
        <a:xfrm>
          <a:off x="470867" y="4425950"/>
          <a:ext cx="1333500" cy="4127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Almacenar</a:t>
          </a:r>
          <a:r>
            <a:rPr lang="es-US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adecuadamente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405017</xdr:colOff>
      <xdr:row>8</xdr:row>
      <xdr:rowOff>209551</xdr:rowOff>
    </xdr:from>
    <xdr:to>
      <xdr:col>0</xdr:col>
      <xdr:colOff>1871867</xdr:colOff>
      <xdr:row>8</xdr:row>
      <xdr:rowOff>482601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B3AC0F2-DAF5-475E-9E03-DA39AD7354A4}"/>
            </a:ext>
          </a:extLst>
        </xdr:cNvPr>
        <xdr:cNvSpPr/>
      </xdr:nvSpPr>
      <xdr:spPr>
        <a:xfrm>
          <a:off x="405017" y="5162551"/>
          <a:ext cx="1466850" cy="2730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Actualizar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inventario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580818</xdr:colOff>
      <xdr:row>9</xdr:row>
      <xdr:rowOff>200025</xdr:rowOff>
    </xdr:from>
    <xdr:to>
      <xdr:col>0</xdr:col>
      <xdr:colOff>1695243</xdr:colOff>
      <xdr:row>9</xdr:row>
      <xdr:rowOff>600075</xdr:rowOff>
    </xdr:to>
    <xdr:sp macro="" textlink="">
      <xdr:nvSpPr>
        <xdr:cNvPr id="9" name="Diagrama de flujo: terminador 8">
          <a:extLst>
            <a:ext uri="{FF2B5EF4-FFF2-40B4-BE49-F238E27FC236}">
              <a16:creationId xmlns:a16="http://schemas.microsoft.com/office/drawing/2014/main" id="{8956ACE0-BF33-47EE-B1F6-29E5865800FA}"/>
            </a:ext>
          </a:extLst>
        </xdr:cNvPr>
        <xdr:cNvSpPr/>
      </xdr:nvSpPr>
      <xdr:spPr>
        <a:xfrm>
          <a:off x="580818" y="5705475"/>
          <a:ext cx="1114425" cy="4000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FIN</a:t>
          </a:r>
        </a:p>
      </xdr:txBody>
    </xdr:sp>
    <xdr:clientData/>
  </xdr:twoCellAnchor>
  <xdr:twoCellAnchor>
    <xdr:from>
      <xdr:col>0</xdr:col>
      <xdr:colOff>1138237</xdr:colOff>
      <xdr:row>2</xdr:row>
      <xdr:rowOff>504825</xdr:rowOff>
    </xdr:from>
    <xdr:to>
      <xdr:col>0</xdr:col>
      <xdr:colOff>1138238</xdr:colOff>
      <xdr:row>3</xdr:row>
      <xdr:rowOff>69850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E2B40622-BDBD-4BA4-B82A-B85C3530DE50}"/>
            </a:ext>
          </a:extLst>
        </xdr:cNvPr>
        <xdr:cNvCxnSpPr>
          <a:stCxn id="2" idx="2"/>
          <a:endCxn id="3" idx="0"/>
        </xdr:cNvCxnSpPr>
      </xdr:nvCxnSpPr>
      <xdr:spPr>
        <a:xfrm flipH="1">
          <a:off x="1138237" y="885825"/>
          <a:ext cx="1" cy="1809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1138032</xdr:colOff>
      <xdr:row>3</xdr:row>
      <xdr:rowOff>517525</xdr:rowOff>
    </xdr:from>
    <xdr:to>
      <xdr:col>0</xdr:col>
      <xdr:colOff>1138237</xdr:colOff>
      <xdr:row>4</xdr:row>
      <xdr:rowOff>193675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6D6F49AC-9710-428D-9F09-07D41E8A8EBB}"/>
            </a:ext>
          </a:extLst>
        </xdr:cNvPr>
        <xdr:cNvCxnSpPr>
          <a:stCxn id="3" idx="2"/>
          <a:endCxn id="4" idx="0"/>
        </xdr:cNvCxnSpPr>
      </xdr:nvCxnSpPr>
      <xdr:spPr>
        <a:xfrm flipH="1">
          <a:off x="1138032" y="1514475"/>
          <a:ext cx="20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1137205</xdr:colOff>
      <xdr:row>4</xdr:row>
      <xdr:rowOff>622300</xdr:rowOff>
    </xdr:from>
    <xdr:to>
      <xdr:col>0</xdr:col>
      <xdr:colOff>1138032</xdr:colOff>
      <xdr:row>5</xdr:row>
      <xdr:rowOff>257175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1803F4D-B04C-4227-A76C-7733B3948F10}"/>
            </a:ext>
          </a:extLst>
        </xdr:cNvPr>
        <xdr:cNvCxnSpPr>
          <a:stCxn id="4" idx="2"/>
          <a:endCxn id="5" idx="0"/>
        </xdr:cNvCxnSpPr>
      </xdr:nvCxnSpPr>
      <xdr:spPr>
        <a:xfrm flipH="1">
          <a:off x="1137205" y="2209800"/>
          <a:ext cx="827" cy="466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1137205</xdr:colOff>
      <xdr:row>5</xdr:row>
      <xdr:rowOff>685800</xdr:rowOff>
    </xdr:from>
    <xdr:to>
      <xdr:col>0</xdr:col>
      <xdr:colOff>1137617</xdr:colOff>
      <xdr:row>6</xdr:row>
      <xdr:rowOff>184151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395148B8-C139-4E82-AF7B-BE49835B4EDD}"/>
            </a:ext>
          </a:extLst>
        </xdr:cNvPr>
        <xdr:cNvCxnSpPr>
          <a:stCxn id="5" idx="2"/>
          <a:endCxn id="6" idx="0"/>
        </xdr:cNvCxnSpPr>
      </xdr:nvCxnSpPr>
      <xdr:spPr>
        <a:xfrm>
          <a:off x="1137205" y="3111500"/>
          <a:ext cx="412" cy="49530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1137617</xdr:colOff>
      <xdr:row>6</xdr:row>
      <xdr:rowOff>596901</xdr:rowOff>
    </xdr:from>
    <xdr:to>
      <xdr:col>0</xdr:col>
      <xdr:colOff>1137617</xdr:colOff>
      <xdr:row>7</xdr:row>
      <xdr:rowOff>209550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C7C846F5-250D-48B5-BC26-1D6CD0DFAE29}"/>
            </a:ext>
          </a:extLst>
        </xdr:cNvPr>
        <xdr:cNvCxnSpPr>
          <a:stCxn id="6" idx="2"/>
          <a:endCxn id="7" idx="0"/>
        </xdr:cNvCxnSpPr>
      </xdr:nvCxnSpPr>
      <xdr:spPr>
        <a:xfrm>
          <a:off x="1137617" y="4013201"/>
          <a:ext cx="0" cy="41274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1137617</xdr:colOff>
      <xdr:row>7</xdr:row>
      <xdr:rowOff>622299</xdr:rowOff>
    </xdr:from>
    <xdr:to>
      <xdr:col>0</xdr:col>
      <xdr:colOff>1138442</xdr:colOff>
      <xdr:row>8</xdr:row>
      <xdr:rowOff>209551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AE3E394A-C22C-48DF-9CF9-C12520BED688}"/>
            </a:ext>
          </a:extLst>
        </xdr:cNvPr>
        <xdr:cNvCxnSpPr>
          <a:stCxn id="7" idx="2"/>
          <a:endCxn id="8" idx="0"/>
        </xdr:cNvCxnSpPr>
      </xdr:nvCxnSpPr>
      <xdr:spPr>
        <a:xfrm>
          <a:off x="1137617" y="4838699"/>
          <a:ext cx="825" cy="42545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1138031</xdr:colOff>
      <xdr:row>8</xdr:row>
      <xdr:rowOff>482601</xdr:rowOff>
    </xdr:from>
    <xdr:to>
      <xdr:col>0</xdr:col>
      <xdr:colOff>1138442</xdr:colOff>
      <xdr:row>9</xdr:row>
      <xdr:rowOff>200025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5F54E970-46AD-4750-AC6E-6DACE7E0CA24}"/>
            </a:ext>
          </a:extLst>
        </xdr:cNvPr>
        <xdr:cNvCxnSpPr>
          <a:stCxn id="8" idx="2"/>
          <a:endCxn id="9" idx="0"/>
        </xdr:cNvCxnSpPr>
      </xdr:nvCxnSpPr>
      <xdr:spPr>
        <a:xfrm flipH="1">
          <a:off x="1138031" y="5435601"/>
          <a:ext cx="411" cy="4286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</xdr:row>
      <xdr:rowOff>57150</xdr:rowOff>
    </xdr:from>
    <xdr:to>
      <xdr:col>2</xdr:col>
      <xdr:colOff>180975</xdr:colOff>
      <xdr:row>3</xdr:row>
      <xdr:rowOff>419100</xdr:rowOff>
    </xdr:to>
    <xdr:sp macro="" textlink="">
      <xdr:nvSpPr>
        <xdr:cNvPr id="3" name="Diagrama de flujo: terminador 2">
          <a:extLst>
            <a:ext uri="{FF2B5EF4-FFF2-40B4-BE49-F238E27FC236}">
              <a16:creationId xmlns:a16="http://schemas.microsoft.com/office/drawing/2014/main" id="{E410F05A-647B-BF54-FB7F-D7AE59C50673}"/>
            </a:ext>
          </a:extLst>
        </xdr:cNvPr>
        <xdr:cNvSpPr/>
      </xdr:nvSpPr>
      <xdr:spPr>
        <a:xfrm>
          <a:off x="676275" y="657225"/>
          <a:ext cx="1028700" cy="3619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Inicio</a:t>
          </a:r>
        </a:p>
      </xdr:txBody>
    </xdr:sp>
    <xdr:clientData/>
  </xdr:twoCellAnchor>
  <xdr:twoCellAnchor>
    <xdr:from>
      <xdr:col>0</xdr:col>
      <xdr:colOff>177800</xdr:colOff>
      <xdr:row>4</xdr:row>
      <xdr:rowOff>76200</xdr:rowOff>
    </xdr:from>
    <xdr:to>
      <xdr:col>2</xdr:col>
      <xdr:colOff>679450</xdr:colOff>
      <xdr:row>4</xdr:row>
      <xdr:rowOff>336550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FAD5D94-8E6D-0E82-2EF8-B5B55C414057}"/>
            </a:ext>
          </a:extLst>
        </xdr:cNvPr>
        <xdr:cNvSpPr/>
      </xdr:nvSpPr>
      <xdr:spPr>
        <a:xfrm>
          <a:off x="177800" y="1143000"/>
          <a:ext cx="2025650" cy="260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171450</xdr:colOff>
      <xdr:row>5</xdr:row>
      <xdr:rowOff>44450</xdr:rowOff>
    </xdr:from>
    <xdr:to>
      <xdr:col>2</xdr:col>
      <xdr:colOff>673100</xdr:colOff>
      <xdr:row>5</xdr:row>
      <xdr:rowOff>304800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E7BF606-3149-4B4C-86EF-C6C5E67F4BCD}"/>
            </a:ext>
          </a:extLst>
        </xdr:cNvPr>
        <xdr:cNvSpPr/>
      </xdr:nvSpPr>
      <xdr:spPr>
        <a:xfrm>
          <a:off x="171450" y="1498600"/>
          <a:ext cx="2025650" cy="260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171450</xdr:colOff>
      <xdr:row>6</xdr:row>
      <xdr:rowOff>196850</xdr:rowOff>
    </xdr:from>
    <xdr:to>
      <xdr:col>2</xdr:col>
      <xdr:colOff>673100</xdr:colOff>
      <xdr:row>6</xdr:row>
      <xdr:rowOff>457200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42CAEC0-BD5A-4EDF-8BF5-1255743F9E8F}"/>
            </a:ext>
          </a:extLst>
        </xdr:cNvPr>
        <xdr:cNvSpPr/>
      </xdr:nvSpPr>
      <xdr:spPr>
        <a:xfrm>
          <a:off x="171450" y="2000250"/>
          <a:ext cx="2025650" cy="260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177800</xdr:colOff>
      <xdr:row>7</xdr:row>
      <xdr:rowOff>165100</xdr:rowOff>
    </xdr:from>
    <xdr:to>
      <xdr:col>2</xdr:col>
      <xdr:colOff>679450</xdr:colOff>
      <xdr:row>7</xdr:row>
      <xdr:rowOff>425450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3402793-6C23-4535-A61F-48C34F9D8CC9}"/>
            </a:ext>
          </a:extLst>
        </xdr:cNvPr>
        <xdr:cNvSpPr/>
      </xdr:nvSpPr>
      <xdr:spPr>
        <a:xfrm>
          <a:off x="177800" y="2584450"/>
          <a:ext cx="2025650" cy="260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177800</xdr:colOff>
      <xdr:row>8</xdr:row>
      <xdr:rowOff>88900</xdr:rowOff>
    </xdr:from>
    <xdr:to>
      <xdr:col>2</xdr:col>
      <xdr:colOff>679450</xdr:colOff>
      <xdr:row>8</xdr:row>
      <xdr:rowOff>349250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FCC0AD4-502D-45FB-9151-01A63E5FBB64}"/>
            </a:ext>
          </a:extLst>
        </xdr:cNvPr>
        <xdr:cNvSpPr/>
      </xdr:nvSpPr>
      <xdr:spPr>
        <a:xfrm>
          <a:off x="177800" y="3124200"/>
          <a:ext cx="2025650" cy="2603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428625</xdr:colOff>
      <xdr:row>3</xdr:row>
      <xdr:rowOff>419100</xdr:rowOff>
    </xdr:from>
    <xdr:to>
      <xdr:col>1</xdr:col>
      <xdr:colOff>428625</xdr:colOff>
      <xdr:row>4</xdr:row>
      <xdr:rowOff>76200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15B15C9A-50B1-DCF6-A91B-CBF54026F794}"/>
            </a:ext>
          </a:extLst>
        </xdr:cNvPr>
        <xdr:cNvCxnSpPr>
          <a:stCxn id="3" idx="2"/>
          <a:endCxn id="2" idx="0"/>
        </xdr:cNvCxnSpPr>
      </xdr:nvCxnSpPr>
      <xdr:spPr>
        <a:xfrm>
          <a:off x="1190625" y="1003300"/>
          <a:ext cx="0" cy="139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422275</xdr:colOff>
      <xdr:row>4</xdr:row>
      <xdr:rowOff>336550</xdr:rowOff>
    </xdr:from>
    <xdr:to>
      <xdr:col>1</xdr:col>
      <xdr:colOff>422275</xdr:colOff>
      <xdr:row>5</xdr:row>
      <xdr:rowOff>44450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E6BA625-DF90-4ECB-A6E4-F55997A62E1B}"/>
            </a:ext>
          </a:extLst>
        </xdr:cNvPr>
        <xdr:cNvCxnSpPr>
          <a:endCxn id="4" idx="0"/>
        </xdr:cNvCxnSpPr>
      </xdr:nvCxnSpPr>
      <xdr:spPr>
        <a:xfrm>
          <a:off x="1184275" y="1403350"/>
          <a:ext cx="0" cy="95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422275</xdr:colOff>
      <xdr:row>5</xdr:row>
      <xdr:rowOff>304800</xdr:rowOff>
    </xdr:from>
    <xdr:to>
      <xdr:col>1</xdr:col>
      <xdr:colOff>422275</xdr:colOff>
      <xdr:row>6</xdr:row>
      <xdr:rowOff>196850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CAFBE8F7-1CA1-3F7B-DF61-9A8B5C0E4017}"/>
            </a:ext>
          </a:extLst>
        </xdr:cNvPr>
        <xdr:cNvCxnSpPr>
          <a:stCxn id="4" idx="2"/>
          <a:endCxn id="5" idx="0"/>
        </xdr:cNvCxnSpPr>
      </xdr:nvCxnSpPr>
      <xdr:spPr>
        <a:xfrm>
          <a:off x="1184275" y="1758950"/>
          <a:ext cx="0" cy="241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422275</xdr:colOff>
      <xdr:row>6</xdr:row>
      <xdr:rowOff>457200</xdr:rowOff>
    </xdr:from>
    <xdr:to>
      <xdr:col>1</xdr:col>
      <xdr:colOff>428625</xdr:colOff>
      <xdr:row>7</xdr:row>
      <xdr:rowOff>165100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D71796C7-34C8-1786-C0B4-BA90A69AEF8A}"/>
            </a:ext>
          </a:extLst>
        </xdr:cNvPr>
        <xdr:cNvCxnSpPr>
          <a:stCxn id="5" idx="2"/>
          <a:endCxn id="6" idx="0"/>
        </xdr:cNvCxnSpPr>
      </xdr:nvCxnSpPr>
      <xdr:spPr>
        <a:xfrm>
          <a:off x="1184275" y="2260600"/>
          <a:ext cx="6350" cy="3238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7</xdr:row>
      <xdr:rowOff>425450</xdr:rowOff>
    </xdr:from>
    <xdr:to>
      <xdr:col>1</xdr:col>
      <xdr:colOff>428625</xdr:colOff>
      <xdr:row>8</xdr:row>
      <xdr:rowOff>88900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C6D0798C-DB2A-E855-2225-DFB924BABC9C}"/>
            </a:ext>
          </a:extLst>
        </xdr:cNvPr>
        <xdr:cNvCxnSpPr>
          <a:stCxn id="6" idx="2"/>
          <a:endCxn id="7" idx="0"/>
        </xdr:cNvCxnSpPr>
      </xdr:nvCxnSpPr>
      <xdr:spPr>
        <a:xfrm>
          <a:off x="1190625" y="2844800"/>
          <a:ext cx="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9</xdr:row>
      <xdr:rowOff>53975</xdr:rowOff>
    </xdr:from>
    <xdr:to>
      <xdr:col>2</xdr:col>
      <xdr:colOff>180975</xdr:colOff>
      <xdr:row>9</xdr:row>
      <xdr:rowOff>415925</xdr:rowOff>
    </xdr:to>
    <xdr:sp macro="" textlink="">
      <xdr:nvSpPr>
        <xdr:cNvPr id="30" name="Diagrama de flujo: terminador 29">
          <a:extLst>
            <a:ext uri="{FF2B5EF4-FFF2-40B4-BE49-F238E27FC236}">
              <a16:creationId xmlns:a16="http://schemas.microsoft.com/office/drawing/2014/main" id="{3DBE1E99-5241-496E-B884-A71A74AA0BAE}"/>
            </a:ext>
          </a:extLst>
        </xdr:cNvPr>
        <xdr:cNvSpPr/>
      </xdr:nvSpPr>
      <xdr:spPr>
        <a:xfrm>
          <a:off x="676275" y="3508375"/>
          <a:ext cx="1028700" cy="3619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Fin</a:t>
          </a:r>
        </a:p>
      </xdr:txBody>
    </xdr:sp>
    <xdr:clientData/>
  </xdr:twoCellAnchor>
  <xdr:twoCellAnchor>
    <xdr:from>
      <xdr:col>1</xdr:col>
      <xdr:colOff>428625</xdr:colOff>
      <xdr:row>8</xdr:row>
      <xdr:rowOff>349250</xdr:rowOff>
    </xdr:from>
    <xdr:to>
      <xdr:col>1</xdr:col>
      <xdr:colOff>428625</xdr:colOff>
      <xdr:row>9</xdr:row>
      <xdr:rowOff>53975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30697511-DB81-F99A-0B29-457953F31342}"/>
            </a:ext>
          </a:extLst>
        </xdr:cNvPr>
        <xdr:cNvCxnSpPr>
          <a:stCxn id="7" idx="2"/>
          <a:endCxn id="30" idx="0"/>
        </xdr:cNvCxnSpPr>
      </xdr:nvCxnSpPr>
      <xdr:spPr>
        <a:xfrm>
          <a:off x="1190625" y="3384550"/>
          <a:ext cx="0" cy="123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171450</xdr:rowOff>
    </xdr:from>
    <xdr:to>
      <xdr:col>0</xdr:col>
      <xdr:colOff>1752600</xdr:colOff>
      <xdr:row>3</xdr:row>
      <xdr:rowOff>628650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B370AEB4-4400-0487-7459-49EDEE9FDDED}"/>
            </a:ext>
          </a:extLst>
        </xdr:cNvPr>
        <xdr:cNvSpPr/>
      </xdr:nvSpPr>
      <xdr:spPr>
        <a:xfrm>
          <a:off x="228600" y="571500"/>
          <a:ext cx="1524000" cy="457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Revisión de la</a:t>
          </a:r>
          <a:r>
            <a:rPr lang="es-CO" sz="12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receta</a:t>
          </a:r>
          <a:endParaRPr lang="es-CO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222165</xdr:colOff>
      <xdr:row>4</xdr:row>
      <xdr:rowOff>396961</xdr:rowOff>
    </xdr:from>
    <xdr:to>
      <xdr:col>0</xdr:col>
      <xdr:colOff>1765215</xdr:colOff>
      <xdr:row>4</xdr:row>
      <xdr:rowOff>873211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244B6AC-0436-43ED-A3E4-0EF91550A97B}"/>
            </a:ext>
          </a:extLst>
        </xdr:cNvPr>
        <xdr:cNvSpPr/>
      </xdr:nvSpPr>
      <xdr:spPr>
        <a:xfrm>
          <a:off x="222165" y="2224731"/>
          <a:ext cx="1543050" cy="4762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Elaboración</a:t>
          </a:r>
          <a:r>
            <a:rPr lang="es-CO" sz="12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la l</a:t>
          </a:r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ista</a:t>
          </a:r>
          <a:r>
            <a:rPr lang="es-CO" sz="12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ingredientes</a:t>
          </a:r>
          <a:endParaRPr lang="es-CO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247392</xdr:colOff>
      <xdr:row>5</xdr:row>
      <xdr:rowOff>266700</xdr:rowOff>
    </xdr:from>
    <xdr:to>
      <xdr:col>0</xdr:col>
      <xdr:colOff>1752342</xdr:colOff>
      <xdr:row>5</xdr:row>
      <xdr:rowOff>781050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D102920D-B18F-9F6D-DFDF-0E422E903BA6}"/>
            </a:ext>
          </a:extLst>
        </xdr:cNvPr>
        <xdr:cNvSpPr/>
      </xdr:nvSpPr>
      <xdr:spPr>
        <a:xfrm>
          <a:off x="247392" y="3367617"/>
          <a:ext cx="1504950" cy="5143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Organización del espacio de trabajo</a:t>
          </a:r>
        </a:p>
      </xdr:txBody>
    </xdr:sp>
    <xdr:clientData/>
  </xdr:twoCellAnchor>
  <xdr:twoCellAnchor>
    <xdr:from>
      <xdr:col>0</xdr:col>
      <xdr:colOff>244303</xdr:colOff>
      <xdr:row>7</xdr:row>
      <xdr:rowOff>248164</xdr:rowOff>
    </xdr:from>
    <xdr:to>
      <xdr:col>0</xdr:col>
      <xdr:colOff>1758778</xdr:colOff>
      <xdr:row>7</xdr:row>
      <xdr:rowOff>752990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BCDFD07F-97E5-55FA-E562-26DB4AC5FC2C}"/>
            </a:ext>
          </a:extLst>
        </xdr:cNvPr>
        <xdr:cNvSpPr/>
      </xdr:nvSpPr>
      <xdr:spPr>
        <a:xfrm>
          <a:off x="244303" y="6452286"/>
          <a:ext cx="1514475" cy="504826"/>
        </a:xfrm>
        <a:prstGeom prst="rect">
          <a:avLst/>
        </a:prstGeom>
        <a:solidFill>
          <a:srgbClr val="00206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Preparación</a:t>
          </a:r>
          <a:r>
            <a:rPr lang="es-CO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ingredientes</a:t>
          </a:r>
          <a:endParaRPr lang="es-CO" sz="12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244303</xdr:colOff>
      <xdr:row>8</xdr:row>
      <xdr:rowOff>254084</xdr:rowOff>
    </xdr:from>
    <xdr:to>
      <xdr:col>0</xdr:col>
      <xdr:colOff>1758778</xdr:colOff>
      <xdr:row>8</xdr:row>
      <xdr:rowOff>558884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F3F44A24-0DBE-8A49-623E-A8026E04E0A3}"/>
            </a:ext>
          </a:extLst>
        </xdr:cNvPr>
        <xdr:cNvSpPr/>
      </xdr:nvSpPr>
      <xdr:spPr>
        <a:xfrm>
          <a:off x="244303" y="7430013"/>
          <a:ext cx="1514475" cy="304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Preparación de salsas</a:t>
          </a:r>
        </a:p>
      </xdr:txBody>
    </xdr:sp>
    <xdr:clientData/>
  </xdr:twoCellAnchor>
  <xdr:twoCellAnchor>
    <xdr:from>
      <xdr:col>0</xdr:col>
      <xdr:colOff>244819</xdr:colOff>
      <xdr:row>9</xdr:row>
      <xdr:rowOff>381513</xdr:rowOff>
    </xdr:from>
    <xdr:to>
      <xdr:col>0</xdr:col>
      <xdr:colOff>1759294</xdr:colOff>
      <xdr:row>9</xdr:row>
      <xdr:rowOff>829189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3512F567-CA52-BB8E-50D3-40AD7F25CA52}"/>
            </a:ext>
          </a:extLst>
        </xdr:cNvPr>
        <xdr:cNvSpPr/>
      </xdr:nvSpPr>
      <xdr:spPr>
        <a:xfrm>
          <a:off x="244819" y="8374790"/>
          <a:ext cx="1514475" cy="4476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Etiquetado y almacenamiento</a:t>
          </a:r>
        </a:p>
      </xdr:txBody>
    </xdr:sp>
    <xdr:clientData/>
  </xdr:twoCellAnchor>
  <xdr:twoCellAnchor>
    <xdr:from>
      <xdr:col>0</xdr:col>
      <xdr:colOff>247650</xdr:colOff>
      <xdr:row>10</xdr:row>
      <xdr:rowOff>92934</xdr:rowOff>
    </xdr:from>
    <xdr:to>
      <xdr:col>0</xdr:col>
      <xdr:colOff>1762125</xdr:colOff>
      <xdr:row>10</xdr:row>
      <xdr:rowOff>540610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FDA45160-0113-4816-887F-BF6DCFB44070}"/>
            </a:ext>
          </a:extLst>
        </xdr:cNvPr>
        <xdr:cNvSpPr/>
      </xdr:nvSpPr>
      <xdr:spPr>
        <a:xfrm>
          <a:off x="247650" y="9257529"/>
          <a:ext cx="1514475" cy="44767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Limpieza</a:t>
          </a:r>
          <a:r>
            <a:rPr lang="es-CO" sz="12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y organización final</a:t>
          </a:r>
          <a:endParaRPr lang="es-CO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263353</xdr:colOff>
      <xdr:row>6</xdr:row>
      <xdr:rowOff>266700</xdr:rowOff>
    </xdr:from>
    <xdr:to>
      <xdr:col>0</xdr:col>
      <xdr:colOff>1739728</xdr:colOff>
      <xdr:row>6</xdr:row>
      <xdr:rowOff>762000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229E61AA-2D4F-59C6-5897-12699526FF71}"/>
            </a:ext>
          </a:extLst>
        </xdr:cNvPr>
        <xdr:cNvSpPr/>
      </xdr:nvSpPr>
      <xdr:spPr>
        <a:xfrm>
          <a:off x="263353" y="5402477"/>
          <a:ext cx="1476375" cy="495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Preparación del espacio de trabajo</a:t>
          </a:r>
        </a:p>
      </xdr:txBody>
    </xdr:sp>
    <xdr:clientData/>
  </xdr:twoCellAnchor>
  <xdr:twoCellAnchor>
    <xdr:from>
      <xdr:col>0</xdr:col>
      <xdr:colOff>485775</xdr:colOff>
      <xdr:row>2</xdr:row>
      <xdr:rowOff>142875</xdr:rowOff>
    </xdr:from>
    <xdr:to>
      <xdr:col>0</xdr:col>
      <xdr:colOff>1495425</xdr:colOff>
      <xdr:row>2</xdr:row>
      <xdr:rowOff>533400</xdr:rowOff>
    </xdr:to>
    <xdr:sp macro="" textlink="">
      <xdr:nvSpPr>
        <xdr:cNvPr id="2" name="Diagrama de flujo: terminador 1">
          <a:extLst>
            <a:ext uri="{FF2B5EF4-FFF2-40B4-BE49-F238E27FC236}">
              <a16:creationId xmlns:a16="http://schemas.microsoft.com/office/drawing/2014/main" id="{1B9D0BA6-7433-EEC1-DC36-2CF98A30F16A}"/>
            </a:ext>
          </a:extLst>
        </xdr:cNvPr>
        <xdr:cNvSpPr/>
      </xdr:nvSpPr>
      <xdr:spPr>
        <a:xfrm>
          <a:off x="485775" y="542925"/>
          <a:ext cx="1009650" cy="390525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Inicio</a:t>
          </a:r>
        </a:p>
      </xdr:txBody>
    </xdr:sp>
    <xdr:clientData/>
  </xdr:twoCellAnchor>
  <xdr:twoCellAnchor>
    <xdr:from>
      <xdr:col>0</xdr:col>
      <xdr:colOff>501994</xdr:colOff>
      <xdr:row>11</xdr:row>
      <xdr:rowOff>105288</xdr:rowOff>
    </xdr:from>
    <xdr:to>
      <xdr:col>0</xdr:col>
      <xdr:colOff>1511644</xdr:colOff>
      <xdr:row>11</xdr:row>
      <xdr:rowOff>495813</xdr:rowOff>
    </xdr:to>
    <xdr:sp macro="" textlink="">
      <xdr:nvSpPr>
        <xdr:cNvPr id="3" name="Diagrama de flujo: terminador 2">
          <a:extLst>
            <a:ext uri="{FF2B5EF4-FFF2-40B4-BE49-F238E27FC236}">
              <a16:creationId xmlns:a16="http://schemas.microsoft.com/office/drawing/2014/main" id="{CFCD2FEE-73A6-49AD-8940-A6A733A2344B}"/>
            </a:ext>
          </a:extLst>
        </xdr:cNvPr>
        <xdr:cNvSpPr/>
      </xdr:nvSpPr>
      <xdr:spPr>
        <a:xfrm>
          <a:off x="501994" y="9926335"/>
          <a:ext cx="1009650" cy="390525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Fin</a:t>
          </a:r>
        </a:p>
      </xdr:txBody>
    </xdr:sp>
    <xdr:clientData/>
  </xdr:twoCellAnchor>
  <xdr:twoCellAnchor>
    <xdr:from>
      <xdr:col>0</xdr:col>
      <xdr:colOff>990600</xdr:colOff>
      <xdr:row>2</xdr:row>
      <xdr:rowOff>533400</xdr:rowOff>
    </xdr:from>
    <xdr:to>
      <xdr:col>0</xdr:col>
      <xdr:colOff>990600</xdr:colOff>
      <xdr:row>3</xdr:row>
      <xdr:rowOff>171450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7625E71B-A4E3-32BA-975D-E6DCAF4DC6FC}"/>
            </a:ext>
          </a:extLst>
        </xdr:cNvPr>
        <xdr:cNvCxnSpPr>
          <a:stCxn id="2" idx="2"/>
          <a:endCxn id="18" idx="0"/>
        </xdr:cNvCxnSpPr>
      </xdr:nvCxnSpPr>
      <xdr:spPr>
        <a:xfrm>
          <a:off x="990600" y="933450"/>
          <a:ext cx="0" cy="285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990600</xdr:colOff>
      <xdr:row>3</xdr:row>
      <xdr:rowOff>628650</xdr:rowOff>
    </xdr:from>
    <xdr:to>
      <xdr:col>0</xdr:col>
      <xdr:colOff>993690</xdr:colOff>
      <xdr:row>4</xdr:row>
      <xdr:rowOff>396961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348A7082-5E40-5473-4AD0-863A6D240A6D}"/>
            </a:ext>
          </a:extLst>
        </xdr:cNvPr>
        <xdr:cNvCxnSpPr>
          <a:stCxn id="18" idx="2"/>
          <a:endCxn id="19" idx="0"/>
        </xdr:cNvCxnSpPr>
      </xdr:nvCxnSpPr>
      <xdr:spPr>
        <a:xfrm>
          <a:off x="990600" y="1677687"/>
          <a:ext cx="3090" cy="54704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993690</xdr:colOff>
      <xdr:row>4</xdr:row>
      <xdr:rowOff>873211</xdr:rowOff>
    </xdr:from>
    <xdr:to>
      <xdr:col>0</xdr:col>
      <xdr:colOff>999867</xdr:colOff>
      <xdr:row>5</xdr:row>
      <xdr:rowOff>266700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16CE588E-6180-EC2E-7B20-95F0B403F3DA}"/>
            </a:ext>
          </a:extLst>
        </xdr:cNvPr>
        <xdr:cNvCxnSpPr>
          <a:cxnSpLocks/>
          <a:stCxn id="19" idx="2"/>
          <a:endCxn id="21" idx="0"/>
        </xdr:cNvCxnSpPr>
      </xdr:nvCxnSpPr>
      <xdr:spPr>
        <a:xfrm>
          <a:off x="993690" y="2704128"/>
          <a:ext cx="6177" cy="66348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999867</xdr:colOff>
      <xdr:row>5</xdr:row>
      <xdr:rowOff>781050</xdr:rowOff>
    </xdr:from>
    <xdr:to>
      <xdr:col>0</xdr:col>
      <xdr:colOff>1001541</xdr:colOff>
      <xdr:row>6</xdr:row>
      <xdr:rowOff>266700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9C29E1E1-ECF9-4150-733A-D18C76928615}"/>
            </a:ext>
          </a:extLst>
        </xdr:cNvPr>
        <xdr:cNvCxnSpPr>
          <a:stCxn id="21" idx="2"/>
          <a:endCxn id="25" idx="0"/>
        </xdr:cNvCxnSpPr>
      </xdr:nvCxnSpPr>
      <xdr:spPr>
        <a:xfrm>
          <a:off x="999867" y="3881967"/>
          <a:ext cx="1674" cy="55456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1001541</xdr:colOff>
      <xdr:row>6</xdr:row>
      <xdr:rowOff>762000</xdr:rowOff>
    </xdr:from>
    <xdr:to>
      <xdr:col>0</xdr:col>
      <xdr:colOff>1001541</xdr:colOff>
      <xdr:row>7</xdr:row>
      <xdr:rowOff>248164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8F1A514A-5FFE-1675-5754-AA20AEF0A391}"/>
            </a:ext>
          </a:extLst>
        </xdr:cNvPr>
        <xdr:cNvCxnSpPr>
          <a:stCxn id="25" idx="2"/>
          <a:endCxn id="22" idx="0"/>
        </xdr:cNvCxnSpPr>
      </xdr:nvCxnSpPr>
      <xdr:spPr>
        <a:xfrm>
          <a:off x="1001541" y="5897777"/>
          <a:ext cx="0" cy="55450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1001541</xdr:colOff>
      <xdr:row>7</xdr:row>
      <xdr:rowOff>752990</xdr:rowOff>
    </xdr:from>
    <xdr:to>
      <xdr:col>0</xdr:col>
      <xdr:colOff>1001541</xdr:colOff>
      <xdr:row>8</xdr:row>
      <xdr:rowOff>254084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AC8F35C9-B4AB-DBA6-EC3B-FDC751D831F4}"/>
            </a:ext>
          </a:extLst>
        </xdr:cNvPr>
        <xdr:cNvCxnSpPr>
          <a:stCxn id="22" idx="2"/>
          <a:endCxn id="23" idx="0"/>
        </xdr:cNvCxnSpPr>
      </xdr:nvCxnSpPr>
      <xdr:spPr>
        <a:xfrm>
          <a:off x="1001541" y="6957112"/>
          <a:ext cx="0" cy="4729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1001541</xdr:colOff>
      <xdr:row>8</xdr:row>
      <xdr:rowOff>558884</xdr:rowOff>
    </xdr:from>
    <xdr:to>
      <xdr:col>0</xdr:col>
      <xdr:colOff>1002057</xdr:colOff>
      <xdr:row>9</xdr:row>
      <xdr:rowOff>381513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5D248939-D551-1187-E8D7-5E093EFF96FF}"/>
            </a:ext>
          </a:extLst>
        </xdr:cNvPr>
        <xdr:cNvCxnSpPr>
          <a:stCxn id="23" idx="2"/>
          <a:endCxn id="24" idx="0"/>
        </xdr:cNvCxnSpPr>
      </xdr:nvCxnSpPr>
      <xdr:spPr>
        <a:xfrm>
          <a:off x="1001541" y="7734813"/>
          <a:ext cx="516" cy="63997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1002057</xdr:colOff>
      <xdr:row>9</xdr:row>
      <xdr:rowOff>829189</xdr:rowOff>
    </xdr:from>
    <xdr:to>
      <xdr:col>0</xdr:col>
      <xdr:colOff>1004888</xdr:colOff>
      <xdr:row>10</xdr:row>
      <xdr:rowOff>92934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AAE779B8-EDD0-C69F-CD3F-3AB3DBCD3163}"/>
            </a:ext>
          </a:extLst>
        </xdr:cNvPr>
        <xdr:cNvCxnSpPr>
          <a:stCxn id="24" idx="2"/>
          <a:endCxn id="27" idx="0"/>
        </xdr:cNvCxnSpPr>
      </xdr:nvCxnSpPr>
      <xdr:spPr>
        <a:xfrm>
          <a:off x="1002057" y="8822466"/>
          <a:ext cx="2831" cy="4350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1004888</xdr:colOff>
      <xdr:row>10</xdr:row>
      <xdr:rowOff>540610</xdr:rowOff>
    </xdr:from>
    <xdr:to>
      <xdr:col>0</xdr:col>
      <xdr:colOff>1006819</xdr:colOff>
      <xdr:row>11</xdr:row>
      <xdr:rowOff>105288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37EED421-0F37-6703-20D5-8B359ECAC250}"/>
            </a:ext>
          </a:extLst>
        </xdr:cNvPr>
        <xdr:cNvCxnSpPr>
          <a:stCxn id="27" idx="2"/>
          <a:endCxn id="3" idx="0"/>
        </xdr:cNvCxnSpPr>
      </xdr:nvCxnSpPr>
      <xdr:spPr>
        <a:xfrm>
          <a:off x="1004888" y="9705205"/>
          <a:ext cx="1931" cy="22113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244303</xdr:colOff>
      <xdr:row>4</xdr:row>
      <xdr:rowOff>200025</xdr:rowOff>
    </xdr:from>
    <xdr:to>
      <xdr:col>8</xdr:col>
      <xdr:colOff>1749253</xdr:colOff>
      <xdr:row>4</xdr:row>
      <xdr:rowOff>695325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EBCE7AD2-AFE1-45B6-8013-1DA33579869F}"/>
            </a:ext>
          </a:extLst>
        </xdr:cNvPr>
        <xdr:cNvSpPr/>
      </xdr:nvSpPr>
      <xdr:spPr>
        <a:xfrm>
          <a:off x="244303" y="3300942"/>
          <a:ext cx="1504950" cy="4953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Compra</a:t>
          </a:r>
          <a:r>
            <a:rPr lang="es-CO" sz="12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ingredientes</a:t>
          </a:r>
          <a:endParaRPr lang="es-CO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993690</xdr:colOff>
      <xdr:row>3</xdr:row>
      <xdr:rowOff>873211</xdr:rowOff>
    </xdr:from>
    <xdr:to>
      <xdr:col>8</xdr:col>
      <xdr:colOff>996778</xdr:colOff>
      <xdr:row>4</xdr:row>
      <xdr:rowOff>200025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66937C8A-220F-4738-853E-3631ED3B2DF8}"/>
            </a:ext>
          </a:extLst>
        </xdr:cNvPr>
        <xdr:cNvCxnSpPr>
          <a:endCxn id="17" idx="0"/>
        </xdr:cNvCxnSpPr>
      </xdr:nvCxnSpPr>
      <xdr:spPr>
        <a:xfrm>
          <a:off x="993690" y="2704128"/>
          <a:ext cx="3088" cy="59681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996778</xdr:colOff>
      <xdr:row>4</xdr:row>
      <xdr:rowOff>695325</xdr:rowOff>
    </xdr:from>
    <xdr:to>
      <xdr:col>8</xdr:col>
      <xdr:colOff>999867</xdr:colOff>
      <xdr:row>5</xdr:row>
      <xdr:rowOff>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EA01B2FC-82AD-4D9A-A46E-74AB44524DDF}"/>
            </a:ext>
          </a:extLst>
        </xdr:cNvPr>
        <xdr:cNvCxnSpPr>
          <a:stCxn id="17" idx="2"/>
        </xdr:cNvCxnSpPr>
      </xdr:nvCxnSpPr>
      <xdr:spPr>
        <a:xfrm>
          <a:off x="996778" y="3796242"/>
          <a:ext cx="3089" cy="54504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152400</xdr:rowOff>
    </xdr:from>
    <xdr:to>
      <xdr:col>0</xdr:col>
      <xdr:colOff>1428750</xdr:colOff>
      <xdr:row>4</xdr:row>
      <xdr:rowOff>447675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3A232A5-0FB0-EAA4-5C44-8908BA4845A8}"/>
            </a:ext>
          </a:extLst>
        </xdr:cNvPr>
        <xdr:cNvSpPr/>
      </xdr:nvSpPr>
      <xdr:spPr>
        <a:xfrm>
          <a:off x="228600" y="1066800"/>
          <a:ext cx="12001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228600</xdr:colOff>
      <xdr:row>5</xdr:row>
      <xdr:rowOff>285750</xdr:rowOff>
    </xdr:from>
    <xdr:to>
      <xdr:col>0</xdr:col>
      <xdr:colOff>1428750</xdr:colOff>
      <xdr:row>5</xdr:row>
      <xdr:rowOff>581025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425E9D2-6AEE-4F41-8DC8-C24023B731E7}"/>
            </a:ext>
          </a:extLst>
        </xdr:cNvPr>
        <xdr:cNvSpPr/>
      </xdr:nvSpPr>
      <xdr:spPr>
        <a:xfrm>
          <a:off x="228600" y="1771650"/>
          <a:ext cx="12001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228600</xdr:colOff>
      <xdr:row>6</xdr:row>
      <xdr:rowOff>190500</xdr:rowOff>
    </xdr:from>
    <xdr:to>
      <xdr:col>0</xdr:col>
      <xdr:colOff>1428750</xdr:colOff>
      <xdr:row>6</xdr:row>
      <xdr:rowOff>485775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6327C70-976B-4BC8-AD8D-A909DFE34A87}"/>
            </a:ext>
          </a:extLst>
        </xdr:cNvPr>
        <xdr:cNvSpPr/>
      </xdr:nvSpPr>
      <xdr:spPr>
        <a:xfrm>
          <a:off x="228600" y="2533650"/>
          <a:ext cx="12001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44450</xdr:colOff>
      <xdr:row>7</xdr:row>
      <xdr:rowOff>114300</xdr:rowOff>
    </xdr:from>
    <xdr:to>
      <xdr:col>0</xdr:col>
      <xdr:colOff>1619250</xdr:colOff>
      <xdr:row>7</xdr:row>
      <xdr:rowOff>409575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444507F-004D-443A-8E5D-719061D16860}"/>
            </a:ext>
          </a:extLst>
        </xdr:cNvPr>
        <xdr:cNvSpPr/>
      </xdr:nvSpPr>
      <xdr:spPr>
        <a:xfrm>
          <a:off x="44450" y="3302000"/>
          <a:ext cx="157480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133350</xdr:colOff>
      <xdr:row>8</xdr:row>
      <xdr:rowOff>266700</xdr:rowOff>
    </xdr:from>
    <xdr:to>
      <xdr:col>0</xdr:col>
      <xdr:colOff>1524000</xdr:colOff>
      <xdr:row>8</xdr:row>
      <xdr:rowOff>561975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5BA15B4-018E-4C5A-9E8B-83ECB797DBB0}"/>
            </a:ext>
          </a:extLst>
        </xdr:cNvPr>
        <xdr:cNvSpPr/>
      </xdr:nvSpPr>
      <xdr:spPr>
        <a:xfrm>
          <a:off x="133350" y="3276600"/>
          <a:ext cx="13906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133350</xdr:colOff>
      <xdr:row>9</xdr:row>
      <xdr:rowOff>381000</xdr:rowOff>
    </xdr:from>
    <xdr:to>
      <xdr:col>0</xdr:col>
      <xdr:colOff>1524000</xdr:colOff>
      <xdr:row>9</xdr:row>
      <xdr:rowOff>676275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88F6039-3F65-4797-9A6C-F34907390AA4}"/>
            </a:ext>
          </a:extLst>
        </xdr:cNvPr>
        <xdr:cNvSpPr/>
      </xdr:nvSpPr>
      <xdr:spPr>
        <a:xfrm>
          <a:off x="133350" y="4733925"/>
          <a:ext cx="13906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133350</xdr:colOff>
      <xdr:row>10</xdr:row>
      <xdr:rowOff>200025</xdr:rowOff>
    </xdr:from>
    <xdr:to>
      <xdr:col>0</xdr:col>
      <xdr:colOff>1524000</xdr:colOff>
      <xdr:row>10</xdr:row>
      <xdr:rowOff>495300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5D7A91A4-9EF3-4ECC-9125-A38BBBD48A5F}"/>
            </a:ext>
          </a:extLst>
        </xdr:cNvPr>
        <xdr:cNvSpPr/>
      </xdr:nvSpPr>
      <xdr:spPr>
        <a:xfrm>
          <a:off x="133350" y="5038725"/>
          <a:ext cx="13906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133350</xdr:colOff>
      <xdr:row>11</xdr:row>
      <xdr:rowOff>104775</xdr:rowOff>
    </xdr:from>
    <xdr:to>
      <xdr:col>0</xdr:col>
      <xdr:colOff>1524000</xdr:colOff>
      <xdr:row>11</xdr:row>
      <xdr:rowOff>400050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218FDDC-7F87-489F-B6C7-D05B00B0761C}"/>
            </a:ext>
          </a:extLst>
        </xdr:cNvPr>
        <xdr:cNvSpPr/>
      </xdr:nvSpPr>
      <xdr:spPr>
        <a:xfrm>
          <a:off x="133350" y="5572125"/>
          <a:ext cx="1390650" cy="2952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41701</xdr:colOff>
      <xdr:row>12</xdr:row>
      <xdr:rowOff>177800</xdr:rowOff>
    </xdr:from>
    <xdr:to>
      <xdr:col>0</xdr:col>
      <xdr:colOff>1616501</xdr:colOff>
      <xdr:row>12</xdr:row>
      <xdr:rowOff>444500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FD4C85A-5CC5-4F7E-BE7F-EAFF471F5EF2}"/>
            </a:ext>
          </a:extLst>
        </xdr:cNvPr>
        <xdr:cNvSpPr/>
      </xdr:nvSpPr>
      <xdr:spPr>
        <a:xfrm>
          <a:off x="41701" y="6777952"/>
          <a:ext cx="157480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266700</xdr:colOff>
      <xdr:row>3</xdr:row>
      <xdr:rowOff>57150</xdr:rowOff>
    </xdr:from>
    <xdr:to>
      <xdr:col>0</xdr:col>
      <xdr:colOff>1381125</xdr:colOff>
      <xdr:row>3</xdr:row>
      <xdr:rowOff>457200</xdr:rowOff>
    </xdr:to>
    <xdr:sp macro="" textlink="">
      <xdr:nvSpPr>
        <xdr:cNvPr id="11" name="Diagrama de flujo: terminador 10">
          <a:extLst>
            <a:ext uri="{FF2B5EF4-FFF2-40B4-BE49-F238E27FC236}">
              <a16:creationId xmlns:a16="http://schemas.microsoft.com/office/drawing/2014/main" id="{C613DFD4-8C51-89C6-2271-D1BFBD5CBCD8}"/>
            </a:ext>
          </a:extLst>
        </xdr:cNvPr>
        <xdr:cNvSpPr/>
      </xdr:nvSpPr>
      <xdr:spPr>
        <a:xfrm>
          <a:off x="266700" y="457200"/>
          <a:ext cx="1114425" cy="4000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Inicio</a:t>
          </a:r>
        </a:p>
      </xdr:txBody>
    </xdr:sp>
    <xdr:clientData/>
  </xdr:twoCellAnchor>
  <xdr:twoCellAnchor>
    <xdr:from>
      <xdr:col>0</xdr:col>
      <xdr:colOff>342900</xdr:colOff>
      <xdr:row>13</xdr:row>
      <xdr:rowOff>133350</xdr:rowOff>
    </xdr:from>
    <xdr:to>
      <xdr:col>0</xdr:col>
      <xdr:colOff>1314450</xdr:colOff>
      <xdr:row>13</xdr:row>
      <xdr:rowOff>514350</xdr:rowOff>
    </xdr:to>
    <xdr:sp macro="" textlink="">
      <xdr:nvSpPr>
        <xdr:cNvPr id="13" name="Diagrama de flujo: terminador 12">
          <a:extLst>
            <a:ext uri="{FF2B5EF4-FFF2-40B4-BE49-F238E27FC236}">
              <a16:creationId xmlns:a16="http://schemas.microsoft.com/office/drawing/2014/main" id="{8860D9FF-1AD4-58BE-A5FC-3126B777A1B1}"/>
            </a:ext>
          </a:extLst>
        </xdr:cNvPr>
        <xdr:cNvSpPr/>
      </xdr:nvSpPr>
      <xdr:spPr>
        <a:xfrm>
          <a:off x="342900" y="7191375"/>
          <a:ext cx="971550" cy="38100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Fin</a:t>
          </a:r>
        </a:p>
      </xdr:txBody>
    </xdr:sp>
    <xdr:clientData/>
  </xdr:twoCellAnchor>
  <xdr:twoCellAnchor>
    <xdr:from>
      <xdr:col>0</xdr:col>
      <xdr:colOff>823913</xdr:colOff>
      <xdr:row>3</xdr:row>
      <xdr:rowOff>457200</xdr:rowOff>
    </xdr:from>
    <xdr:to>
      <xdr:col>0</xdr:col>
      <xdr:colOff>828675</xdr:colOff>
      <xdr:row>4</xdr:row>
      <xdr:rowOff>152400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FECC9867-069D-E1EE-5017-156BEE2F52B0}"/>
            </a:ext>
          </a:extLst>
        </xdr:cNvPr>
        <xdr:cNvCxnSpPr>
          <a:stCxn id="11" idx="2"/>
          <a:endCxn id="2" idx="0"/>
        </xdr:cNvCxnSpPr>
      </xdr:nvCxnSpPr>
      <xdr:spPr>
        <a:xfrm>
          <a:off x="823913" y="857250"/>
          <a:ext cx="4762" cy="2095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4</xdr:row>
      <xdr:rowOff>447675</xdr:rowOff>
    </xdr:from>
    <xdr:to>
      <xdr:col>0</xdr:col>
      <xdr:colOff>828675</xdr:colOff>
      <xdr:row>5</xdr:row>
      <xdr:rowOff>285750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768647BB-A525-C227-54B6-CCC16DE29673}"/>
            </a:ext>
          </a:extLst>
        </xdr:cNvPr>
        <xdr:cNvCxnSpPr>
          <a:stCxn id="2" idx="2"/>
          <a:endCxn id="3" idx="0"/>
        </xdr:cNvCxnSpPr>
      </xdr:nvCxnSpPr>
      <xdr:spPr>
        <a:xfrm>
          <a:off x="828675" y="1362075"/>
          <a:ext cx="0" cy="4095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5</xdr:row>
      <xdr:rowOff>581025</xdr:rowOff>
    </xdr:from>
    <xdr:to>
      <xdr:col>0</xdr:col>
      <xdr:colOff>828675</xdr:colOff>
      <xdr:row>6</xdr:row>
      <xdr:rowOff>190500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C131C7F-B927-17F4-89EC-3C2F9C6A9F1D}"/>
            </a:ext>
          </a:extLst>
        </xdr:cNvPr>
        <xdr:cNvCxnSpPr>
          <a:stCxn id="3" idx="2"/>
          <a:endCxn id="4" idx="0"/>
        </xdr:cNvCxnSpPr>
      </xdr:nvCxnSpPr>
      <xdr:spPr>
        <a:xfrm>
          <a:off x="828675" y="2066925"/>
          <a:ext cx="0" cy="466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6</xdr:row>
      <xdr:rowOff>485775</xdr:rowOff>
    </xdr:from>
    <xdr:to>
      <xdr:col>0</xdr:col>
      <xdr:colOff>831850</xdr:colOff>
      <xdr:row>7</xdr:row>
      <xdr:rowOff>114300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BD1BD54-A3F0-383F-B7B0-F41CC37CEE08}"/>
            </a:ext>
          </a:extLst>
        </xdr:cNvPr>
        <xdr:cNvCxnSpPr>
          <a:stCxn id="4" idx="2"/>
          <a:endCxn id="5" idx="0"/>
        </xdr:cNvCxnSpPr>
      </xdr:nvCxnSpPr>
      <xdr:spPr>
        <a:xfrm>
          <a:off x="828675" y="3000375"/>
          <a:ext cx="3175" cy="3016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7</xdr:row>
      <xdr:rowOff>409575</xdr:rowOff>
    </xdr:from>
    <xdr:to>
      <xdr:col>0</xdr:col>
      <xdr:colOff>831850</xdr:colOff>
      <xdr:row>8</xdr:row>
      <xdr:rowOff>266700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D0A70A92-EA78-A906-B9CD-45FC033E6532}"/>
            </a:ext>
          </a:extLst>
        </xdr:cNvPr>
        <xdr:cNvCxnSpPr>
          <a:stCxn id="5" idx="2"/>
          <a:endCxn id="6" idx="0"/>
        </xdr:cNvCxnSpPr>
      </xdr:nvCxnSpPr>
      <xdr:spPr>
        <a:xfrm flipH="1">
          <a:off x="828675" y="3597275"/>
          <a:ext cx="3175" cy="3587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8</xdr:row>
      <xdr:rowOff>561975</xdr:rowOff>
    </xdr:from>
    <xdr:to>
      <xdr:col>0</xdr:col>
      <xdr:colOff>828675</xdr:colOff>
      <xdr:row>9</xdr:row>
      <xdr:rowOff>381000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A9B6DAC4-FACF-1A92-17A4-018023F767B7}"/>
            </a:ext>
          </a:extLst>
        </xdr:cNvPr>
        <xdr:cNvCxnSpPr>
          <a:stCxn id="6" idx="2"/>
          <a:endCxn id="7" idx="0"/>
        </xdr:cNvCxnSpPr>
      </xdr:nvCxnSpPr>
      <xdr:spPr>
        <a:xfrm>
          <a:off x="828675" y="4086225"/>
          <a:ext cx="0" cy="647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9</xdr:row>
      <xdr:rowOff>676275</xdr:rowOff>
    </xdr:from>
    <xdr:to>
      <xdr:col>0</xdr:col>
      <xdr:colOff>828675</xdr:colOff>
      <xdr:row>10</xdr:row>
      <xdr:rowOff>200025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252F9609-08FA-7AF4-B35B-90338B8B7901}"/>
            </a:ext>
          </a:extLst>
        </xdr:cNvPr>
        <xdr:cNvCxnSpPr>
          <a:stCxn id="7" idx="2"/>
          <a:endCxn id="8" idx="0"/>
        </xdr:cNvCxnSpPr>
      </xdr:nvCxnSpPr>
      <xdr:spPr>
        <a:xfrm>
          <a:off x="828675" y="5029200"/>
          <a:ext cx="0" cy="5238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10</xdr:row>
      <xdr:rowOff>495300</xdr:rowOff>
    </xdr:from>
    <xdr:to>
      <xdr:col>0</xdr:col>
      <xdr:colOff>828675</xdr:colOff>
      <xdr:row>11</xdr:row>
      <xdr:rowOff>104775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301FC685-B562-AC9D-9DA0-801EE058B924}"/>
            </a:ext>
          </a:extLst>
        </xdr:cNvPr>
        <xdr:cNvCxnSpPr>
          <a:stCxn id="8" idx="2"/>
          <a:endCxn id="9" idx="0"/>
        </xdr:cNvCxnSpPr>
      </xdr:nvCxnSpPr>
      <xdr:spPr>
        <a:xfrm>
          <a:off x="828675" y="5848350"/>
          <a:ext cx="0" cy="2381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11</xdr:row>
      <xdr:rowOff>400050</xdr:rowOff>
    </xdr:from>
    <xdr:to>
      <xdr:col>0</xdr:col>
      <xdr:colOff>829101</xdr:colOff>
      <xdr:row>12</xdr:row>
      <xdr:rowOff>177800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50327038-7BF9-6935-6304-F294E7A8088A}"/>
            </a:ext>
          </a:extLst>
        </xdr:cNvPr>
        <xdr:cNvCxnSpPr>
          <a:stCxn id="9" idx="2"/>
          <a:endCxn id="10" idx="0"/>
        </xdr:cNvCxnSpPr>
      </xdr:nvCxnSpPr>
      <xdr:spPr>
        <a:xfrm>
          <a:off x="828675" y="6524639"/>
          <a:ext cx="426" cy="25331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828675</xdr:colOff>
      <xdr:row>12</xdr:row>
      <xdr:rowOff>444500</xdr:rowOff>
    </xdr:from>
    <xdr:to>
      <xdr:col>0</xdr:col>
      <xdr:colOff>829101</xdr:colOff>
      <xdr:row>13</xdr:row>
      <xdr:rowOff>133350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2137EA2E-762F-9F52-AD92-F043B7E8F94B}"/>
            </a:ext>
          </a:extLst>
        </xdr:cNvPr>
        <xdr:cNvCxnSpPr>
          <a:stCxn id="10" idx="2"/>
          <a:endCxn id="13" idx="0"/>
        </xdr:cNvCxnSpPr>
      </xdr:nvCxnSpPr>
      <xdr:spPr>
        <a:xfrm flipH="1">
          <a:off x="828675" y="7044652"/>
          <a:ext cx="426" cy="27986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</xdr:row>
      <xdr:rowOff>104775</xdr:rowOff>
    </xdr:from>
    <xdr:to>
      <xdr:col>0</xdr:col>
      <xdr:colOff>1695450</xdr:colOff>
      <xdr:row>3</xdr:row>
      <xdr:rowOff>504825</xdr:rowOff>
    </xdr:to>
    <xdr:sp macro="" textlink="">
      <xdr:nvSpPr>
        <xdr:cNvPr id="2" name="Diagrama de flujo: terminador 1">
          <a:extLst>
            <a:ext uri="{FF2B5EF4-FFF2-40B4-BE49-F238E27FC236}">
              <a16:creationId xmlns:a16="http://schemas.microsoft.com/office/drawing/2014/main" id="{39483FBA-BDAC-A9B4-61C9-5260EA785398}"/>
            </a:ext>
          </a:extLst>
        </xdr:cNvPr>
        <xdr:cNvSpPr/>
      </xdr:nvSpPr>
      <xdr:spPr>
        <a:xfrm>
          <a:off x="581025" y="504825"/>
          <a:ext cx="1114425" cy="4000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INICIO</a:t>
          </a:r>
        </a:p>
      </xdr:txBody>
    </xdr:sp>
    <xdr:clientData/>
  </xdr:twoCellAnchor>
  <xdr:twoCellAnchor>
    <xdr:from>
      <xdr:col>0</xdr:col>
      <xdr:colOff>466724</xdr:colOff>
      <xdr:row>4</xdr:row>
      <xdr:rowOff>57150</xdr:rowOff>
    </xdr:from>
    <xdr:to>
      <xdr:col>0</xdr:col>
      <xdr:colOff>1809749</xdr:colOff>
      <xdr:row>4</xdr:row>
      <xdr:rowOff>504825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7F5248D-D51C-5C05-89E1-609F0F501F69}"/>
            </a:ext>
          </a:extLst>
        </xdr:cNvPr>
        <xdr:cNvSpPr/>
      </xdr:nvSpPr>
      <xdr:spPr>
        <a:xfrm>
          <a:off x="466724" y="1276350"/>
          <a:ext cx="1343025" cy="4476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Picado la pechuga en cuadros</a:t>
          </a:r>
          <a:endParaRPr lang="es-CO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es-CO" sz="1100"/>
        </a:p>
      </xdr:txBody>
    </xdr:sp>
    <xdr:clientData/>
  </xdr:twoCellAnchor>
  <xdr:twoCellAnchor>
    <xdr:from>
      <xdr:col>0</xdr:col>
      <xdr:colOff>466519</xdr:colOff>
      <xdr:row>5</xdr:row>
      <xdr:rowOff>104775</xdr:rowOff>
    </xdr:from>
    <xdr:to>
      <xdr:col>0</xdr:col>
      <xdr:colOff>1809544</xdr:colOff>
      <xdr:row>5</xdr:row>
      <xdr:rowOff>533400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EDFF4A2-0171-ABA7-0EA8-E588F8797AD6}"/>
            </a:ext>
          </a:extLst>
        </xdr:cNvPr>
        <xdr:cNvSpPr/>
      </xdr:nvSpPr>
      <xdr:spPr>
        <a:xfrm>
          <a:off x="466519" y="1916596"/>
          <a:ext cx="13430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Condimentado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</a:t>
          </a:r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la pechuga</a:t>
          </a:r>
        </a:p>
      </xdr:txBody>
    </xdr:sp>
    <xdr:clientData/>
  </xdr:twoCellAnchor>
  <xdr:twoCellAnchor>
    <xdr:from>
      <xdr:col>0</xdr:col>
      <xdr:colOff>456167</xdr:colOff>
      <xdr:row>6</xdr:row>
      <xdr:rowOff>257175</xdr:rowOff>
    </xdr:from>
    <xdr:to>
      <xdr:col>0</xdr:col>
      <xdr:colOff>1818242</xdr:colOff>
      <xdr:row>6</xdr:row>
      <xdr:rowOff>685800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9EB95F6-7EF1-4FDD-84CF-66761EBEC138}"/>
            </a:ext>
          </a:extLst>
        </xdr:cNvPr>
        <xdr:cNvSpPr/>
      </xdr:nvSpPr>
      <xdr:spPr>
        <a:xfrm>
          <a:off x="456167" y="2716074"/>
          <a:ext cx="136207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Cocción de la pechugas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489917</xdr:colOff>
      <xdr:row>7</xdr:row>
      <xdr:rowOff>276225</xdr:rowOff>
    </xdr:from>
    <xdr:to>
      <xdr:col>0</xdr:col>
      <xdr:colOff>1785317</xdr:colOff>
      <xdr:row>7</xdr:row>
      <xdr:rowOff>561975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2CF5AFBC-E08D-4036-8B1E-A5EA321C1E24}"/>
            </a:ext>
          </a:extLst>
        </xdr:cNvPr>
        <xdr:cNvSpPr/>
      </xdr:nvSpPr>
      <xdr:spPr>
        <a:xfrm>
          <a:off x="489917" y="3734214"/>
          <a:ext cx="1295400" cy="2857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Reposo</a:t>
          </a:r>
          <a:r>
            <a:rPr lang="es-C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la pechuga</a:t>
          </a:r>
        </a:p>
        <a:p>
          <a:pPr algn="ctr"/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470867</xdr:colOff>
      <xdr:row>8</xdr:row>
      <xdr:rowOff>133351</xdr:rowOff>
    </xdr:from>
    <xdr:to>
      <xdr:col>0</xdr:col>
      <xdr:colOff>1804367</xdr:colOff>
      <xdr:row>8</xdr:row>
      <xdr:rowOff>400051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B14AA57-BE0E-21CE-F39A-44C460A5C035}"/>
            </a:ext>
          </a:extLst>
        </xdr:cNvPr>
        <xdr:cNvSpPr/>
      </xdr:nvSpPr>
      <xdr:spPr>
        <a:xfrm>
          <a:off x="470867" y="4393718"/>
          <a:ext cx="133350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US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Pesado y envasado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405017</xdr:colOff>
      <xdr:row>9</xdr:row>
      <xdr:rowOff>57150</xdr:rowOff>
    </xdr:from>
    <xdr:to>
      <xdr:col>0</xdr:col>
      <xdr:colOff>1871867</xdr:colOff>
      <xdr:row>9</xdr:row>
      <xdr:rowOff>504825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2AF2392-3399-4AA6-8F74-FDD278A98710}"/>
            </a:ext>
          </a:extLst>
        </xdr:cNvPr>
        <xdr:cNvSpPr/>
      </xdr:nvSpPr>
      <xdr:spPr>
        <a:xfrm>
          <a:off x="405017" y="4850710"/>
          <a:ext cx="1466850" cy="4476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US" sz="11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Congelado/refrigerar do de las porciones</a:t>
          </a:r>
          <a:endParaRPr lang="es-C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580818</xdr:colOff>
      <xdr:row>10</xdr:row>
      <xdr:rowOff>200025</xdr:rowOff>
    </xdr:from>
    <xdr:to>
      <xdr:col>0</xdr:col>
      <xdr:colOff>1695243</xdr:colOff>
      <xdr:row>10</xdr:row>
      <xdr:rowOff>600075</xdr:rowOff>
    </xdr:to>
    <xdr:sp macro="" textlink="">
      <xdr:nvSpPr>
        <xdr:cNvPr id="10" name="Diagrama de flujo: terminador 9">
          <a:extLst>
            <a:ext uri="{FF2B5EF4-FFF2-40B4-BE49-F238E27FC236}">
              <a16:creationId xmlns:a16="http://schemas.microsoft.com/office/drawing/2014/main" id="{12E9AE8A-02C1-4811-9AF2-8628E56D7935}"/>
            </a:ext>
          </a:extLst>
        </xdr:cNvPr>
        <xdr:cNvSpPr/>
      </xdr:nvSpPr>
      <xdr:spPr>
        <a:xfrm>
          <a:off x="580818" y="5557838"/>
          <a:ext cx="1114425" cy="4000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FIN</a:t>
          </a:r>
        </a:p>
      </xdr:txBody>
    </xdr:sp>
    <xdr:clientData/>
  </xdr:twoCellAnchor>
  <xdr:twoCellAnchor>
    <xdr:from>
      <xdr:col>0</xdr:col>
      <xdr:colOff>1138237</xdr:colOff>
      <xdr:row>3</xdr:row>
      <xdr:rowOff>504825</xdr:rowOff>
    </xdr:from>
    <xdr:to>
      <xdr:col>0</xdr:col>
      <xdr:colOff>1138238</xdr:colOff>
      <xdr:row>4</xdr:row>
      <xdr:rowOff>57150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CDC4A355-DE09-7666-A436-32A7FDB6A5BE}"/>
            </a:ext>
          </a:extLst>
        </xdr:cNvPr>
        <xdr:cNvCxnSpPr>
          <a:stCxn id="2" idx="2"/>
          <a:endCxn id="3" idx="0"/>
        </xdr:cNvCxnSpPr>
      </xdr:nvCxnSpPr>
      <xdr:spPr>
        <a:xfrm flipH="1">
          <a:off x="1138237" y="1104900"/>
          <a:ext cx="1" cy="1714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1138032</xdr:colOff>
      <xdr:row>4</xdr:row>
      <xdr:rowOff>504825</xdr:rowOff>
    </xdr:from>
    <xdr:to>
      <xdr:col>0</xdr:col>
      <xdr:colOff>1138237</xdr:colOff>
      <xdr:row>5</xdr:row>
      <xdr:rowOff>104775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1C40596D-92AE-3D40-6418-775B6F78DB2B}"/>
            </a:ext>
          </a:extLst>
        </xdr:cNvPr>
        <xdr:cNvCxnSpPr>
          <a:stCxn id="3" idx="2"/>
          <a:endCxn id="4" idx="0"/>
        </xdr:cNvCxnSpPr>
      </xdr:nvCxnSpPr>
      <xdr:spPr>
        <a:xfrm flipH="1">
          <a:off x="1138032" y="1726510"/>
          <a:ext cx="205" cy="19008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1137205</xdr:colOff>
      <xdr:row>5</xdr:row>
      <xdr:rowOff>533400</xdr:rowOff>
    </xdr:from>
    <xdr:to>
      <xdr:col>0</xdr:col>
      <xdr:colOff>1138032</xdr:colOff>
      <xdr:row>6</xdr:row>
      <xdr:rowOff>257175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109BA35C-F758-C35E-A583-BCD2F97EE2CF}"/>
            </a:ext>
          </a:extLst>
        </xdr:cNvPr>
        <xdr:cNvCxnSpPr>
          <a:stCxn id="4" idx="2"/>
          <a:endCxn id="6" idx="0"/>
        </xdr:cNvCxnSpPr>
      </xdr:nvCxnSpPr>
      <xdr:spPr>
        <a:xfrm flipH="1">
          <a:off x="1137205" y="2345221"/>
          <a:ext cx="827" cy="37085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1137205</xdr:colOff>
      <xdr:row>6</xdr:row>
      <xdr:rowOff>685800</xdr:rowOff>
    </xdr:from>
    <xdr:to>
      <xdr:col>0</xdr:col>
      <xdr:colOff>1137617</xdr:colOff>
      <xdr:row>7</xdr:row>
      <xdr:rowOff>276225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2AB49ACC-B5F7-C7D5-00AE-682961338300}"/>
            </a:ext>
          </a:extLst>
        </xdr:cNvPr>
        <xdr:cNvCxnSpPr>
          <a:stCxn id="6" idx="2"/>
          <a:endCxn id="7" idx="0"/>
        </xdr:cNvCxnSpPr>
      </xdr:nvCxnSpPr>
      <xdr:spPr>
        <a:xfrm>
          <a:off x="1137205" y="3144699"/>
          <a:ext cx="412" cy="58951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1137617</xdr:colOff>
      <xdr:row>7</xdr:row>
      <xdr:rowOff>561975</xdr:rowOff>
    </xdr:from>
    <xdr:to>
      <xdr:col>0</xdr:col>
      <xdr:colOff>1137617</xdr:colOff>
      <xdr:row>8</xdr:row>
      <xdr:rowOff>133351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F2343E0-E7F3-4F86-2C96-B0F4D59AC109}"/>
            </a:ext>
          </a:extLst>
        </xdr:cNvPr>
        <xdr:cNvCxnSpPr>
          <a:stCxn id="7" idx="2"/>
          <a:endCxn id="8" idx="0"/>
        </xdr:cNvCxnSpPr>
      </xdr:nvCxnSpPr>
      <xdr:spPr>
        <a:xfrm>
          <a:off x="1137617" y="4019964"/>
          <a:ext cx="0" cy="37375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1137617</xdr:colOff>
      <xdr:row>8</xdr:row>
      <xdr:rowOff>400051</xdr:rowOff>
    </xdr:from>
    <xdr:to>
      <xdr:col>0</xdr:col>
      <xdr:colOff>1138442</xdr:colOff>
      <xdr:row>9</xdr:row>
      <xdr:rowOff>57150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1F487DE8-2989-D3A0-752C-6AEF496FA4F5}"/>
            </a:ext>
          </a:extLst>
        </xdr:cNvPr>
        <xdr:cNvCxnSpPr>
          <a:stCxn id="8" idx="2"/>
          <a:endCxn id="9" idx="0"/>
        </xdr:cNvCxnSpPr>
      </xdr:nvCxnSpPr>
      <xdr:spPr>
        <a:xfrm>
          <a:off x="1137617" y="4660418"/>
          <a:ext cx="825" cy="19029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1138031</xdr:colOff>
      <xdr:row>9</xdr:row>
      <xdr:rowOff>504825</xdr:rowOff>
    </xdr:from>
    <xdr:to>
      <xdr:col>0</xdr:col>
      <xdr:colOff>1138442</xdr:colOff>
      <xdr:row>10</xdr:row>
      <xdr:rowOff>200025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6EBD7C65-1C8D-CE9E-61F3-9D325C36EBDC}"/>
            </a:ext>
          </a:extLst>
        </xdr:cNvPr>
        <xdr:cNvCxnSpPr>
          <a:stCxn id="9" idx="2"/>
          <a:endCxn id="10" idx="0"/>
        </xdr:cNvCxnSpPr>
      </xdr:nvCxnSpPr>
      <xdr:spPr>
        <a:xfrm flipH="1">
          <a:off x="1138031" y="5298385"/>
          <a:ext cx="411" cy="25945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6"/>
  <sheetViews>
    <sheetView workbookViewId="0">
      <selection activeCell="C19" sqref="C19"/>
    </sheetView>
  </sheetViews>
  <sheetFormatPr baseColWidth="10" defaultRowHeight="14.5" x14ac:dyDescent="0.35"/>
  <cols>
    <col min="1" max="1" width="33.7265625" customWidth="1"/>
    <col min="2" max="2" width="17.81640625" bestFit="1" customWidth="1"/>
    <col min="3" max="3" width="11.7265625" bestFit="1" customWidth="1"/>
    <col min="4" max="4" width="17.1796875" bestFit="1" customWidth="1"/>
  </cols>
  <sheetData>
    <row r="1" spans="1:4" ht="15.5" x14ac:dyDescent="0.35">
      <c r="A1" s="19" t="s">
        <v>87</v>
      </c>
      <c r="B1" s="19" t="s">
        <v>88</v>
      </c>
      <c r="C1" s="19" t="s">
        <v>89</v>
      </c>
      <c r="D1" s="19" t="s">
        <v>90</v>
      </c>
    </row>
    <row r="2" spans="1:4" ht="15.5" x14ac:dyDescent="0.35">
      <c r="A2" s="4" t="s">
        <v>91</v>
      </c>
      <c r="B2" s="32">
        <v>800000</v>
      </c>
      <c r="C2" s="4">
        <v>2</v>
      </c>
      <c r="D2" s="32">
        <f>C2*B2</f>
        <v>1600000</v>
      </c>
    </row>
    <row r="3" spans="1:4" ht="15.5" x14ac:dyDescent="0.35">
      <c r="A3" s="4" t="s">
        <v>92</v>
      </c>
      <c r="B3" s="32">
        <v>1200000</v>
      </c>
      <c r="C3" s="4">
        <v>1</v>
      </c>
      <c r="D3" s="32">
        <f t="shared" ref="D3:D12" si="0">C3*B3</f>
        <v>1200000</v>
      </c>
    </row>
    <row r="4" spans="1:4" ht="15.5" x14ac:dyDescent="0.35">
      <c r="A4" s="4" t="s">
        <v>93</v>
      </c>
      <c r="B4" s="32">
        <v>1000000</v>
      </c>
      <c r="C4" s="4">
        <v>2</v>
      </c>
      <c r="D4" s="32">
        <f t="shared" si="0"/>
        <v>2000000</v>
      </c>
    </row>
    <row r="5" spans="1:4" ht="15.5" x14ac:dyDescent="0.35">
      <c r="A5" s="4" t="s">
        <v>156</v>
      </c>
      <c r="B5" s="32">
        <v>1994500</v>
      </c>
      <c r="C5" s="4">
        <v>2</v>
      </c>
      <c r="D5" s="32">
        <f>B5*C5</f>
        <v>3989000</v>
      </c>
    </row>
    <row r="6" spans="1:4" ht="15.5" x14ac:dyDescent="0.35">
      <c r="A6" s="4" t="s">
        <v>94</v>
      </c>
      <c r="B6" s="32">
        <v>500000</v>
      </c>
      <c r="C6" s="4">
        <v>1</v>
      </c>
      <c r="D6" s="32">
        <f t="shared" si="0"/>
        <v>500000</v>
      </c>
    </row>
    <row r="7" spans="1:4" ht="15.5" x14ac:dyDescent="0.35">
      <c r="A7" s="4" t="s">
        <v>119</v>
      </c>
      <c r="B7" s="32">
        <v>2500000</v>
      </c>
      <c r="C7" s="4">
        <v>1</v>
      </c>
      <c r="D7" s="32">
        <f t="shared" si="0"/>
        <v>2500000</v>
      </c>
    </row>
    <row r="8" spans="1:4" ht="15.5" x14ac:dyDescent="0.35">
      <c r="A8" s="4" t="s">
        <v>95</v>
      </c>
      <c r="B8" s="32">
        <v>250000</v>
      </c>
      <c r="C8" s="4">
        <v>7</v>
      </c>
      <c r="D8" s="32">
        <f t="shared" si="0"/>
        <v>1750000</v>
      </c>
    </row>
    <row r="9" spans="1:4" ht="15.5" x14ac:dyDescent="0.35">
      <c r="A9" s="4" t="s">
        <v>96</v>
      </c>
      <c r="B9" s="32">
        <v>145000</v>
      </c>
      <c r="C9" s="4">
        <v>30</v>
      </c>
      <c r="D9" s="32">
        <f t="shared" si="0"/>
        <v>4350000</v>
      </c>
    </row>
    <row r="10" spans="1:4" ht="15.5" x14ac:dyDescent="0.35">
      <c r="A10" s="4" t="s">
        <v>97</v>
      </c>
      <c r="B10" s="32">
        <v>2200000</v>
      </c>
      <c r="C10" s="4">
        <v>1</v>
      </c>
      <c r="D10" s="32">
        <f t="shared" si="0"/>
        <v>2200000</v>
      </c>
    </row>
    <row r="11" spans="1:4" ht="15.5" x14ac:dyDescent="0.35">
      <c r="A11" s="4" t="s">
        <v>140</v>
      </c>
      <c r="B11" s="32">
        <v>350000</v>
      </c>
      <c r="C11" s="4">
        <v>1</v>
      </c>
      <c r="D11" s="32">
        <f t="shared" si="0"/>
        <v>350000</v>
      </c>
    </row>
    <row r="12" spans="1:4" ht="15.5" x14ac:dyDescent="0.35">
      <c r="A12" s="4" t="s">
        <v>98</v>
      </c>
      <c r="B12" s="32">
        <v>700000</v>
      </c>
      <c r="C12" s="4">
        <v>1</v>
      </c>
      <c r="D12" s="32">
        <f t="shared" si="0"/>
        <v>700000</v>
      </c>
    </row>
    <row r="13" spans="1:4" ht="31" x14ac:dyDescent="0.35">
      <c r="A13" s="43" t="s">
        <v>100</v>
      </c>
      <c r="B13" s="44" t="s">
        <v>99</v>
      </c>
      <c r="C13" s="44" t="s">
        <v>99</v>
      </c>
      <c r="D13" s="26">
        <v>3000000</v>
      </c>
    </row>
    <row r="14" spans="1:4" ht="15.5" x14ac:dyDescent="0.35">
      <c r="A14" s="43" t="s">
        <v>120</v>
      </c>
      <c r="B14" s="26">
        <v>1700000</v>
      </c>
      <c r="C14" s="44">
        <v>2</v>
      </c>
      <c r="D14" s="26">
        <f>B14*C14</f>
        <v>3400000</v>
      </c>
    </row>
    <row r="15" spans="1:4" ht="15.5" x14ac:dyDescent="0.35">
      <c r="A15" s="43" t="s">
        <v>121</v>
      </c>
      <c r="B15" s="26">
        <v>1500000</v>
      </c>
      <c r="C15" s="44">
        <v>1</v>
      </c>
      <c r="D15" s="26">
        <v>1500000</v>
      </c>
    </row>
    <row r="16" spans="1:4" ht="15.5" x14ac:dyDescent="0.35">
      <c r="A16" s="358" t="s">
        <v>69</v>
      </c>
      <c r="B16" s="358"/>
      <c r="C16" s="358"/>
      <c r="D16" s="56">
        <f>SUM(D2:D15)</f>
        <v>29039000</v>
      </c>
    </row>
  </sheetData>
  <mergeCells count="1">
    <mergeCell ref="A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G5"/>
  <sheetViews>
    <sheetView workbookViewId="0">
      <selection activeCell="C3" sqref="C3"/>
    </sheetView>
  </sheetViews>
  <sheetFormatPr baseColWidth="10" defaultRowHeight="14.5" x14ac:dyDescent="0.35"/>
  <cols>
    <col min="1" max="1" width="16.7265625" customWidth="1"/>
  </cols>
  <sheetData>
    <row r="1" spans="1:7" ht="15.5" x14ac:dyDescent="0.35">
      <c r="A1" s="358" t="s">
        <v>508</v>
      </c>
      <c r="B1" s="358"/>
      <c r="C1" s="19" t="s">
        <v>509</v>
      </c>
      <c r="D1" s="19" t="s">
        <v>510</v>
      </c>
      <c r="E1" s="19" t="s">
        <v>511</v>
      </c>
      <c r="F1" s="19" t="s">
        <v>512</v>
      </c>
      <c r="G1" s="19" t="s">
        <v>513</v>
      </c>
    </row>
    <row r="2" spans="1:7" ht="15.5" x14ac:dyDescent="0.35">
      <c r="A2" s="376" t="s">
        <v>514</v>
      </c>
      <c r="B2" s="376"/>
      <c r="C2" s="4" t="s">
        <v>515</v>
      </c>
      <c r="D2" s="4" t="s">
        <v>515</v>
      </c>
      <c r="E2" s="4" t="s">
        <v>515</v>
      </c>
      <c r="F2" s="4" t="s">
        <v>515</v>
      </c>
      <c r="G2" s="4" t="s">
        <v>516</v>
      </c>
    </row>
    <row r="3" spans="1:7" ht="15.5" x14ac:dyDescent="0.35">
      <c r="A3" s="376" t="s">
        <v>517</v>
      </c>
      <c r="B3" s="376"/>
      <c r="C3" s="55">
        <f>'PROYECCIÓN DE DEMANDA Y % CAPAC'!F16</f>
        <v>0.16424377970366227</v>
      </c>
      <c r="D3" s="55">
        <f>'PROYECCIÓN DE DEMANDA Y % CAPAC'!F17</f>
        <v>0.22665641599105396</v>
      </c>
      <c r="E3" s="55">
        <f>'PROYECCIÓN DE DEMANDA Y % CAPAC'!F18</f>
        <v>0.31278585406765447</v>
      </c>
      <c r="F3" s="55">
        <f>'PROYECCIÓN DE DEMANDA Y % CAPAC'!F19</f>
        <v>0.43164447861336319</v>
      </c>
      <c r="G3" s="55">
        <f>'PROYECCIÓN DE DEMANDA Y % CAPAC'!F20</f>
        <v>0.59566938048644114</v>
      </c>
    </row>
    <row r="4" spans="1:7" ht="15.5" x14ac:dyDescent="0.35">
      <c r="A4" s="376" t="s">
        <v>534</v>
      </c>
      <c r="B4" s="376"/>
      <c r="C4" s="55">
        <v>0.35</v>
      </c>
      <c r="D4" s="55">
        <v>0.35</v>
      </c>
      <c r="E4" s="55">
        <v>0.35</v>
      </c>
      <c r="F4" s="55">
        <v>0.35</v>
      </c>
      <c r="G4" s="55">
        <v>0.35</v>
      </c>
    </row>
    <row r="5" spans="1:7" ht="15.5" x14ac:dyDescent="0.35">
      <c r="A5" s="376" t="s">
        <v>538</v>
      </c>
      <c r="B5" s="376"/>
      <c r="C5" s="55">
        <v>0.08</v>
      </c>
      <c r="D5" s="55">
        <v>0.08</v>
      </c>
      <c r="E5" s="55">
        <v>0.08</v>
      </c>
      <c r="F5" s="55">
        <v>0.08</v>
      </c>
      <c r="G5" s="55">
        <v>0.08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E176-7F41-45DE-A13E-80EADEA0DEDA}">
  <sheetPr>
    <tabColor theme="8" tint="0.79998168889431442"/>
    <outlinePr summaryBelow="0"/>
  </sheetPr>
  <dimension ref="B1:J14"/>
  <sheetViews>
    <sheetView showGridLines="0" workbookViewId="0">
      <selection activeCell="F28" sqref="F28"/>
    </sheetView>
  </sheetViews>
  <sheetFormatPr baseColWidth="10" defaultRowHeight="14.5" outlineLevelRow="1" outlineLevelCol="1" x14ac:dyDescent="0.35"/>
  <cols>
    <col min="3" max="3" width="12.6328125" customWidth="1"/>
    <col min="4" max="4" width="15.1796875" customWidth="1" outlineLevel="1"/>
    <col min="5" max="5" width="20.08984375" customWidth="1" outlineLevel="1"/>
    <col min="6" max="6" width="17.7265625" customWidth="1" outlineLevel="1"/>
    <col min="7" max="7" width="17.08984375" customWidth="1" outlineLevel="1"/>
    <col min="8" max="8" width="19.453125" customWidth="1" outlineLevel="1"/>
    <col min="9" max="9" width="21.26953125" customWidth="1" outlineLevel="1"/>
    <col min="10" max="10" width="20.7265625" customWidth="1" outlineLevel="1"/>
  </cols>
  <sheetData>
    <row r="1" spans="2:10" ht="15" x14ac:dyDescent="0.35">
      <c r="B1" s="398" t="s">
        <v>63</v>
      </c>
      <c r="C1" s="398"/>
      <c r="D1" s="398"/>
      <c r="E1" s="398"/>
      <c r="F1" s="398"/>
      <c r="G1" s="398"/>
      <c r="H1" s="398"/>
      <c r="I1" s="398"/>
      <c r="J1" s="398"/>
    </row>
    <row r="2" spans="2:10" ht="15.5" customHeight="1" x14ac:dyDescent="0.35">
      <c r="B2" s="404" t="s">
        <v>555</v>
      </c>
      <c r="C2" s="404"/>
      <c r="D2" s="405" t="s">
        <v>556</v>
      </c>
      <c r="E2" s="401" t="s">
        <v>563</v>
      </c>
      <c r="F2" s="401" t="s">
        <v>557</v>
      </c>
      <c r="G2" s="401" t="s">
        <v>552</v>
      </c>
      <c r="H2" s="399" t="s">
        <v>558</v>
      </c>
      <c r="I2" s="399" t="s">
        <v>564</v>
      </c>
      <c r="J2" s="399" t="s">
        <v>554</v>
      </c>
    </row>
    <row r="3" spans="2:10" ht="15.5" customHeight="1" collapsed="1" x14ac:dyDescent="0.35">
      <c r="B3" s="404"/>
      <c r="C3" s="404"/>
      <c r="D3" s="405"/>
      <c r="E3" s="402"/>
      <c r="F3" s="402"/>
      <c r="G3" s="402"/>
      <c r="H3" s="399"/>
      <c r="I3" s="399"/>
      <c r="J3" s="399"/>
    </row>
    <row r="4" spans="2:10" ht="42" hidden="1" outlineLevel="1" x14ac:dyDescent="0.35">
      <c r="B4" s="330"/>
      <c r="C4" s="330"/>
      <c r="D4" s="331"/>
      <c r="E4" s="332" t="s">
        <v>551</v>
      </c>
      <c r="F4" s="332" t="s">
        <v>551</v>
      </c>
      <c r="G4" s="332" t="s">
        <v>553</v>
      </c>
      <c r="H4" s="332" t="s">
        <v>553</v>
      </c>
      <c r="I4" s="332" t="s">
        <v>551</v>
      </c>
      <c r="J4" s="332" t="s">
        <v>551</v>
      </c>
    </row>
    <row r="5" spans="2:10" ht="15.5" x14ac:dyDescent="0.35">
      <c r="B5" s="403" t="s">
        <v>561</v>
      </c>
      <c r="C5" s="403"/>
      <c r="D5" s="331"/>
      <c r="E5" s="331"/>
      <c r="F5" s="331"/>
      <c r="G5" s="331"/>
      <c r="H5" s="331"/>
      <c r="I5" s="331"/>
      <c r="J5" s="331"/>
    </row>
    <row r="6" spans="2:10" ht="15.5" outlineLevel="1" x14ac:dyDescent="0.35">
      <c r="B6" s="400" t="s">
        <v>63</v>
      </c>
      <c r="C6" s="400"/>
      <c r="D6" s="333">
        <v>22000</v>
      </c>
      <c r="E6" s="334">
        <v>26400</v>
      </c>
      <c r="F6" s="334">
        <v>24200</v>
      </c>
      <c r="G6" s="334">
        <v>22000</v>
      </c>
      <c r="H6" s="334">
        <v>19800</v>
      </c>
      <c r="I6" s="334">
        <v>17600</v>
      </c>
      <c r="J6" s="334">
        <v>19456</v>
      </c>
    </row>
    <row r="7" spans="2:10" ht="15.5" x14ac:dyDescent="0.35">
      <c r="B7" s="403" t="s">
        <v>562</v>
      </c>
      <c r="C7" s="403"/>
      <c r="D7" s="331"/>
      <c r="E7" s="331"/>
      <c r="F7" s="331"/>
      <c r="G7" s="331"/>
      <c r="H7" s="331"/>
      <c r="I7" s="331"/>
      <c r="J7" s="331"/>
    </row>
    <row r="8" spans="2:10" ht="15.5" outlineLevel="1" x14ac:dyDescent="0.35">
      <c r="B8" s="400" t="s">
        <v>559</v>
      </c>
      <c r="C8" s="400"/>
      <c r="D8" s="335">
        <v>0.55083868533755598</v>
      </c>
      <c r="E8" s="336">
        <v>1.20163738357699</v>
      </c>
      <c r="F8" s="336">
        <v>0.851145650635314</v>
      </c>
      <c r="G8" s="336">
        <v>0.55083868533755598</v>
      </c>
      <c r="H8" s="336">
        <v>0.26573944982146402</v>
      </c>
      <c r="I8" s="336">
        <v>6.2397008715753299E-4</v>
      </c>
      <c r="J8" s="336">
        <v>0.22340364486950701</v>
      </c>
    </row>
    <row r="9" spans="2:10" ht="15.5" outlineLevel="1" x14ac:dyDescent="0.35">
      <c r="B9" s="400" t="s">
        <v>560</v>
      </c>
      <c r="C9" s="400"/>
      <c r="D9" s="337">
        <v>194914576.32479799</v>
      </c>
      <c r="E9" s="338">
        <v>508662374.38152099</v>
      </c>
      <c r="F9" s="338">
        <v>351788475.35316002</v>
      </c>
      <c r="G9" s="338">
        <v>194914576.32479799</v>
      </c>
      <c r="H9" s="338">
        <v>26692219.0271766</v>
      </c>
      <c r="I9" s="338">
        <v>-145580843.82473001</v>
      </c>
      <c r="J9" s="338">
        <v>-7849.2266448587097</v>
      </c>
    </row>
    <row r="14" spans="2:10" x14ac:dyDescent="0.35">
      <c r="E14" s="329"/>
    </row>
  </sheetData>
  <mergeCells count="14">
    <mergeCell ref="B9:C9"/>
    <mergeCell ref="B5:C5"/>
    <mergeCell ref="B7:C7"/>
    <mergeCell ref="E2:E3"/>
    <mergeCell ref="F2:F3"/>
    <mergeCell ref="B2:C3"/>
    <mergeCell ref="D2:D3"/>
    <mergeCell ref="B1:J1"/>
    <mergeCell ref="I2:I3"/>
    <mergeCell ref="J2:J3"/>
    <mergeCell ref="B6:C6"/>
    <mergeCell ref="B8:C8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58F0-7AE1-4C8F-BB41-B2091A9BD99B}">
  <sheetPr>
    <tabColor theme="8" tint="0.59999389629810485"/>
    <outlinePr summaryBelow="0"/>
  </sheetPr>
  <dimension ref="B1:G47"/>
  <sheetViews>
    <sheetView showGridLines="0" topLeftCell="A30" workbookViewId="0">
      <selection activeCell="B40" sqref="B40:G40"/>
    </sheetView>
  </sheetViews>
  <sheetFormatPr baseColWidth="10" defaultRowHeight="14.5" outlineLevelRow="1" outlineLevelCol="1" x14ac:dyDescent="0.35"/>
  <cols>
    <col min="3" max="3" width="19.453125" customWidth="1"/>
    <col min="4" max="4" width="15.1796875" bestFit="1" customWidth="1" outlineLevel="1"/>
    <col min="5" max="5" width="13.90625" customWidth="1" outlineLevel="1"/>
    <col min="6" max="6" width="13.26953125" customWidth="1" outlineLevel="1"/>
    <col min="7" max="7" width="16.81640625" bestFit="1" customWidth="1" outlineLevel="1"/>
  </cols>
  <sheetData>
    <row r="1" spans="2:7" ht="15" thickBot="1" x14ac:dyDescent="0.4">
      <c r="B1" s="416" t="s">
        <v>594</v>
      </c>
      <c r="C1" s="416"/>
      <c r="D1" s="416"/>
      <c r="E1" s="416"/>
      <c r="F1" s="416"/>
      <c r="G1" s="416"/>
    </row>
    <row r="2" spans="2:7" ht="15.5" customHeight="1" x14ac:dyDescent="0.35">
      <c r="B2" s="418" t="s">
        <v>509</v>
      </c>
      <c r="C2" s="418"/>
      <c r="D2" s="414" t="s">
        <v>556</v>
      </c>
      <c r="E2" s="420" t="s">
        <v>565</v>
      </c>
      <c r="F2" s="410" t="s">
        <v>566</v>
      </c>
      <c r="G2" s="410" t="s">
        <v>567</v>
      </c>
    </row>
    <row r="3" spans="2:7" ht="15.5" customHeight="1" collapsed="1" x14ac:dyDescent="0.35">
      <c r="B3" s="419"/>
      <c r="C3" s="419"/>
      <c r="D3" s="415"/>
      <c r="E3" s="421"/>
      <c r="F3" s="411"/>
      <c r="G3" s="411"/>
    </row>
    <row r="4" spans="2:7" ht="63" hidden="1" outlineLevel="1" x14ac:dyDescent="0.35">
      <c r="B4" s="340"/>
      <c r="C4" s="340"/>
      <c r="D4" s="341"/>
      <c r="E4" s="342" t="s">
        <v>553</v>
      </c>
      <c r="F4" s="342" t="s">
        <v>553</v>
      </c>
      <c r="G4" s="342" t="s">
        <v>553</v>
      </c>
    </row>
    <row r="5" spans="2:7" x14ac:dyDescent="0.35">
      <c r="B5" s="406" t="s">
        <v>561</v>
      </c>
      <c r="C5" s="406"/>
      <c r="D5" s="343"/>
      <c r="E5" s="343"/>
      <c r="F5" s="343"/>
      <c r="G5" s="343"/>
    </row>
    <row r="6" spans="2:7" outlineLevel="1" x14ac:dyDescent="0.35">
      <c r="B6" s="407" t="s">
        <v>570</v>
      </c>
      <c r="C6" s="407"/>
      <c r="D6" s="344">
        <v>0.16</v>
      </c>
      <c r="E6" s="345">
        <v>0.08</v>
      </c>
      <c r="F6" s="345">
        <v>0.16</v>
      </c>
      <c r="G6" s="345">
        <v>0.5</v>
      </c>
    </row>
    <row r="7" spans="2:7" x14ac:dyDescent="0.35">
      <c r="B7" s="406" t="s">
        <v>571</v>
      </c>
      <c r="C7" s="406"/>
      <c r="D7" s="343"/>
      <c r="E7" s="343"/>
      <c r="F7" s="343"/>
      <c r="G7" s="343"/>
    </row>
    <row r="8" spans="2:7" outlineLevel="1" x14ac:dyDescent="0.35">
      <c r="B8" s="408" t="s">
        <v>559</v>
      </c>
      <c r="C8" s="408"/>
      <c r="D8" s="346">
        <v>0.55083868533755598</v>
      </c>
      <c r="E8" s="346">
        <v>0.32155742017047301</v>
      </c>
      <c r="F8" s="346">
        <v>0.55083868533755598</v>
      </c>
      <c r="G8" s="346">
        <v>4.9440050753401401</v>
      </c>
    </row>
    <row r="9" spans="2:7" ht="15" outlineLevel="1" thickBot="1" x14ac:dyDescent="0.4">
      <c r="B9" s="409" t="s">
        <v>560</v>
      </c>
      <c r="C9" s="409"/>
      <c r="D9" s="347">
        <v>194914576.32479799</v>
      </c>
      <c r="E9" s="347">
        <v>79732779.123241097</v>
      </c>
      <c r="F9" s="347">
        <v>194914576.32479799</v>
      </c>
      <c r="G9" s="347">
        <v>545386825.69402802</v>
      </c>
    </row>
    <row r="11" spans="2:7" ht="15" thickBot="1" x14ac:dyDescent="0.4">
      <c r="B11" s="416" t="s">
        <v>595</v>
      </c>
      <c r="C11" s="416"/>
      <c r="D11" s="416"/>
      <c r="E11" s="416"/>
      <c r="F11" s="416"/>
      <c r="G11" s="416"/>
    </row>
    <row r="12" spans="2:7" ht="15.5" customHeight="1" x14ac:dyDescent="0.35">
      <c r="B12" s="412" t="s">
        <v>510</v>
      </c>
      <c r="C12" s="412"/>
      <c r="D12" s="414" t="s">
        <v>556</v>
      </c>
      <c r="E12" s="410" t="s">
        <v>565</v>
      </c>
      <c r="F12" s="410" t="s">
        <v>573</v>
      </c>
      <c r="G12" s="410" t="s">
        <v>567</v>
      </c>
    </row>
    <row r="13" spans="2:7" ht="15.5" customHeight="1" x14ac:dyDescent="0.35">
      <c r="B13" s="413"/>
      <c r="C13" s="413"/>
      <c r="D13" s="415"/>
      <c r="E13" s="411"/>
      <c r="F13" s="411"/>
      <c r="G13" s="411"/>
    </row>
    <row r="14" spans="2:7" x14ac:dyDescent="0.35">
      <c r="B14" s="406" t="s">
        <v>561</v>
      </c>
      <c r="C14" s="406"/>
      <c r="D14" s="343"/>
      <c r="E14" s="343"/>
      <c r="F14" s="343"/>
      <c r="G14" s="343"/>
    </row>
    <row r="15" spans="2:7" x14ac:dyDescent="0.35">
      <c r="B15" s="407" t="s">
        <v>572</v>
      </c>
      <c r="C15" s="407"/>
      <c r="D15" s="344">
        <v>0.23</v>
      </c>
      <c r="E15" s="345">
        <v>0.05</v>
      </c>
      <c r="F15" s="345">
        <v>0.23</v>
      </c>
      <c r="G15" s="345">
        <v>0.6</v>
      </c>
    </row>
    <row r="16" spans="2:7" x14ac:dyDescent="0.35">
      <c r="B16" s="406" t="s">
        <v>571</v>
      </c>
      <c r="C16" s="406"/>
      <c r="D16" s="343"/>
      <c r="E16" s="343"/>
      <c r="F16" s="343"/>
      <c r="G16" s="343"/>
    </row>
    <row r="17" spans="2:7" x14ac:dyDescent="0.35">
      <c r="B17" s="408" t="s">
        <v>559</v>
      </c>
      <c r="C17" s="408"/>
      <c r="D17" s="346">
        <v>0.55083868533755598</v>
      </c>
      <c r="E17" s="346">
        <v>0.20569078881997599</v>
      </c>
      <c r="F17" s="346">
        <v>0.55083868533755598</v>
      </c>
      <c r="G17" s="346">
        <v>1.3475710447868401</v>
      </c>
    </row>
    <row r="18" spans="2:7" ht="15" thickBot="1" x14ac:dyDescent="0.4">
      <c r="B18" s="409" t="s">
        <v>560</v>
      </c>
      <c r="C18" s="409"/>
      <c r="D18" s="347">
        <v>194914576.32479799</v>
      </c>
      <c r="E18" s="347">
        <v>-14383845.994256699</v>
      </c>
      <c r="F18" s="347">
        <v>194914576.32479799</v>
      </c>
      <c r="G18" s="347">
        <v>477946086.73258501</v>
      </c>
    </row>
    <row r="20" spans="2:7" ht="16" thickBot="1" x14ac:dyDescent="0.4">
      <c r="B20" s="417" t="s">
        <v>596</v>
      </c>
      <c r="C20" s="417"/>
      <c r="D20" s="417"/>
      <c r="E20" s="417"/>
      <c r="F20" s="417"/>
      <c r="G20" s="417"/>
    </row>
    <row r="21" spans="2:7" ht="15.5" customHeight="1" x14ac:dyDescent="0.35">
      <c r="B21" s="412" t="s">
        <v>511</v>
      </c>
      <c r="C21" s="412"/>
      <c r="D21" s="414" t="s">
        <v>556</v>
      </c>
      <c r="E21" s="410" t="s">
        <v>574</v>
      </c>
      <c r="F21" s="410" t="s">
        <v>566</v>
      </c>
      <c r="G21" s="410" t="s">
        <v>575</v>
      </c>
    </row>
    <row r="22" spans="2:7" ht="15.5" customHeight="1" x14ac:dyDescent="0.35">
      <c r="B22" s="413"/>
      <c r="C22" s="413"/>
      <c r="D22" s="415"/>
      <c r="E22" s="411"/>
      <c r="F22" s="411"/>
      <c r="G22" s="411"/>
    </row>
    <row r="23" spans="2:7" x14ac:dyDescent="0.35">
      <c r="B23" s="406" t="s">
        <v>561</v>
      </c>
      <c r="C23" s="406"/>
      <c r="D23" s="343"/>
      <c r="E23" s="348"/>
      <c r="F23" s="348"/>
      <c r="G23" s="348"/>
    </row>
    <row r="24" spans="2:7" x14ac:dyDescent="0.35">
      <c r="B24" s="407" t="s">
        <v>570</v>
      </c>
      <c r="C24" s="407"/>
      <c r="D24" s="344">
        <v>0.31</v>
      </c>
      <c r="E24" s="345">
        <v>0.03</v>
      </c>
      <c r="F24" s="345">
        <v>0.31</v>
      </c>
      <c r="G24" s="345">
        <v>0.7</v>
      </c>
    </row>
    <row r="25" spans="2:7" x14ac:dyDescent="0.35">
      <c r="B25" s="406" t="s">
        <v>571</v>
      </c>
      <c r="C25" s="406"/>
      <c r="D25" s="343"/>
      <c r="E25" s="343"/>
      <c r="F25" s="343"/>
      <c r="G25" s="343"/>
    </row>
    <row r="26" spans="2:7" x14ac:dyDescent="0.35">
      <c r="B26" s="408" t="s">
        <v>559</v>
      </c>
      <c r="C26" s="408"/>
      <c r="D26" s="346">
        <v>0.55083868533755598</v>
      </c>
      <c r="E26" s="346">
        <v>0.154162988251179</v>
      </c>
      <c r="F26" s="346">
        <v>0.55083868533755598</v>
      </c>
      <c r="G26" s="346">
        <v>0.94576893886401503</v>
      </c>
    </row>
    <row r="27" spans="2:7" ht="15" thickBot="1" x14ac:dyDescent="0.4">
      <c r="B27" s="409" t="s">
        <v>560</v>
      </c>
      <c r="C27" s="409"/>
      <c r="D27" s="347">
        <v>194914576.32479799</v>
      </c>
      <c r="E27" s="347">
        <v>-45355811.954738803</v>
      </c>
      <c r="F27" s="347">
        <v>194914576.32479799</v>
      </c>
      <c r="G27" s="347">
        <v>438765001.201572</v>
      </c>
    </row>
    <row r="30" spans="2:7" ht="16" thickBot="1" x14ac:dyDescent="0.4">
      <c r="B30" s="417" t="s">
        <v>597</v>
      </c>
      <c r="C30" s="417"/>
      <c r="D30" s="417"/>
      <c r="E30" s="417"/>
      <c r="F30" s="417"/>
      <c r="G30" s="417"/>
    </row>
    <row r="31" spans="2:7" ht="15.5" customHeight="1" x14ac:dyDescent="0.35">
      <c r="B31" s="412" t="s">
        <v>512</v>
      </c>
      <c r="C31" s="412"/>
      <c r="D31" s="410" t="s">
        <v>556</v>
      </c>
      <c r="E31" s="410" t="s">
        <v>565</v>
      </c>
      <c r="F31" s="410" t="s">
        <v>573</v>
      </c>
      <c r="G31" s="410" t="s">
        <v>567</v>
      </c>
    </row>
    <row r="32" spans="2:7" ht="15.5" customHeight="1" x14ac:dyDescent="0.35">
      <c r="B32" s="413"/>
      <c r="C32" s="413"/>
      <c r="D32" s="411"/>
      <c r="E32" s="411"/>
      <c r="F32" s="411"/>
      <c r="G32" s="411"/>
    </row>
    <row r="33" spans="2:7" x14ac:dyDescent="0.35">
      <c r="B33" s="406" t="s">
        <v>561</v>
      </c>
      <c r="C33" s="406"/>
      <c r="D33" s="343"/>
      <c r="E33" s="343"/>
      <c r="F33" s="343"/>
      <c r="G33" s="343"/>
    </row>
    <row r="34" spans="2:7" x14ac:dyDescent="0.35">
      <c r="B34" s="407" t="s">
        <v>570</v>
      </c>
      <c r="C34" s="407"/>
      <c r="D34" s="344">
        <v>0.43</v>
      </c>
      <c r="E34" s="345">
        <v>0.02</v>
      </c>
      <c r="F34" s="345">
        <v>0.43</v>
      </c>
      <c r="G34" s="345">
        <v>1</v>
      </c>
    </row>
    <row r="35" spans="2:7" x14ac:dyDescent="0.35">
      <c r="B35" s="406" t="s">
        <v>571</v>
      </c>
      <c r="C35" s="406"/>
      <c r="D35" s="343"/>
      <c r="E35" s="343"/>
      <c r="F35" s="343"/>
      <c r="G35" s="343"/>
    </row>
    <row r="36" spans="2:7" x14ac:dyDescent="0.35">
      <c r="B36" s="408" t="s">
        <v>559</v>
      </c>
      <c r="C36" s="408"/>
      <c r="D36" s="346">
        <v>0.55083868533755598</v>
      </c>
      <c r="E36" s="346">
        <v>6.2369289594087697E-2</v>
      </c>
      <c r="F36" s="346">
        <v>0.55083868533755598</v>
      </c>
      <c r="G36" s="346">
        <v>0.86525377977712803</v>
      </c>
    </row>
    <row r="37" spans="2:7" ht="15" thickBot="1" x14ac:dyDescent="0.4">
      <c r="B37" s="409" t="s">
        <v>560</v>
      </c>
      <c r="C37" s="409"/>
      <c r="D37" s="347">
        <v>194914576.32479799</v>
      </c>
      <c r="E37" s="347">
        <v>-70620924.817129597</v>
      </c>
      <c r="F37" s="347">
        <v>194914576.32479799</v>
      </c>
      <c r="G37" s="347">
        <v>486227404.777587</v>
      </c>
    </row>
    <row r="40" spans="2:7" ht="16" thickBot="1" x14ac:dyDescent="0.4">
      <c r="B40" s="417" t="s">
        <v>598</v>
      </c>
      <c r="C40" s="417"/>
      <c r="D40" s="417"/>
      <c r="E40" s="417"/>
      <c r="F40" s="417"/>
      <c r="G40" s="417"/>
    </row>
    <row r="41" spans="2:7" ht="15.5" customHeight="1" x14ac:dyDescent="0.35">
      <c r="B41" s="412" t="s">
        <v>513</v>
      </c>
      <c r="C41" s="412"/>
      <c r="D41" s="410" t="s">
        <v>556</v>
      </c>
      <c r="E41" s="410" t="s">
        <v>565</v>
      </c>
      <c r="F41" s="410" t="s">
        <v>566</v>
      </c>
      <c r="G41" s="410" t="s">
        <v>568</v>
      </c>
    </row>
    <row r="42" spans="2:7" ht="15.5" customHeight="1" x14ac:dyDescent="0.35">
      <c r="B42" s="413"/>
      <c r="C42" s="413"/>
      <c r="D42" s="411"/>
      <c r="E42" s="411"/>
      <c r="F42" s="411"/>
      <c r="G42" s="411"/>
    </row>
    <row r="43" spans="2:7" x14ac:dyDescent="0.35">
      <c r="B43" s="406" t="s">
        <v>561</v>
      </c>
      <c r="C43" s="406"/>
      <c r="D43" s="343"/>
      <c r="E43" s="343"/>
      <c r="F43" s="343"/>
      <c r="G43" s="343"/>
    </row>
    <row r="44" spans="2:7" x14ac:dyDescent="0.35">
      <c r="B44" s="407" t="s">
        <v>576</v>
      </c>
      <c r="C44" s="407"/>
      <c r="D44" s="344">
        <v>0.6</v>
      </c>
      <c r="E44" s="345">
        <v>0.01</v>
      </c>
      <c r="F44" s="345">
        <v>0.6</v>
      </c>
      <c r="G44" s="345">
        <v>1</v>
      </c>
    </row>
    <row r="45" spans="2:7" x14ac:dyDescent="0.35">
      <c r="B45" s="406" t="s">
        <v>571</v>
      </c>
      <c r="C45" s="406"/>
      <c r="D45" s="343"/>
      <c r="E45" s="343"/>
      <c r="F45" s="343"/>
      <c r="G45" s="343"/>
    </row>
    <row r="46" spans="2:7" x14ac:dyDescent="0.35">
      <c r="B46" s="408" t="s">
        <v>559</v>
      </c>
      <c r="C46" s="408"/>
      <c r="D46" s="346">
        <v>0.55083868533755598</v>
      </c>
      <c r="E46" s="328" t="s">
        <v>569</v>
      </c>
      <c r="F46" s="346">
        <v>0.55083868533755598</v>
      </c>
      <c r="G46" s="346">
        <v>0.69751876077868502</v>
      </c>
    </row>
    <row r="47" spans="2:7" ht="15" thickBot="1" x14ac:dyDescent="0.4">
      <c r="B47" s="409" t="s">
        <v>560</v>
      </c>
      <c r="C47" s="409"/>
      <c r="D47" s="347">
        <v>194914576.32479799</v>
      </c>
      <c r="E47" s="347">
        <v>-99638614.670714393</v>
      </c>
      <c r="F47" s="347">
        <v>194914576.32479799</v>
      </c>
      <c r="G47" s="347">
        <v>362012321.776636</v>
      </c>
    </row>
  </sheetData>
  <mergeCells count="55">
    <mergeCell ref="B17:C17"/>
    <mergeCell ref="B20:G20"/>
    <mergeCell ref="B25:C25"/>
    <mergeCell ref="B1:G1"/>
    <mergeCell ref="B2:C3"/>
    <mergeCell ref="D2:D3"/>
    <mergeCell ref="E2:E3"/>
    <mergeCell ref="F2:F3"/>
    <mergeCell ref="G2:G3"/>
    <mergeCell ref="B18:C18"/>
    <mergeCell ref="B23:C23"/>
    <mergeCell ref="E21:E22"/>
    <mergeCell ref="F21:F22"/>
    <mergeCell ref="G21:G22"/>
    <mergeCell ref="B5:C5"/>
    <mergeCell ref="B7:C7"/>
    <mergeCell ref="B14:C14"/>
    <mergeCell ref="B16:C16"/>
    <mergeCell ref="B15:C15"/>
    <mergeCell ref="B6:C6"/>
    <mergeCell ref="B8:C8"/>
    <mergeCell ref="B9:C9"/>
    <mergeCell ref="B11:G11"/>
    <mergeCell ref="B12:C13"/>
    <mergeCell ref="D12:D13"/>
    <mergeCell ref="E12:E13"/>
    <mergeCell ref="F12:F13"/>
    <mergeCell ref="G12:G13"/>
    <mergeCell ref="B26:C26"/>
    <mergeCell ref="B27:C27"/>
    <mergeCell ref="B21:C22"/>
    <mergeCell ref="D21:D22"/>
    <mergeCell ref="D31:D32"/>
    <mergeCell ref="B30:G30"/>
    <mergeCell ref="B24:C24"/>
    <mergeCell ref="B36:C36"/>
    <mergeCell ref="B37:C37"/>
    <mergeCell ref="B31:C32"/>
    <mergeCell ref="B41:C42"/>
    <mergeCell ref="D41:D42"/>
    <mergeCell ref="B33:C33"/>
    <mergeCell ref="B34:C34"/>
    <mergeCell ref="B35:C35"/>
    <mergeCell ref="B40:G40"/>
    <mergeCell ref="F41:F42"/>
    <mergeCell ref="G41:G42"/>
    <mergeCell ref="E31:E32"/>
    <mergeCell ref="F31:F32"/>
    <mergeCell ref="G31:G32"/>
    <mergeCell ref="E41:E42"/>
    <mergeCell ref="B43:C43"/>
    <mergeCell ref="B44:C44"/>
    <mergeCell ref="B45:C45"/>
    <mergeCell ref="B46:C46"/>
    <mergeCell ref="B47:C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770B-F916-426E-83EF-EF399876568D}">
  <sheetPr>
    <tabColor theme="8" tint="0.39997558519241921"/>
    <outlinePr summaryBelow="0"/>
  </sheetPr>
  <dimension ref="B1:K21"/>
  <sheetViews>
    <sheetView showGridLines="0" workbookViewId="0">
      <selection activeCell="B1" sqref="B1:K1"/>
    </sheetView>
  </sheetViews>
  <sheetFormatPr baseColWidth="10" defaultRowHeight="14.5" outlineLevelRow="1" outlineLevelCol="1" x14ac:dyDescent="0.35"/>
  <cols>
    <col min="3" max="3" width="18.90625" customWidth="1"/>
    <col min="4" max="4" width="15.90625" customWidth="1" outlineLevel="1"/>
    <col min="5" max="5" width="16.81640625" customWidth="1" outlineLevel="1"/>
    <col min="6" max="6" width="17.90625" customWidth="1" outlineLevel="1"/>
    <col min="7" max="7" width="17.26953125" customWidth="1" outlineLevel="1"/>
    <col min="8" max="9" width="17" customWidth="1" outlineLevel="1"/>
    <col min="10" max="10" width="12.54296875" customWidth="1" outlineLevel="1"/>
    <col min="11" max="11" width="17.453125" bestFit="1" customWidth="1" outlineLevel="1"/>
  </cols>
  <sheetData>
    <row r="1" spans="2:11" ht="15" x14ac:dyDescent="0.35">
      <c r="B1" s="422" t="s">
        <v>587</v>
      </c>
      <c r="C1" s="422"/>
      <c r="D1" s="422"/>
      <c r="E1" s="422"/>
      <c r="F1" s="422"/>
      <c r="G1" s="422"/>
      <c r="H1" s="422"/>
      <c r="I1" s="422"/>
      <c r="J1" s="422"/>
      <c r="K1" s="422"/>
    </row>
    <row r="2" spans="2:11" ht="15.5" customHeight="1" x14ac:dyDescent="0.35">
      <c r="B2" s="426" t="s">
        <v>555</v>
      </c>
      <c r="C2" s="426"/>
      <c r="D2" s="425" t="s">
        <v>556</v>
      </c>
      <c r="E2" s="399" t="s">
        <v>577</v>
      </c>
      <c r="F2" s="399" t="s">
        <v>579</v>
      </c>
      <c r="G2" s="399" t="s">
        <v>581</v>
      </c>
      <c r="H2" s="399" t="s">
        <v>582</v>
      </c>
      <c r="I2" s="399" t="s">
        <v>583</v>
      </c>
      <c r="J2" s="399" t="s">
        <v>585</v>
      </c>
      <c r="K2" s="399" t="s">
        <v>586</v>
      </c>
    </row>
    <row r="3" spans="2:11" ht="15.5" customHeight="1" collapsed="1" x14ac:dyDescent="0.35">
      <c r="B3" s="426"/>
      <c r="C3" s="426"/>
      <c r="D3" s="425"/>
      <c r="E3" s="399"/>
      <c r="F3" s="399"/>
      <c r="G3" s="399"/>
      <c r="H3" s="399"/>
      <c r="I3" s="399"/>
      <c r="J3" s="399"/>
      <c r="K3" s="399"/>
    </row>
    <row r="4" spans="2:11" ht="63" hidden="1" outlineLevel="1" x14ac:dyDescent="0.35">
      <c r="B4" s="330"/>
      <c r="C4" s="330"/>
      <c r="D4" s="331"/>
      <c r="E4" s="332" t="s">
        <v>578</v>
      </c>
      <c r="F4" s="332" t="s">
        <v>580</v>
      </c>
      <c r="G4" s="332" t="s">
        <v>580</v>
      </c>
      <c r="H4" s="332" t="s">
        <v>578</v>
      </c>
      <c r="I4" s="332" t="s">
        <v>580</v>
      </c>
      <c r="J4" s="332" t="s">
        <v>578</v>
      </c>
      <c r="K4" s="332" t="s">
        <v>580</v>
      </c>
    </row>
    <row r="5" spans="2:11" x14ac:dyDescent="0.35">
      <c r="B5" s="424" t="s">
        <v>561</v>
      </c>
      <c r="C5" s="424"/>
      <c r="D5" s="331"/>
      <c r="E5" s="331"/>
      <c r="F5" s="331"/>
      <c r="G5" s="331"/>
      <c r="H5" s="331"/>
      <c r="I5" s="331"/>
      <c r="J5" s="331"/>
      <c r="K5" s="331"/>
    </row>
    <row r="6" spans="2:11" outlineLevel="1" x14ac:dyDescent="0.35">
      <c r="B6" s="423" t="s">
        <v>587</v>
      </c>
      <c r="C6" s="423"/>
      <c r="D6" s="352">
        <v>5729.1202996825396</v>
      </c>
      <c r="E6" s="353">
        <v>6874.8239999999996</v>
      </c>
      <c r="F6" s="353">
        <v>6302.0320000000002</v>
      </c>
      <c r="G6" s="353">
        <v>5729.1202996825396</v>
      </c>
      <c r="H6" s="353">
        <v>5156.2079999999996</v>
      </c>
      <c r="I6" s="353">
        <v>4583.2960000000003</v>
      </c>
      <c r="J6" s="353">
        <v>7815.12</v>
      </c>
      <c r="K6" s="353">
        <v>9341.15</v>
      </c>
    </row>
    <row r="7" spans="2:11" x14ac:dyDescent="0.35">
      <c r="B7" s="424" t="s">
        <v>588</v>
      </c>
      <c r="C7" s="424"/>
      <c r="D7" s="331"/>
      <c r="E7" s="331"/>
      <c r="F7" s="331"/>
      <c r="G7" s="331"/>
      <c r="H7" s="331"/>
      <c r="I7" s="331"/>
      <c r="J7" s="331"/>
      <c r="K7" s="331"/>
    </row>
    <row r="8" spans="2:11" outlineLevel="1" x14ac:dyDescent="0.35">
      <c r="B8" s="423" t="s">
        <v>559</v>
      </c>
      <c r="C8" s="423"/>
      <c r="D8" s="349">
        <v>0.55083868533755598</v>
      </c>
      <c r="E8" s="349">
        <v>0.36736757744491699</v>
      </c>
      <c r="F8" s="349">
        <v>0.459688311433123</v>
      </c>
      <c r="G8" s="349">
        <v>0.55083868533755598</v>
      </c>
      <c r="H8" s="349">
        <v>0.64168679690583696</v>
      </c>
      <c r="I8" s="349">
        <v>0.736546914313019</v>
      </c>
      <c r="J8" s="349">
        <v>0.22341560710251701</v>
      </c>
      <c r="K8" s="349">
        <v>-1.70417182587812E-7</v>
      </c>
    </row>
    <row r="9" spans="2:11" outlineLevel="1" x14ac:dyDescent="0.35">
      <c r="B9" s="423" t="s">
        <v>560</v>
      </c>
      <c r="C9" s="423"/>
      <c r="D9" s="338">
        <v>194914576.32479799</v>
      </c>
      <c r="E9" s="338">
        <v>89002755.515981093</v>
      </c>
      <c r="F9" s="338">
        <v>143219947.430484</v>
      </c>
      <c r="G9" s="352">
        <v>194914576.32479799</v>
      </c>
      <c r="H9" s="338">
        <v>244734413.49359301</v>
      </c>
      <c r="I9" s="338">
        <v>294554224.60231602</v>
      </c>
      <c r="J9" s="338">
        <v>-248.521154902875</v>
      </c>
      <c r="K9" s="338">
        <v>-145996435.28129199</v>
      </c>
    </row>
    <row r="17" spans="9:9" x14ac:dyDescent="0.35">
      <c r="I17" s="339"/>
    </row>
    <row r="18" spans="9:9" x14ac:dyDescent="0.35">
      <c r="I18" s="66"/>
    </row>
    <row r="20" spans="9:9" x14ac:dyDescent="0.35">
      <c r="I20" s="339"/>
    </row>
    <row r="21" spans="9:9" x14ac:dyDescent="0.35">
      <c r="I21" s="66"/>
    </row>
  </sheetData>
  <mergeCells count="15">
    <mergeCell ref="B8:C8"/>
    <mergeCell ref="B9:C9"/>
    <mergeCell ref="B5:C5"/>
    <mergeCell ref="B7:C7"/>
    <mergeCell ref="E2:E3"/>
    <mergeCell ref="D2:D3"/>
    <mergeCell ref="B2:C3"/>
    <mergeCell ref="B1:K1"/>
    <mergeCell ref="I2:I3"/>
    <mergeCell ref="J2:J3"/>
    <mergeCell ref="K2:K3"/>
    <mergeCell ref="B6:C6"/>
    <mergeCell ref="F2:F3"/>
    <mergeCell ref="G2:G3"/>
    <mergeCell ref="H2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8E58-DF0A-4BAC-9E5D-505B725829AA}">
  <sheetPr>
    <tabColor theme="8" tint="-0.249977111117893"/>
    <outlinePr summaryBelow="0"/>
  </sheetPr>
  <dimension ref="B1:J18"/>
  <sheetViews>
    <sheetView showGridLines="0" workbookViewId="0">
      <selection activeCell="G14" sqref="G14"/>
    </sheetView>
  </sheetViews>
  <sheetFormatPr baseColWidth="10" defaultRowHeight="14.5" outlineLevelRow="1" outlineLevelCol="1" x14ac:dyDescent="0.35"/>
  <cols>
    <col min="3" max="3" width="6.90625" bestFit="1" customWidth="1"/>
    <col min="4" max="4" width="19" customWidth="1" outlineLevel="1"/>
    <col min="5" max="5" width="19.90625" customWidth="1" outlineLevel="1"/>
    <col min="6" max="6" width="17.6328125" customWidth="1" outlineLevel="1"/>
    <col min="7" max="7" width="20.26953125" customWidth="1" outlineLevel="1"/>
    <col min="8" max="8" width="17.453125" customWidth="1" outlineLevel="1"/>
    <col min="9" max="9" width="17.7265625" customWidth="1" outlineLevel="1"/>
    <col min="10" max="10" width="16.90625" customWidth="1" outlineLevel="1"/>
  </cols>
  <sheetData>
    <row r="1" spans="2:10" ht="16" thickBot="1" x14ac:dyDescent="0.4">
      <c r="B1" s="417" t="s">
        <v>8</v>
      </c>
      <c r="C1" s="427"/>
      <c r="D1" s="427"/>
      <c r="E1" s="427"/>
      <c r="F1" s="427"/>
      <c r="G1" s="427"/>
      <c r="H1" s="427"/>
      <c r="I1" s="427"/>
      <c r="J1" s="427"/>
    </row>
    <row r="2" spans="2:10" ht="15.5" customHeight="1" x14ac:dyDescent="0.35">
      <c r="B2" s="418" t="s">
        <v>555</v>
      </c>
      <c r="C2" s="418"/>
      <c r="D2" s="428" t="s">
        <v>556</v>
      </c>
      <c r="E2" s="410" t="s">
        <v>589</v>
      </c>
      <c r="F2" s="410" t="s">
        <v>590</v>
      </c>
      <c r="G2" s="420" t="s">
        <v>591</v>
      </c>
      <c r="H2" s="410" t="s">
        <v>592</v>
      </c>
      <c r="I2" s="420" t="s">
        <v>593</v>
      </c>
      <c r="J2" s="420" t="s">
        <v>584</v>
      </c>
    </row>
    <row r="3" spans="2:10" ht="15.5" customHeight="1" collapsed="1" x14ac:dyDescent="0.35">
      <c r="B3" s="419"/>
      <c r="C3" s="419"/>
      <c r="D3" s="429"/>
      <c r="E3" s="411"/>
      <c r="F3" s="411"/>
      <c r="G3" s="421"/>
      <c r="H3" s="411"/>
      <c r="I3" s="421"/>
      <c r="J3" s="421"/>
    </row>
    <row r="4" spans="2:10" ht="42" hidden="1" outlineLevel="1" x14ac:dyDescent="0.35">
      <c r="B4" s="340"/>
      <c r="C4" s="340"/>
      <c r="D4" s="341"/>
      <c r="E4" s="342" t="s">
        <v>578</v>
      </c>
      <c r="F4" s="342" t="s">
        <v>580</v>
      </c>
      <c r="G4" s="342" t="s">
        <v>580</v>
      </c>
      <c r="H4" s="342" t="s">
        <v>580</v>
      </c>
      <c r="I4" s="342" t="s">
        <v>580</v>
      </c>
      <c r="J4" s="342" t="s">
        <v>580</v>
      </c>
    </row>
    <row r="5" spans="2:10" x14ac:dyDescent="0.35">
      <c r="B5" s="406" t="s">
        <v>561</v>
      </c>
      <c r="C5" s="406"/>
      <c r="D5" s="343"/>
      <c r="E5" s="343"/>
      <c r="F5" s="343"/>
      <c r="G5" s="343"/>
      <c r="H5" s="343"/>
      <c r="I5" s="343"/>
      <c r="J5" s="343"/>
    </row>
    <row r="6" spans="2:10" outlineLevel="1" x14ac:dyDescent="0.35">
      <c r="B6" s="407" t="s">
        <v>8</v>
      </c>
      <c r="C6" s="407"/>
      <c r="D6" s="350">
        <v>200256576</v>
      </c>
      <c r="E6" s="351">
        <v>240307891.19999999</v>
      </c>
      <c r="F6" s="351">
        <v>220282233.59999999</v>
      </c>
      <c r="G6" s="351">
        <v>200256576</v>
      </c>
      <c r="H6" s="351">
        <v>180230918.40000001</v>
      </c>
      <c r="I6" s="351">
        <v>160205260.80000001</v>
      </c>
      <c r="J6" s="351">
        <v>283646444.74000001</v>
      </c>
    </row>
    <row r="7" spans="2:10" x14ac:dyDescent="0.35">
      <c r="B7" s="406" t="s">
        <v>588</v>
      </c>
      <c r="C7" s="406"/>
      <c r="D7" s="343"/>
      <c r="E7" s="343"/>
      <c r="F7" s="343"/>
      <c r="G7" s="343"/>
      <c r="H7" s="343"/>
      <c r="I7" s="343"/>
      <c r="J7" s="343"/>
    </row>
    <row r="8" spans="2:10" outlineLevel="1" x14ac:dyDescent="0.35">
      <c r="B8" s="408" t="s">
        <v>559</v>
      </c>
      <c r="C8" s="408"/>
      <c r="D8" s="346">
        <v>0.55083868533755598</v>
      </c>
      <c r="E8" s="346">
        <v>0.37799514861158601</v>
      </c>
      <c r="F8" s="346">
        <v>0.46212190643439799</v>
      </c>
      <c r="G8" s="346">
        <v>0.55083868533755598</v>
      </c>
      <c r="H8" s="346">
        <v>0.64493952919665898</v>
      </c>
      <c r="I8" s="346">
        <v>0.75026231948148403</v>
      </c>
      <c r="J8" s="346">
        <v>0.22341599823060601</v>
      </c>
    </row>
    <row r="9" spans="2:10" ht="15" outlineLevel="1" thickBot="1" x14ac:dyDescent="0.4">
      <c r="B9" s="409" t="s">
        <v>560</v>
      </c>
      <c r="C9" s="409"/>
      <c r="D9" s="347">
        <v>194914576.32479799</v>
      </c>
      <c r="E9" s="347">
        <v>102615955.57687999</v>
      </c>
      <c r="F9" s="347">
        <v>150032212.532271</v>
      </c>
      <c r="G9" s="347">
        <v>194914576.32479799</v>
      </c>
      <c r="H9" s="347">
        <v>237648023.464856</v>
      </c>
      <c r="I9" s="347">
        <v>280381470.604913</v>
      </c>
      <c r="J9" s="347">
        <v>-2.4083405733108499E-3</v>
      </c>
    </row>
    <row r="16" spans="2:10" x14ac:dyDescent="0.35">
      <c r="I16" s="66"/>
    </row>
    <row r="17" spans="8:10" x14ac:dyDescent="0.35">
      <c r="H17" s="339"/>
      <c r="J17" s="354"/>
    </row>
    <row r="18" spans="8:10" x14ac:dyDescent="0.35">
      <c r="H18" s="66"/>
    </row>
  </sheetData>
  <mergeCells count="14">
    <mergeCell ref="B5:C5"/>
    <mergeCell ref="B6:C6"/>
    <mergeCell ref="B7:C7"/>
    <mergeCell ref="B8:C8"/>
    <mergeCell ref="B9:C9"/>
    <mergeCell ref="J2:J3"/>
    <mergeCell ref="B1:J1"/>
    <mergeCell ref="D2:D3"/>
    <mergeCell ref="E2:E3"/>
    <mergeCell ref="F2:F3"/>
    <mergeCell ref="G2:G3"/>
    <mergeCell ref="H2:H3"/>
    <mergeCell ref="I2:I3"/>
    <mergeCell ref="B2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IV200"/>
  <sheetViews>
    <sheetView showGridLines="0" tabSelected="1" topLeftCell="A71" zoomScaleNormal="100" workbookViewId="0">
      <selection activeCell="A75" sqref="A75:G96"/>
    </sheetView>
  </sheetViews>
  <sheetFormatPr baseColWidth="10" defaultRowHeight="12.5" x14ac:dyDescent="0.25"/>
  <cols>
    <col min="1" max="1" width="51.90625" style="148" customWidth="1"/>
    <col min="2" max="2" width="20.453125" style="96" customWidth="1"/>
    <col min="3" max="3" width="23.453125" style="96" customWidth="1"/>
    <col min="4" max="4" width="18.26953125" style="96" bestFit="1" customWidth="1"/>
    <col min="5" max="5" width="17.81640625" style="96" bestFit="1" customWidth="1"/>
    <col min="6" max="6" width="22.81640625" style="96" customWidth="1"/>
    <col min="7" max="7" width="17.81640625" style="96" bestFit="1" customWidth="1"/>
    <col min="8" max="8" width="12.1796875" style="96" bestFit="1" customWidth="1"/>
    <col min="9" max="9" width="18.26953125" style="96" customWidth="1"/>
    <col min="10" max="10" width="17.453125" style="96" customWidth="1"/>
    <col min="11" max="11" width="16.1796875" style="96" customWidth="1"/>
    <col min="12" max="12" width="11.54296875" style="96" bestFit="1" customWidth="1"/>
    <col min="13" max="256" width="10.81640625" style="96"/>
    <col min="257" max="257" width="47.7265625" style="96" customWidth="1"/>
    <col min="258" max="258" width="9.81640625" style="96" customWidth="1"/>
    <col min="259" max="259" width="9.1796875" style="96" customWidth="1"/>
    <col min="260" max="260" width="9.7265625" style="96" customWidth="1"/>
    <col min="261" max="261" width="8.54296875" style="96" customWidth="1"/>
    <col min="262" max="262" width="10.81640625" style="96" customWidth="1"/>
    <col min="263" max="263" width="13.453125" style="96" customWidth="1"/>
    <col min="264" max="266" width="10.81640625" style="96"/>
    <col min="267" max="267" width="12.7265625" style="96" customWidth="1"/>
    <col min="268" max="268" width="11.54296875" style="96" bestFit="1" customWidth="1"/>
    <col min="269" max="512" width="10.81640625" style="96"/>
    <col min="513" max="513" width="47.7265625" style="96" customWidth="1"/>
    <col min="514" max="514" width="9.81640625" style="96" customWidth="1"/>
    <col min="515" max="515" width="9.1796875" style="96" customWidth="1"/>
    <col min="516" max="516" width="9.7265625" style="96" customWidth="1"/>
    <col min="517" max="517" width="8.54296875" style="96" customWidth="1"/>
    <col min="518" max="518" width="10.81640625" style="96" customWidth="1"/>
    <col min="519" max="519" width="13.453125" style="96" customWidth="1"/>
    <col min="520" max="522" width="10.81640625" style="96"/>
    <col min="523" max="523" width="12.7265625" style="96" customWidth="1"/>
    <col min="524" max="524" width="11.54296875" style="96" bestFit="1" customWidth="1"/>
    <col min="525" max="768" width="10.81640625" style="96"/>
    <col min="769" max="769" width="47.7265625" style="96" customWidth="1"/>
    <col min="770" max="770" width="9.81640625" style="96" customWidth="1"/>
    <col min="771" max="771" width="9.1796875" style="96" customWidth="1"/>
    <col min="772" max="772" width="9.7265625" style="96" customWidth="1"/>
    <col min="773" max="773" width="8.54296875" style="96" customWidth="1"/>
    <col min="774" max="774" width="10.81640625" style="96" customWidth="1"/>
    <col min="775" max="775" width="13.453125" style="96" customWidth="1"/>
    <col min="776" max="778" width="10.81640625" style="96"/>
    <col min="779" max="779" width="12.7265625" style="96" customWidth="1"/>
    <col min="780" max="780" width="11.54296875" style="96" bestFit="1" customWidth="1"/>
    <col min="781" max="1024" width="10.81640625" style="96"/>
    <col min="1025" max="1025" width="47.7265625" style="96" customWidth="1"/>
    <col min="1026" max="1026" width="9.81640625" style="96" customWidth="1"/>
    <col min="1027" max="1027" width="9.1796875" style="96" customWidth="1"/>
    <col min="1028" max="1028" width="9.7265625" style="96" customWidth="1"/>
    <col min="1029" max="1029" width="8.54296875" style="96" customWidth="1"/>
    <col min="1030" max="1030" width="10.81640625" style="96" customWidth="1"/>
    <col min="1031" max="1031" width="13.453125" style="96" customWidth="1"/>
    <col min="1032" max="1034" width="10.81640625" style="96"/>
    <col min="1035" max="1035" width="12.7265625" style="96" customWidth="1"/>
    <col min="1036" max="1036" width="11.54296875" style="96" bestFit="1" customWidth="1"/>
    <col min="1037" max="1280" width="10.81640625" style="96"/>
    <col min="1281" max="1281" width="47.7265625" style="96" customWidth="1"/>
    <col min="1282" max="1282" width="9.81640625" style="96" customWidth="1"/>
    <col min="1283" max="1283" width="9.1796875" style="96" customWidth="1"/>
    <col min="1284" max="1284" width="9.7265625" style="96" customWidth="1"/>
    <col min="1285" max="1285" width="8.54296875" style="96" customWidth="1"/>
    <col min="1286" max="1286" width="10.81640625" style="96" customWidth="1"/>
    <col min="1287" max="1287" width="13.453125" style="96" customWidth="1"/>
    <col min="1288" max="1290" width="10.81640625" style="96"/>
    <col min="1291" max="1291" width="12.7265625" style="96" customWidth="1"/>
    <col min="1292" max="1292" width="11.54296875" style="96" bestFit="1" customWidth="1"/>
    <col min="1293" max="1536" width="10.81640625" style="96"/>
    <col min="1537" max="1537" width="47.7265625" style="96" customWidth="1"/>
    <col min="1538" max="1538" width="9.81640625" style="96" customWidth="1"/>
    <col min="1539" max="1539" width="9.1796875" style="96" customWidth="1"/>
    <col min="1540" max="1540" width="9.7265625" style="96" customWidth="1"/>
    <col min="1541" max="1541" width="8.54296875" style="96" customWidth="1"/>
    <col min="1542" max="1542" width="10.81640625" style="96" customWidth="1"/>
    <col min="1543" max="1543" width="13.453125" style="96" customWidth="1"/>
    <col min="1544" max="1546" width="10.81640625" style="96"/>
    <col min="1547" max="1547" width="12.7265625" style="96" customWidth="1"/>
    <col min="1548" max="1548" width="11.54296875" style="96" bestFit="1" customWidth="1"/>
    <col min="1549" max="1792" width="10.81640625" style="96"/>
    <col min="1793" max="1793" width="47.7265625" style="96" customWidth="1"/>
    <col min="1794" max="1794" width="9.81640625" style="96" customWidth="1"/>
    <col min="1795" max="1795" width="9.1796875" style="96" customWidth="1"/>
    <col min="1796" max="1796" width="9.7265625" style="96" customWidth="1"/>
    <col min="1797" max="1797" width="8.54296875" style="96" customWidth="1"/>
    <col min="1798" max="1798" width="10.81640625" style="96" customWidth="1"/>
    <col min="1799" max="1799" width="13.453125" style="96" customWidth="1"/>
    <col min="1800" max="1802" width="10.81640625" style="96"/>
    <col min="1803" max="1803" width="12.7265625" style="96" customWidth="1"/>
    <col min="1804" max="1804" width="11.54296875" style="96" bestFit="1" customWidth="1"/>
    <col min="1805" max="2048" width="10.81640625" style="96"/>
    <col min="2049" max="2049" width="47.7265625" style="96" customWidth="1"/>
    <col min="2050" max="2050" width="9.81640625" style="96" customWidth="1"/>
    <col min="2051" max="2051" width="9.1796875" style="96" customWidth="1"/>
    <col min="2052" max="2052" width="9.7265625" style="96" customWidth="1"/>
    <col min="2053" max="2053" width="8.54296875" style="96" customWidth="1"/>
    <col min="2054" max="2054" width="10.81640625" style="96" customWidth="1"/>
    <col min="2055" max="2055" width="13.453125" style="96" customWidth="1"/>
    <col min="2056" max="2058" width="10.81640625" style="96"/>
    <col min="2059" max="2059" width="12.7265625" style="96" customWidth="1"/>
    <col min="2060" max="2060" width="11.54296875" style="96" bestFit="1" customWidth="1"/>
    <col min="2061" max="2304" width="10.81640625" style="96"/>
    <col min="2305" max="2305" width="47.7265625" style="96" customWidth="1"/>
    <col min="2306" max="2306" width="9.81640625" style="96" customWidth="1"/>
    <col min="2307" max="2307" width="9.1796875" style="96" customWidth="1"/>
    <col min="2308" max="2308" width="9.7265625" style="96" customWidth="1"/>
    <col min="2309" max="2309" width="8.54296875" style="96" customWidth="1"/>
    <col min="2310" max="2310" width="10.81640625" style="96" customWidth="1"/>
    <col min="2311" max="2311" width="13.453125" style="96" customWidth="1"/>
    <col min="2312" max="2314" width="10.81640625" style="96"/>
    <col min="2315" max="2315" width="12.7265625" style="96" customWidth="1"/>
    <col min="2316" max="2316" width="11.54296875" style="96" bestFit="1" customWidth="1"/>
    <col min="2317" max="2560" width="10.81640625" style="96"/>
    <col min="2561" max="2561" width="47.7265625" style="96" customWidth="1"/>
    <col min="2562" max="2562" width="9.81640625" style="96" customWidth="1"/>
    <col min="2563" max="2563" width="9.1796875" style="96" customWidth="1"/>
    <col min="2564" max="2564" width="9.7265625" style="96" customWidth="1"/>
    <col min="2565" max="2565" width="8.54296875" style="96" customWidth="1"/>
    <col min="2566" max="2566" width="10.81640625" style="96" customWidth="1"/>
    <col min="2567" max="2567" width="13.453125" style="96" customWidth="1"/>
    <col min="2568" max="2570" width="10.81640625" style="96"/>
    <col min="2571" max="2571" width="12.7265625" style="96" customWidth="1"/>
    <col min="2572" max="2572" width="11.54296875" style="96" bestFit="1" customWidth="1"/>
    <col min="2573" max="2816" width="10.81640625" style="96"/>
    <col min="2817" max="2817" width="47.7265625" style="96" customWidth="1"/>
    <col min="2818" max="2818" width="9.81640625" style="96" customWidth="1"/>
    <col min="2819" max="2819" width="9.1796875" style="96" customWidth="1"/>
    <col min="2820" max="2820" width="9.7265625" style="96" customWidth="1"/>
    <col min="2821" max="2821" width="8.54296875" style="96" customWidth="1"/>
    <col min="2822" max="2822" width="10.81640625" style="96" customWidth="1"/>
    <col min="2823" max="2823" width="13.453125" style="96" customWidth="1"/>
    <col min="2824" max="2826" width="10.81640625" style="96"/>
    <col min="2827" max="2827" width="12.7265625" style="96" customWidth="1"/>
    <col min="2828" max="2828" width="11.54296875" style="96" bestFit="1" customWidth="1"/>
    <col min="2829" max="3072" width="10.81640625" style="96"/>
    <col min="3073" max="3073" width="47.7265625" style="96" customWidth="1"/>
    <col min="3074" max="3074" width="9.81640625" style="96" customWidth="1"/>
    <col min="3075" max="3075" width="9.1796875" style="96" customWidth="1"/>
    <col min="3076" max="3076" width="9.7265625" style="96" customWidth="1"/>
    <col min="3077" max="3077" width="8.54296875" style="96" customWidth="1"/>
    <col min="3078" max="3078" width="10.81640625" style="96" customWidth="1"/>
    <col min="3079" max="3079" width="13.453125" style="96" customWidth="1"/>
    <col min="3080" max="3082" width="10.81640625" style="96"/>
    <col min="3083" max="3083" width="12.7265625" style="96" customWidth="1"/>
    <col min="3084" max="3084" width="11.54296875" style="96" bestFit="1" customWidth="1"/>
    <col min="3085" max="3328" width="10.81640625" style="96"/>
    <col min="3329" max="3329" width="47.7265625" style="96" customWidth="1"/>
    <col min="3330" max="3330" width="9.81640625" style="96" customWidth="1"/>
    <col min="3331" max="3331" width="9.1796875" style="96" customWidth="1"/>
    <col min="3332" max="3332" width="9.7265625" style="96" customWidth="1"/>
    <col min="3333" max="3333" width="8.54296875" style="96" customWidth="1"/>
    <col min="3334" max="3334" width="10.81640625" style="96" customWidth="1"/>
    <col min="3335" max="3335" width="13.453125" style="96" customWidth="1"/>
    <col min="3336" max="3338" width="10.81640625" style="96"/>
    <col min="3339" max="3339" width="12.7265625" style="96" customWidth="1"/>
    <col min="3340" max="3340" width="11.54296875" style="96" bestFit="1" customWidth="1"/>
    <col min="3341" max="3584" width="10.81640625" style="96"/>
    <col min="3585" max="3585" width="47.7265625" style="96" customWidth="1"/>
    <col min="3586" max="3586" width="9.81640625" style="96" customWidth="1"/>
    <col min="3587" max="3587" width="9.1796875" style="96" customWidth="1"/>
    <col min="3588" max="3588" width="9.7265625" style="96" customWidth="1"/>
    <col min="3589" max="3589" width="8.54296875" style="96" customWidth="1"/>
    <col min="3590" max="3590" width="10.81640625" style="96" customWidth="1"/>
    <col min="3591" max="3591" width="13.453125" style="96" customWidth="1"/>
    <col min="3592" max="3594" width="10.81640625" style="96"/>
    <col min="3595" max="3595" width="12.7265625" style="96" customWidth="1"/>
    <col min="3596" max="3596" width="11.54296875" style="96" bestFit="1" customWidth="1"/>
    <col min="3597" max="3840" width="10.81640625" style="96"/>
    <col min="3841" max="3841" width="47.7265625" style="96" customWidth="1"/>
    <col min="3842" max="3842" width="9.81640625" style="96" customWidth="1"/>
    <col min="3843" max="3843" width="9.1796875" style="96" customWidth="1"/>
    <col min="3844" max="3844" width="9.7265625" style="96" customWidth="1"/>
    <col min="3845" max="3845" width="8.54296875" style="96" customWidth="1"/>
    <col min="3846" max="3846" width="10.81640625" style="96" customWidth="1"/>
    <col min="3847" max="3847" width="13.453125" style="96" customWidth="1"/>
    <col min="3848" max="3850" width="10.81640625" style="96"/>
    <col min="3851" max="3851" width="12.7265625" style="96" customWidth="1"/>
    <col min="3852" max="3852" width="11.54296875" style="96" bestFit="1" customWidth="1"/>
    <col min="3853" max="4096" width="10.81640625" style="96"/>
    <col min="4097" max="4097" width="47.7265625" style="96" customWidth="1"/>
    <col min="4098" max="4098" width="9.81640625" style="96" customWidth="1"/>
    <col min="4099" max="4099" width="9.1796875" style="96" customWidth="1"/>
    <col min="4100" max="4100" width="9.7265625" style="96" customWidth="1"/>
    <col min="4101" max="4101" width="8.54296875" style="96" customWidth="1"/>
    <col min="4102" max="4102" width="10.81640625" style="96" customWidth="1"/>
    <col min="4103" max="4103" width="13.453125" style="96" customWidth="1"/>
    <col min="4104" max="4106" width="10.81640625" style="96"/>
    <col min="4107" max="4107" width="12.7265625" style="96" customWidth="1"/>
    <col min="4108" max="4108" width="11.54296875" style="96" bestFit="1" customWidth="1"/>
    <col min="4109" max="4352" width="10.81640625" style="96"/>
    <col min="4353" max="4353" width="47.7265625" style="96" customWidth="1"/>
    <col min="4354" max="4354" width="9.81640625" style="96" customWidth="1"/>
    <col min="4355" max="4355" width="9.1796875" style="96" customWidth="1"/>
    <col min="4356" max="4356" width="9.7265625" style="96" customWidth="1"/>
    <col min="4357" max="4357" width="8.54296875" style="96" customWidth="1"/>
    <col min="4358" max="4358" width="10.81640625" style="96" customWidth="1"/>
    <col min="4359" max="4359" width="13.453125" style="96" customWidth="1"/>
    <col min="4360" max="4362" width="10.81640625" style="96"/>
    <col min="4363" max="4363" width="12.7265625" style="96" customWidth="1"/>
    <col min="4364" max="4364" width="11.54296875" style="96" bestFit="1" customWidth="1"/>
    <col min="4365" max="4608" width="10.81640625" style="96"/>
    <col min="4609" max="4609" width="47.7265625" style="96" customWidth="1"/>
    <col min="4610" max="4610" width="9.81640625" style="96" customWidth="1"/>
    <col min="4611" max="4611" width="9.1796875" style="96" customWidth="1"/>
    <col min="4612" max="4612" width="9.7265625" style="96" customWidth="1"/>
    <col min="4613" max="4613" width="8.54296875" style="96" customWidth="1"/>
    <col min="4614" max="4614" width="10.81640625" style="96" customWidth="1"/>
    <col min="4615" max="4615" width="13.453125" style="96" customWidth="1"/>
    <col min="4616" max="4618" width="10.81640625" style="96"/>
    <col min="4619" max="4619" width="12.7265625" style="96" customWidth="1"/>
    <col min="4620" max="4620" width="11.54296875" style="96" bestFit="1" customWidth="1"/>
    <col min="4621" max="4864" width="10.81640625" style="96"/>
    <col min="4865" max="4865" width="47.7265625" style="96" customWidth="1"/>
    <col min="4866" max="4866" width="9.81640625" style="96" customWidth="1"/>
    <col min="4867" max="4867" width="9.1796875" style="96" customWidth="1"/>
    <col min="4868" max="4868" width="9.7265625" style="96" customWidth="1"/>
    <col min="4869" max="4869" width="8.54296875" style="96" customWidth="1"/>
    <col min="4870" max="4870" width="10.81640625" style="96" customWidth="1"/>
    <col min="4871" max="4871" width="13.453125" style="96" customWidth="1"/>
    <col min="4872" max="4874" width="10.81640625" style="96"/>
    <col min="4875" max="4875" width="12.7265625" style="96" customWidth="1"/>
    <col min="4876" max="4876" width="11.54296875" style="96" bestFit="1" customWidth="1"/>
    <col min="4877" max="5120" width="10.81640625" style="96"/>
    <col min="5121" max="5121" width="47.7265625" style="96" customWidth="1"/>
    <col min="5122" max="5122" width="9.81640625" style="96" customWidth="1"/>
    <col min="5123" max="5123" width="9.1796875" style="96" customWidth="1"/>
    <col min="5124" max="5124" width="9.7265625" style="96" customWidth="1"/>
    <col min="5125" max="5125" width="8.54296875" style="96" customWidth="1"/>
    <col min="5126" max="5126" width="10.81640625" style="96" customWidth="1"/>
    <col min="5127" max="5127" width="13.453125" style="96" customWidth="1"/>
    <col min="5128" max="5130" width="10.81640625" style="96"/>
    <col min="5131" max="5131" width="12.7265625" style="96" customWidth="1"/>
    <col min="5132" max="5132" width="11.54296875" style="96" bestFit="1" customWidth="1"/>
    <col min="5133" max="5376" width="10.81640625" style="96"/>
    <col min="5377" max="5377" width="47.7265625" style="96" customWidth="1"/>
    <col min="5378" max="5378" width="9.81640625" style="96" customWidth="1"/>
    <col min="5379" max="5379" width="9.1796875" style="96" customWidth="1"/>
    <col min="5380" max="5380" width="9.7265625" style="96" customWidth="1"/>
    <col min="5381" max="5381" width="8.54296875" style="96" customWidth="1"/>
    <col min="5382" max="5382" width="10.81640625" style="96" customWidth="1"/>
    <col min="5383" max="5383" width="13.453125" style="96" customWidth="1"/>
    <col min="5384" max="5386" width="10.81640625" style="96"/>
    <col min="5387" max="5387" width="12.7265625" style="96" customWidth="1"/>
    <col min="5388" max="5388" width="11.54296875" style="96" bestFit="1" customWidth="1"/>
    <col min="5389" max="5632" width="10.81640625" style="96"/>
    <col min="5633" max="5633" width="47.7265625" style="96" customWidth="1"/>
    <col min="5634" max="5634" width="9.81640625" style="96" customWidth="1"/>
    <col min="5635" max="5635" width="9.1796875" style="96" customWidth="1"/>
    <col min="5636" max="5636" width="9.7265625" style="96" customWidth="1"/>
    <col min="5637" max="5637" width="8.54296875" style="96" customWidth="1"/>
    <col min="5638" max="5638" width="10.81640625" style="96" customWidth="1"/>
    <col min="5639" max="5639" width="13.453125" style="96" customWidth="1"/>
    <col min="5640" max="5642" width="10.81640625" style="96"/>
    <col min="5643" max="5643" width="12.7265625" style="96" customWidth="1"/>
    <col min="5644" max="5644" width="11.54296875" style="96" bestFit="1" customWidth="1"/>
    <col min="5645" max="5888" width="10.81640625" style="96"/>
    <col min="5889" max="5889" width="47.7265625" style="96" customWidth="1"/>
    <col min="5890" max="5890" width="9.81640625" style="96" customWidth="1"/>
    <col min="5891" max="5891" width="9.1796875" style="96" customWidth="1"/>
    <col min="5892" max="5892" width="9.7265625" style="96" customWidth="1"/>
    <col min="5893" max="5893" width="8.54296875" style="96" customWidth="1"/>
    <col min="5894" max="5894" width="10.81640625" style="96" customWidth="1"/>
    <col min="5895" max="5895" width="13.453125" style="96" customWidth="1"/>
    <col min="5896" max="5898" width="10.81640625" style="96"/>
    <col min="5899" max="5899" width="12.7265625" style="96" customWidth="1"/>
    <col min="5900" max="5900" width="11.54296875" style="96" bestFit="1" customWidth="1"/>
    <col min="5901" max="6144" width="10.81640625" style="96"/>
    <col min="6145" max="6145" width="47.7265625" style="96" customWidth="1"/>
    <col min="6146" max="6146" width="9.81640625" style="96" customWidth="1"/>
    <col min="6147" max="6147" width="9.1796875" style="96" customWidth="1"/>
    <col min="6148" max="6148" width="9.7265625" style="96" customWidth="1"/>
    <col min="6149" max="6149" width="8.54296875" style="96" customWidth="1"/>
    <col min="6150" max="6150" width="10.81640625" style="96" customWidth="1"/>
    <col min="6151" max="6151" width="13.453125" style="96" customWidth="1"/>
    <col min="6152" max="6154" width="10.81640625" style="96"/>
    <col min="6155" max="6155" width="12.7265625" style="96" customWidth="1"/>
    <col min="6156" max="6156" width="11.54296875" style="96" bestFit="1" customWidth="1"/>
    <col min="6157" max="6400" width="10.81640625" style="96"/>
    <col min="6401" max="6401" width="47.7265625" style="96" customWidth="1"/>
    <col min="6402" max="6402" width="9.81640625" style="96" customWidth="1"/>
    <col min="6403" max="6403" width="9.1796875" style="96" customWidth="1"/>
    <col min="6404" max="6404" width="9.7265625" style="96" customWidth="1"/>
    <col min="6405" max="6405" width="8.54296875" style="96" customWidth="1"/>
    <col min="6406" max="6406" width="10.81640625" style="96" customWidth="1"/>
    <col min="6407" max="6407" width="13.453125" style="96" customWidth="1"/>
    <col min="6408" max="6410" width="10.81640625" style="96"/>
    <col min="6411" max="6411" width="12.7265625" style="96" customWidth="1"/>
    <col min="6412" max="6412" width="11.54296875" style="96" bestFit="1" customWidth="1"/>
    <col min="6413" max="6656" width="10.81640625" style="96"/>
    <col min="6657" max="6657" width="47.7265625" style="96" customWidth="1"/>
    <col min="6658" max="6658" width="9.81640625" style="96" customWidth="1"/>
    <col min="6659" max="6659" width="9.1796875" style="96" customWidth="1"/>
    <col min="6660" max="6660" width="9.7265625" style="96" customWidth="1"/>
    <col min="6661" max="6661" width="8.54296875" style="96" customWidth="1"/>
    <col min="6662" max="6662" width="10.81640625" style="96" customWidth="1"/>
    <col min="6663" max="6663" width="13.453125" style="96" customWidth="1"/>
    <col min="6664" max="6666" width="10.81640625" style="96"/>
    <col min="6667" max="6667" width="12.7265625" style="96" customWidth="1"/>
    <col min="6668" max="6668" width="11.54296875" style="96" bestFit="1" customWidth="1"/>
    <col min="6669" max="6912" width="10.81640625" style="96"/>
    <col min="6913" max="6913" width="47.7265625" style="96" customWidth="1"/>
    <col min="6914" max="6914" width="9.81640625" style="96" customWidth="1"/>
    <col min="6915" max="6915" width="9.1796875" style="96" customWidth="1"/>
    <col min="6916" max="6916" width="9.7265625" style="96" customWidth="1"/>
    <col min="6917" max="6917" width="8.54296875" style="96" customWidth="1"/>
    <col min="6918" max="6918" width="10.81640625" style="96" customWidth="1"/>
    <col min="6919" max="6919" width="13.453125" style="96" customWidth="1"/>
    <col min="6920" max="6922" width="10.81640625" style="96"/>
    <col min="6923" max="6923" width="12.7265625" style="96" customWidth="1"/>
    <col min="6924" max="6924" width="11.54296875" style="96" bestFit="1" customWidth="1"/>
    <col min="6925" max="7168" width="10.81640625" style="96"/>
    <col min="7169" max="7169" width="47.7265625" style="96" customWidth="1"/>
    <col min="7170" max="7170" width="9.81640625" style="96" customWidth="1"/>
    <col min="7171" max="7171" width="9.1796875" style="96" customWidth="1"/>
    <col min="7172" max="7172" width="9.7265625" style="96" customWidth="1"/>
    <col min="7173" max="7173" width="8.54296875" style="96" customWidth="1"/>
    <col min="7174" max="7174" width="10.81640625" style="96" customWidth="1"/>
    <col min="7175" max="7175" width="13.453125" style="96" customWidth="1"/>
    <col min="7176" max="7178" width="10.81640625" style="96"/>
    <col min="7179" max="7179" width="12.7265625" style="96" customWidth="1"/>
    <col min="7180" max="7180" width="11.54296875" style="96" bestFit="1" customWidth="1"/>
    <col min="7181" max="7424" width="10.81640625" style="96"/>
    <col min="7425" max="7425" width="47.7265625" style="96" customWidth="1"/>
    <col min="7426" max="7426" width="9.81640625" style="96" customWidth="1"/>
    <col min="7427" max="7427" width="9.1796875" style="96" customWidth="1"/>
    <col min="7428" max="7428" width="9.7265625" style="96" customWidth="1"/>
    <col min="7429" max="7429" width="8.54296875" style="96" customWidth="1"/>
    <col min="7430" max="7430" width="10.81640625" style="96" customWidth="1"/>
    <col min="7431" max="7431" width="13.453125" style="96" customWidth="1"/>
    <col min="7432" max="7434" width="10.81640625" style="96"/>
    <col min="7435" max="7435" width="12.7265625" style="96" customWidth="1"/>
    <col min="7436" max="7436" width="11.54296875" style="96" bestFit="1" customWidth="1"/>
    <col min="7437" max="7680" width="10.81640625" style="96"/>
    <col min="7681" max="7681" width="47.7265625" style="96" customWidth="1"/>
    <col min="7682" max="7682" width="9.81640625" style="96" customWidth="1"/>
    <col min="7683" max="7683" width="9.1796875" style="96" customWidth="1"/>
    <col min="7684" max="7684" width="9.7265625" style="96" customWidth="1"/>
    <col min="7685" max="7685" width="8.54296875" style="96" customWidth="1"/>
    <col min="7686" max="7686" width="10.81640625" style="96" customWidth="1"/>
    <col min="7687" max="7687" width="13.453125" style="96" customWidth="1"/>
    <col min="7688" max="7690" width="10.81640625" style="96"/>
    <col min="7691" max="7691" width="12.7265625" style="96" customWidth="1"/>
    <col min="7692" max="7692" width="11.54296875" style="96" bestFit="1" customWidth="1"/>
    <col min="7693" max="7936" width="10.81640625" style="96"/>
    <col min="7937" max="7937" width="47.7265625" style="96" customWidth="1"/>
    <col min="7938" max="7938" width="9.81640625" style="96" customWidth="1"/>
    <col min="7939" max="7939" width="9.1796875" style="96" customWidth="1"/>
    <col min="7940" max="7940" width="9.7265625" style="96" customWidth="1"/>
    <col min="7941" max="7941" width="8.54296875" style="96" customWidth="1"/>
    <col min="7942" max="7942" width="10.81640625" style="96" customWidth="1"/>
    <col min="7943" max="7943" width="13.453125" style="96" customWidth="1"/>
    <col min="7944" max="7946" width="10.81640625" style="96"/>
    <col min="7947" max="7947" width="12.7265625" style="96" customWidth="1"/>
    <col min="7948" max="7948" width="11.54296875" style="96" bestFit="1" customWidth="1"/>
    <col min="7949" max="8192" width="10.81640625" style="96"/>
    <col min="8193" max="8193" width="47.7265625" style="96" customWidth="1"/>
    <col min="8194" max="8194" width="9.81640625" style="96" customWidth="1"/>
    <col min="8195" max="8195" width="9.1796875" style="96" customWidth="1"/>
    <col min="8196" max="8196" width="9.7265625" style="96" customWidth="1"/>
    <col min="8197" max="8197" width="8.54296875" style="96" customWidth="1"/>
    <col min="8198" max="8198" width="10.81640625" style="96" customWidth="1"/>
    <col min="8199" max="8199" width="13.453125" style="96" customWidth="1"/>
    <col min="8200" max="8202" width="10.81640625" style="96"/>
    <col min="8203" max="8203" width="12.7265625" style="96" customWidth="1"/>
    <col min="8204" max="8204" width="11.54296875" style="96" bestFit="1" customWidth="1"/>
    <col min="8205" max="8448" width="10.81640625" style="96"/>
    <col min="8449" max="8449" width="47.7265625" style="96" customWidth="1"/>
    <col min="8450" max="8450" width="9.81640625" style="96" customWidth="1"/>
    <col min="8451" max="8451" width="9.1796875" style="96" customWidth="1"/>
    <col min="8452" max="8452" width="9.7265625" style="96" customWidth="1"/>
    <col min="8453" max="8453" width="8.54296875" style="96" customWidth="1"/>
    <col min="8454" max="8454" width="10.81640625" style="96" customWidth="1"/>
    <col min="8455" max="8455" width="13.453125" style="96" customWidth="1"/>
    <col min="8456" max="8458" width="10.81640625" style="96"/>
    <col min="8459" max="8459" width="12.7265625" style="96" customWidth="1"/>
    <col min="8460" max="8460" width="11.54296875" style="96" bestFit="1" customWidth="1"/>
    <col min="8461" max="8704" width="10.81640625" style="96"/>
    <col min="8705" max="8705" width="47.7265625" style="96" customWidth="1"/>
    <col min="8706" max="8706" width="9.81640625" style="96" customWidth="1"/>
    <col min="8707" max="8707" width="9.1796875" style="96" customWidth="1"/>
    <col min="8708" max="8708" width="9.7265625" style="96" customWidth="1"/>
    <col min="8709" max="8709" width="8.54296875" style="96" customWidth="1"/>
    <col min="8710" max="8710" width="10.81640625" style="96" customWidth="1"/>
    <col min="8711" max="8711" width="13.453125" style="96" customWidth="1"/>
    <col min="8712" max="8714" width="10.81640625" style="96"/>
    <col min="8715" max="8715" width="12.7265625" style="96" customWidth="1"/>
    <col min="8716" max="8716" width="11.54296875" style="96" bestFit="1" customWidth="1"/>
    <col min="8717" max="8960" width="10.81640625" style="96"/>
    <col min="8961" max="8961" width="47.7265625" style="96" customWidth="1"/>
    <col min="8962" max="8962" width="9.81640625" style="96" customWidth="1"/>
    <col min="8963" max="8963" width="9.1796875" style="96" customWidth="1"/>
    <col min="8964" max="8964" width="9.7265625" style="96" customWidth="1"/>
    <col min="8965" max="8965" width="8.54296875" style="96" customWidth="1"/>
    <col min="8966" max="8966" width="10.81640625" style="96" customWidth="1"/>
    <col min="8967" max="8967" width="13.453125" style="96" customWidth="1"/>
    <col min="8968" max="8970" width="10.81640625" style="96"/>
    <col min="8971" max="8971" width="12.7265625" style="96" customWidth="1"/>
    <col min="8972" max="8972" width="11.54296875" style="96" bestFit="1" customWidth="1"/>
    <col min="8973" max="9216" width="10.81640625" style="96"/>
    <col min="9217" max="9217" width="47.7265625" style="96" customWidth="1"/>
    <col min="9218" max="9218" width="9.81640625" style="96" customWidth="1"/>
    <col min="9219" max="9219" width="9.1796875" style="96" customWidth="1"/>
    <col min="9220" max="9220" width="9.7265625" style="96" customWidth="1"/>
    <col min="9221" max="9221" width="8.54296875" style="96" customWidth="1"/>
    <col min="9222" max="9222" width="10.81640625" style="96" customWidth="1"/>
    <col min="9223" max="9223" width="13.453125" style="96" customWidth="1"/>
    <col min="9224" max="9226" width="10.81640625" style="96"/>
    <col min="9227" max="9227" width="12.7265625" style="96" customWidth="1"/>
    <col min="9228" max="9228" width="11.54296875" style="96" bestFit="1" customWidth="1"/>
    <col min="9229" max="9472" width="10.81640625" style="96"/>
    <col min="9473" max="9473" width="47.7265625" style="96" customWidth="1"/>
    <col min="9474" max="9474" width="9.81640625" style="96" customWidth="1"/>
    <col min="9475" max="9475" width="9.1796875" style="96" customWidth="1"/>
    <col min="9476" max="9476" width="9.7265625" style="96" customWidth="1"/>
    <col min="9477" max="9477" width="8.54296875" style="96" customWidth="1"/>
    <col min="9478" max="9478" width="10.81640625" style="96" customWidth="1"/>
    <col min="9479" max="9479" width="13.453125" style="96" customWidth="1"/>
    <col min="9480" max="9482" width="10.81640625" style="96"/>
    <col min="9483" max="9483" width="12.7265625" style="96" customWidth="1"/>
    <col min="9484" max="9484" width="11.54296875" style="96" bestFit="1" customWidth="1"/>
    <col min="9485" max="9728" width="10.81640625" style="96"/>
    <col min="9729" max="9729" width="47.7265625" style="96" customWidth="1"/>
    <col min="9730" max="9730" width="9.81640625" style="96" customWidth="1"/>
    <col min="9731" max="9731" width="9.1796875" style="96" customWidth="1"/>
    <col min="9732" max="9732" width="9.7265625" style="96" customWidth="1"/>
    <col min="9733" max="9733" width="8.54296875" style="96" customWidth="1"/>
    <col min="9734" max="9734" width="10.81640625" style="96" customWidth="1"/>
    <col min="9735" max="9735" width="13.453125" style="96" customWidth="1"/>
    <col min="9736" max="9738" width="10.81640625" style="96"/>
    <col min="9739" max="9739" width="12.7265625" style="96" customWidth="1"/>
    <col min="9740" max="9740" width="11.54296875" style="96" bestFit="1" customWidth="1"/>
    <col min="9741" max="9984" width="10.81640625" style="96"/>
    <col min="9985" max="9985" width="47.7265625" style="96" customWidth="1"/>
    <col min="9986" max="9986" width="9.81640625" style="96" customWidth="1"/>
    <col min="9987" max="9987" width="9.1796875" style="96" customWidth="1"/>
    <col min="9988" max="9988" width="9.7265625" style="96" customWidth="1"/>
    <col min="9989" max="9989" width="8.54296875" style="96" customWidth="1"/>
    <col min="9990" max="9990" width="10.81640625" style="96" customWidth="1"/>
    <col min="9991" max="9991" width="13.453125" style="96" customWidth="1"/>
    <col min="9992" max="9994" width="10.81640625" style="96"/>
    <col min="9995" max="9995" width="12.7265625" style="96" customWidth="1"/>
    <col min="9996" max="9996" width="11.54296875" style="96" bestFit="1" customWidth="1"/>
    <col min="9997" max="10240" width="10.81640625" style="96"/>
    <col min="10241" max="10241" width="47.7265625" style="96" customWidth="1"/>
    <col min="10242" max="10242" width="9.81640625" style="96" customWidth="1"/>
    <col min="10243" max="10243" width="9.1796875" style="96" customWidth="1"/>
    <col min="10244" max="10244" width="9.7265625" style="96" customWidth="1"/>
    <col min="10245" max="10245" width="8.54296875" style="96" customWidth="1"/>
    <col min="10246" max="10246" width="10.81640625" style="96" customWidth="1"/>
    <col min="10247" max="10247" width="13.453125" style="96" customWidth="1"/>
    <col min="10248" max="10250" width="10.81640625" style="96"/>
    <col min="10251" max="10251" width="12.7265625" style="96" customWidth="1"/>
    <col min="10252" max="10252" width="11.54296875" style="96" bestFit="1" customWidth="1"/>
    <col min="10253" max="10496" width="10.81640625" style="96"/>
    <col min="10497" max="10497" width="47.7265625" style="96" customWidth="1"/>
    <col min="10498" max="10498" width="9.81640625" style="96" customWidth="1"/>
    <col min="10499" max="10499" width="9.1796875" style="96" customWidth="1"/>
    <col min="10500" max="10500" width="9.7265625" style="96" customWidth="1"/>
    <col min="10501" max="10501" width="8.54296875" style="96" customWidth="1"/>
    <col min="10502" max="10502" width="10.81640625" style="96" customWidth="1"/>
    <col min="10503" max="10503" width="13.453125" style="96" customWidth="1"/>
    <col min="10504" max="10506" width="10.81640625" style="96"/>
    <col min="10507" max="10507" width="12.7265625" style="96" customWidth="1"/>
    <col min="10508" max="10508" width="11.54296875" style="96" bestFit="1" customWidth="1"/>
    <col min="10509" max="10752" width="10.81640625" style="96"/>
    <col min="10753" max="10753" width="47.7265625" style="96" customWidth="1"/>
    <col min="10754" max="10754" width="9.81640625" style="96" customWidth="1"/>
    <col min="10755" max="10755" width="9.1796875" style="96" customWidth="1"/>
    <col min="10756" max="10756" width="9.7265625" style="96" customWidth="1"/>
    <col min="10757" max="10757" width="8.54296875" style="96" customWidth="1"/>
    <col min="10758" max="10758" width="10.81640625" style="96" customWidth="1"/>
    <col min="10759" max="10759" width="13.453125" style="96" customWidth="1"/>
    <col min="10760" max="10762" width="10.81640625" style="96"/>
    <col min="10763" max="10763" width="12.7265625" style="96" customWidth="1"/>
    <col min="10764" max="10764" width="11.54296875" style="96" bestFit="1" customWidth="1"/>
    <col min="10765" max="11008" width="10.81640625" style="96"/>
    <col min="11009" max="11009" width="47.7265625" style="96" customWidth="1"/>
    <col min="11010" max="11010" width="9.81640625" style="96" customWidth="1"/>
    <col min="11011" max="11011" width="9.1796875" style="96" customWidth="1"/>
    <col min="11012" max="11012" width="9.7265625" style="96" customWidth="1"/>
    <col min="11013" max="11013" width="8.54296875" style="96" customWidth="1"/>
    <col min="11014" max="11014" width="10.81640625" style="96" customWidth="1"/>
    <col min="11015" max="11015" width="13.453125" style="96" customWidth="1"/>
    <col min="11016" max="11018" width="10.81640625" style="96"/>
    <col min="11019" max="11019" width="12.7265625" style="96" customWidth="1"/>
    <col min="11020" max="11020" width="11.54296875" style="96" bestFit="1" customWidth="1"/>
    <col min="11021" max="11264" width="10.81640625" style="96"/>
    <col min="11265" max="11265" width="47.7265625" style="96" customWidth="1"/>
    <col min="11266" max="11266" width="9.81640625" style="96" customWidth="1"/>
    <col min="11267" max="11267" width="9.1796875" style="96" customWidth="1"/>
    <col min="11268" max="11268" width="9.7265625" style="96" customWidth="1"/>
    <col min="11269" max="11269" width="8.54296875" style="96" customWidth="1"/>
    <col min="11270" max="11270" width="10.81640625" style="96" customWidth="1"/>
    <col min="11271" max="11271" width="13.453125" style="96" customWidth="1"/>
    <col min="11272" max="11274" width="10.81640625" style="96"/>
    <col min="11275" max="11275" width="12.7265625" style="96" customWidth="1"/>
    <col min="11276" max="11276" width="11.54296875" style="96" bestFit="1" customWidth="1"/>
    <col min="11277" max="11520" width="10.81640625" style="96"/>
    <col min="11521" max="11521" width="47.7265625" style="96" customWidth="1"/>
    <col min="11522" max="11522" width="9.81640625" style="96" customWidth="1"/>
    <col min="11523" max="11523" width="9.1796875" style="96" customWidth="1"/>
    <col min="11524" max="11524" width="9.7265625" style="96" customWidth="1"/>
    <col min="11525" max="11525" width="8.54296875" style="96" customWidth="1"/>
    <col min="11526" max="11526" width="10.81640625" style="96" customWidth="1"/>
    <col min="11527" max="11527" width="13.453125" style="96" customWidth="1"/>
    <col min="11528" max="11530" width="10.81640625" style="96"/>
    <col min="11531" max="11531" width="12.7265625" style="96" customWidth="1"/>
    <col min="11532" max="11532" width="11.54296875" style="96" bestFit="1" customWidth="1"/>
    <col min="11533" max="11776" width="10.81640625" style="96"/>
    <col min="11777" max="11777" width="47.7265625" style="96" customWidth="1"/>
    <col min="11778" max="11778" width="9.81640625" style="96" customWidth="1"/>
    <col min="11779" max="11779" width="9.1796875" style="96" customWidth="1"/>
    <col min="11780" max="11780" width="9.7265625" style="96" customWidth="1"/>
    <col min="11781" max="11781" width="8.54296875" style="96" customWidth="1"/>
    <col min="11782" max="11782" width="10.81640625" style="96" customWidth="1"/>
    <col min="11783" max="11783" width="13.453125" style="96" customWidth="1"/>
    <col min="11784" max="11786" width="10.81640625" style="96"/>
    <col min="11787" max="11787" width="12.7265625" style="96" customWidth="1"/>
    <col min="11788" max="11788" width="11.54296875" style="96" bestFit="1" customWidth="1"/>
    <col min="11789" max="12032" width="10.81640625" style="96"/>
    <col min="12033" max="12033" width="47.7265625" style="96" customWidth="1"/>
    <col min="12034" max="12034" width="9.81640625" style="96" customWidth="1"/>
    <col min="12035" max="12035" width="9.1796875" style="96" customWidth="1"/>
    <col min="12036" max="12036" width="9.7265625" style="96" customWidth="1"/>
    <col min="12037" max="12037" width="8.54296875" style="96" customWidth="1"/>
    <col min="12038" max="12038" width="10.81640625" style="96" customWidth="1"/>
    <col min="12039" max="12039" width="13.453125" style="96" customWidth="1"/>
    <col min="12040" max="12042" width="10.81640625" style="96"/>
    <col min="12043" max="12043" width="12.7265625" style="96" customWidth="1"/>
    <col min="12044" max="12044" width="11.54296875" style="96" bestFit="1" customWidth="1"/>
    <col min="12045" max="12288" width="10.81640625" style="96"/>
    <col min="12289" max="12289" width="47.7265625" style="96" customWidth="1"/>
    <col min="12290" max="12290" width="9.81640625" style="96" customWidth="1"/>
    <col min="12291" max="12291" width="9.1796875" style="96" customWidth="1"/>
    <col min="12292" max="12292" width="9.7265625" style="96" customWidth="1"/>
    <col min="12293" max="12293" width="8.54296875" style="96" customWidth="1"/>
    <col min="12294" max="12294" width="10.81640625" style="96" customWidth="1"/>
    <col min="12295" max="12295" width="13.453125" style="96" customWidth="1"/>
    <col min="12296" max="12298" width="10.81640625" style="96"/>
    <col min="12299" max="12299" width="12.7265625" style="96" customWidth="1"/>
    <col min="12300" max="12300" width="11.54296875" style="96" bestFit="1" customWidth="1"/>
    <col min="12301" max="12544" width="10.81640625" style="96"/>
    <col min="12545" max="12545" width="47.7265625" style="96" customWidth="1"/>
    <col min="12546" max="12546" width="9.81640625" style="96" customWidth="1"/>
    <col min="12547" max="12547" width="9.1796875" style="96" customWidth="1"/>
    <col min="12548" max="12548" width="9.7265625" style="96" customWidth="1"/>
    <col min="12549" max="12549" width="8.54296875" style="96" customWidth="1"/>
    <col min="12550" max="12550" width="10.81640625" style="96" customWidth="1"/>
    <col min="12551" max="12551" width="13.453125" style="96" customWidth="1"/>
    <col min="12552" max="12554" width="10.81640625" style="96"/>
    <col min="12555" max="12555" width="12.7265625" style="96" customWidth="1"/>
    <col min="12556" max="12556" width="11.54296875" style="96" bestFit="1" customWidth="1"/>
    <col min="12557" max="12800" width="10.81640625" style="96"/>
    <col min="12801" max="12801" width="47.7265625" style="96" customWidth="1"/>
    <col min="12802" max="12802" width="9.81640625" style="96" customWidth="1"/>
    <col min="12803" max="12803" width="9.1796875" style="96" customWidth="1"/>
    <col min="12804" max="12804" width="9.7265625" style="96" customWidth="1"/>
    <col min="12805" max="12805" width="8.54296875" style="96" customWidth="1"/>
    <col min="12806" max="12806" width="10.81640625" style="96" customWidth="1"/>
    <col min="12807" max="12807" width="13.453125" style="96" customWidth="1"/>
    <col min="12808" max="12810" width="10.81640625" style="96"/>
    <col min="12811" max="12811" width="12.7265625" style="96" customWidth="1"/>
    <col min="12812" max="12812" width="11.54296875" style="96" bestFit="1" customWidth="1"/>
    <col min="12813" max="13056" width="10.81640625" style="96"/>
    <col min="13057" max="13057" width="47.7265625" style="96" customWidth="1"/>
    <col min="13058" max="13058" width="9.81640625" style="96" customWidth="1"/>
    <col min="13059" max="13059" width="9.1796875" style="96" customWidth="1"/>
    <col min="13060" max="13060" width="9.7265625" style="96" customWidth="1"/>
    <col min="13061" max="13061" width="8.54296875" style="96" customWidth="1"/>
    <col min="13062" max="13062" width="10.81640625" style="96" customWidth="1"/>
    <col min="13063" max="13063" width="13.453125" style="96" customWidth="1"/>
    <col min="13064" max="13066" width="10.81640625" style="96"/>
    <col min="13067" max="13067" width="12.7265625" style="96" customWidth="1"/>
    <col min="13068" max="13068" width="11.54296875" style="96" bestFit="1" customWidth="1"/>
    <col min="13069" max="13312" width="10.81640625" style="96"/>
    <col min="13313" max="13313" width="47.7265625" style="96" customWidth="1"/>
    <col min="13314" max="13314" width="9.81640625" style="96" customWidth="1"/>
    <col min="13315" max="13315" width="9.1796875" style="96" customWidth="1"/>
    <col min="13316" max="13316" width="9.7265625" style="96" customWidth="1"/>
    <col min="13317" max="13317" width="8.54296875" style="96" customWidth="1"/>
    <col min="13318" max="13318" width="10.81640625" style="96" customWidth="1"/>
    <col min="13319" max="13319" width="13.453125" style="96" customWidth="1"/>
    <col min="13320" max="13322" width="10.81640625" style="96"/>
    <col min="13323" max="13323" width="12.7265625" style="96" customWidth="1"/>
    <col min="13324" max="13324" width="11.54296875" style="96" bestFit="1" customWidth="1"/>
    <col min="13325" max="13568" width="10.81640625" style="96"/>
    <col min="13569" max="13569" width="47.7265625" style="96" customWidth="1"/>
    <col min="13570" max="13570" width="9.81640625" style="96" customWidth="1"/>
    <col min="13571" max="13571" width="9.1796875" style="96" customWidth="1"/>
    <col min="13572" max="13572" width="9.7265625" style="96" customWidth="1"/>
    <col min="13573" max="13573" width="8.54296875" style="96" customWidth="1"/>
    <col min="13574" max="13574" width="10.81640625" style="96" customWidth="1"/>
    <col min="13575" max="13575" width="13.453125" style="96" customWidth="1"/>
    <col min="13576" max="13578" width="10.81640625" style="96"/>
    <col min="13579" max="13579" width="12.7265625" style="96" customWidth="1"/>
    <col min="13580" max="13580" width="11.54296875" style="96" bestFit="1" customWidth="1"/>
    <col min="13581" max="13824" width="10.81640625" style="96"/>
    <col min="13825" max="13825" width="47.7265625" style="96" customWidth="1"/>
    <col min="13826" max="13826" width="9.81640625" style="96" customWidth="1"/>
    <col min="13827" max="13827" width="9.1796875" style="96" customWidth="1"/>
    <col min="13828" max="13828" width="9.7265625" style="96" customWidth="1"/>
    <col min="13829" max="13829" width="8.54296875" style="96" customWidth="1"/>
    <col min="13830" max="13830" width="10.81640625" style="96" customWidth="1"/>
    <col min="13831" max="13831" width="13.453125" style="96" customWidth="1"/>
    <col min="13832" max="13834" width="10.81640625" style="96"/>
    <col min="13835" max="13835" width="12.7265625" style="96" customWidth="1"/>
    <col min="13836" max="13836" width="11.54296875" style="96" bestFit="1" customWidth="1"/>
    <col min="13837" max="14080" width="10.81640625" style="96"/>
    <col min="14081" max="14081" width="47.7265625" style="96" customWidth="1"/>
    <col min="14082" max="14082" width="9.81640625" style="96" customWidth="1"/>
    <col min="14083" max="14083" width="9.1796875" style="96" customWidth="1"/>
    <col min="14084" max="14084" width="9.7265625" style="96" customWidth="1"/>
    <col min="14085" max="14085" width="8.54296875" style="96" customWidth="1"/>
    <col min="14086" max="14086" width="10.81640625" style="96" customWidth="1"/>
    <col min="14087" max="14087" width="13.453125" style="96" customWidth="1"/>
    <col min="14088" max="14090" width="10.81640625" style="96"/>
    <col min="14091" max="14091" width="12.7265625" style="96" customWidth="1"/>
    <col min="14092" max="14092" width="11.54296875" style="96" bestFit="1" customWidth="1"/>
    <col min="14093" max="14336" width="10.81640625" style="96"/>
    <col min="14337" max="14337" width="47.7265625" style="96" customWidth="1"/>
    <col min="14338" max="14338" width="9.81640625" style="96" customWidth="1"/>
    <col min="14339" max="14339" width="9.1796875" style="96" customWidth="1"/>
    <col min="14340" max="14340" width="9.7265625" style="96" customWidth="1"/>
    <col min="14341" max="14341" width="8.54296875" style="96" customWidth="1"/>
    <col min="14342" max="14342" width="10.81640625" style="96" customWidth="1"/>
    <col min="14343" max="14343" width="13.453125" style="96" customWidth="1"/>
    <col min="14344" max="14346" width="10.81640625" style="96"/>
    <col min="14347" max="14347" width="12.7265625" style="96" customWidth="1"/>
    <col min="14348" max="14348" width="11.54296875" style="96" bestFit="1" customWidth="1"/>
    <col min="14349" max="14592" width="10.81640625" style="96"/>
    <col min="14593" max="14593" width="47.7265625" style="96" customWidth="1"/>
    <col min="14594" max="14594" width="9.81640625" style="96" customWidth="1"/>
    <col min="14595" max="14595" width="9.1796875" style="96" customWidth="1"/>
    <col min="14596" max="14596" width="9.7265625" style="96" customWidth="1"/>
    <col min="14597" max="14597" width="8.54296875" style="96" customWidth="1"/>
    <col min="14598" max="14598" width="10.81640625" style="96" customWidth="1"/>
    <col min="14599" max="14599" width="13.453125" style="96" customWidth="1"/>
    <col min="14600" max="14602" width="10.81640625" style="96"/>
    <col min="14603" max="14603" width="12.7265625" style="96" customWidth="1"/>
    <col min="14604" max="14604" width="11.54296875" style="96" bestFit="1" customWidth="1"/>
    <col min="14605" max="14848" width="10.81640625" style="96"/>
    <col min="14849" max="14849" width="47.7265625" style="96" customWidth="1"/>
    <col min="14850" max="14850" width="9.81640625" style="96" customWidth="1"/>
    <col min="14851" max="14851" width="9.1796875" style="96" customWidth="1"/>
    <col min="14852" max="14852" width="9.7265625" style="96" customWidth="1"/>
    <col min="14853" max="14853" width="8.54296875" style="96" customWidth="1"/>
    <col min="14854" max="14854" width="10.81640625" style="96" customWidth="1"/>
    <col min="14855" max="14855" width="13.453125" style="96" customWidth="1"/>
    <col min="14856" max="14858" width="10.81640625" style="96"/>
    <col min="14859" max="14859" width="12.7265625" style="96" customWidth="1"/>
    <col min="14860" max="14860" width="11.54296875" style="96" bestFit="1" customWidth="1"/>
    <col min="14861" max="15104" width="10.81640625" style="96"/>
    <col min="15105" max="15105" width="47.7265625" style="96" customWidth="1"/>
    <col min="15106" max="15106" width="9.81640625" style="96" customWidth="1"/>
    <col min="15107" max="15107" width="9.1796875" style="96" customWidth="1"/>
    <col min="15108" max="15108" width="9.7265625" style="96" customWidth="1"/>
    <col min="15109" max="15109" width="8.54296875" style="96" customWidth="1"/>
    <col min="15110" max="15110" width="10.81640625" style="96" customWidth="1"/>
    <col min="15111" max="15111" width="13.453125" style="96" customWidth="1"/>
    <col min="15112" max="15114" width="10.81640625" style="96"/>
    <col min="15115" max="15115" width="12.7265625" style="96" customWidth="1"/>
    <col min="15116" max="15116" width="11.54296875" style="96" bestFit="1" customWidth="1"/>
    <col min="15117" max="15360" width="10.81640625" style="96"/>
    <col min="15361" max="15361" width="47.7265625" style="96" customWidth="1"/>
    <col min="15362" max="15362" width="9.81640625" style="96" customWidth="1"/>
    <col min="15363" max="15363" width="9.1796875" style="96" customWidth="1"/>
    <col min="15364" max="15364" width="9.7265625" style="96" customWidth="1"/>
    <col min="15365" max="15365" width="8.54296875" style="96" customWidth="1"/>
    <col min="15366" max="15366" width="10.81640625" style="96" customWidth="1"/>
    <col min="15367" max="15367" width="13.453125" style="96" customWidth="1"/>
    <col min="15368" max="15370" width="10.81640625" style="96"/>
    <col min="15371" max="15371" width="12.7265625" style="96" customWidth="1"/>
    <col min="15372" max="15372" width="11.54296875" style="96" bestFit="1" customWidth="1"/>
    <col min="15373" max="15616" width="10.81640625" style="96"/>
    <col min="15617" max="15617" width="47.7265625" style="96" customWidth="1"/>
    <col min="15618" max="15618" width="9.81640625" style="96" customWidth="1"/>
    <col min="15619" max="15619" width="9.1796875" style="96" customWidth="1"/>
    <col min="15620" max="15620" width="9.7265625" style="96" customWidth="1"/>
    <col min="15621" max="15621" width="8.54296875" style="96" customWidth="1"/>
    <col min="15622" max="15622" width="10.81640625" style="96" customWidth="1"/>
    <col min="15623" max="15623" width="13.453125" style="96" customWidth="1"/>
    <col min="15624" max="15626" width="10.81640625" style="96"/>
    <col min="15627" max="15627" width="12.7265625" style="96" customWidth="1"/>
    <col min="15628" max="15628" width="11.54296875" style="96" bestFit="1" customWidth="1"/>
    <col min="15629" max="15872" width="10.81640625" style="96"/>
    <col min="15873" max="15873" width="47.7265625" style="96" customWidth="1"/>
    <col min="15874" max="15874" width="9.81640625" style="96" customWidth="1"/>
    <col min="15875" max="15875" width="9.1796875" style="96" customWidth="1"/>
    <col min="15876" max="15876" width="9.7265625" style="96" customWidth="1"/>
    <col min="15877" max="15877" width="8.54296875" style="96" customWidth="1"/>
    <col min="15878" max="15878" width="10.81640625" style="96" customWidth="1"/>
    <col min="15879" max="15879" width="13.453125" style="96" customWidth="1"/>
    <col min="15880" max="15882" width="10.81640625" style="96"/>
    <col min="15883" max="15883" width="12.7265625" style="96" customWidth="1"/>
    <col min="15884" max="15884" width="11.54296875" style="96" bestFit="1" customWidth="1"/>
    <col min="15885" max="16128" width="10.81640625" style="96"/>
    <col min="16129" max="16129" width="47.7265625" style="96" customWidth="1"/>
    <col min="16130" max="16130" width="9.81640625" style="96" customWidth="1"/>
    <col min="16131" max="16131" width="9.1796875" style="96" customWidth="1"/>
    <col min="16132" max="16132" width="9.7265625" style="96" customWidth="1"/>
    <col min="16133" max="16133" width="8.54296875" style="96" customWidth="1"/>
    <col min="16134" max="16134" width="10.81640625" style="96" customWidth="1"/>
    <col min="16135" max="16135" width="13.453125" style="96" customWidth="1"/>
    <col min="16136" max="16138" width="10.81640625" style="96"/>
    <col min="16139" max="16139" width="12.7265625" style="96" customWidth="1"/>
    <col min="16140" max="16140" width="11.54296875" style="96" bestFit="1" customWidth="1"/>
    <col min="16141" max="16384" width="10.81640625" style="96"/>
  </cols>
  <sheetData>
    <row r="1" spans="1:256" ht="13" x14ac:dyDescent="0.3">
      <c r="A1" s="446" t="s">
        <v>391</v>
      </c>
      <c r="B1" s="446"/>
      <c r="C1" s="446"/>
      <c r="D1" s="97" t="s">
        <v>392</v>
      </c>
      <c r="F1" s="448" t="s">
        <v>599</v>
      </c>
      <c r="G1" s="448"/>
      <c r="H1" s="448"/>
    </row>
    <row r="2" spans="1:256" ht="13" x14ac:dyDescent="0.3">
      <c r="A2" s="183" t="s">
        <v>393</v>
      </c>
      <c r="B2" s="434" t="s">
        <v>506</v>
      </c>
      <c r="C2" s="434"/>
      <c r="D2" s="434"/>
    </row>
    <row r="3" spans="1:256" ht="13" x14ac:dyDescent="0.3">
      <c r="A3" s="184" t="s">
        <v>394</v>
      </c>
      <c r="B3" s="460" t="s">
        <v>505</v>
      </c>
      <c r="C3" s="460"/>
      <c r="D3" s="460"/>
      <c r="E3" s="99"/>
    </row>
    <row r="4" spans="1:256" ht="13.5" thickBot="1" x14ac:dyDescent="0.35">
      <c r="A4" s="185" t="s">
        <v>395</v>
      </c>
      <c r="B4" s="461" t="s">
        <v>500</v>
      </c>
      <c r="C4" s="462"/>
      <c r="D4" s="462"/>
      <c r="E4" s="99"/>
    </row>
    <row r="5" spans="1:256" ht="13.5" thickBot="1" x14ac:dyDescent="0.35">
      <c r="A5" s="186" t="s">
        <v>396</v>
      </c>
      <c r="B5" s="187"/>
      <c r="C5" s="99"/>
      <c r="D5" s="99"/>
      <c r="E5" s="99"/>
    </row>
    <row r="6" spans="1:256" s="106" customFormat="1" ht="10.5" x14ac:dyDescent="0.2">
      <c r="A6" s="102" t="s">
        <v>280</v>
      </c>
      <c r="B6" s="103" t="s">
        <v>397</v>
      </c>
      <c r="C6" s="104"/>
      <c r="D6" s="105"/>
      <c r="E6" s="104"/>
      <c r="F6" s="104"/>
      <c r="G6" s="104"/>
    </row>
    <row r="7" spans="1:256" s="106" customFormat="1" ht="10.5" x14ac:dyDescent="0.2">
      <c r="A7" s="107">
        <f>+C16</f>
        <v>1</v>
      </c>
      <c r="B7" s="206">
        <v>9.4899999999999998E-2</v>
      </c>
      <c r="C7" s="104"/>
      <c r="D7" s="108"/>
      <c r="E7" s="104"/>
      <c r="F7" s="104"/>
      <c r="G7" s="104"/>
    </row>
    <row r="8" spans="1:256" s="106" customFormat="1" ht="10.5" x14ac:dyDescent="0.2">
      <c r="A8" s="107">
        <f>+A7+1</f>
        <v>2</v>
      </c>
      <c r="B8" s="206">
        <v>9.4899999999999998E-2</v>
      </c>
      <c r="C8" s="104"/>
      <c r="D8" s="108"/>
      <c r="E8" s="104"/>
      <c r="F8" s="104"/>
      <c r="G8" s="104"/>
    </row>
    <row r="9" spans="1:256" s="106" customFormat="1" ht="10.5" x14ac:dyDescent="0.2">
      <c r="A9" s="107">
        <f>+A8+1</f>
        <v>3</v>
      </c>
      <c r="B9" s="206">
        <v>9.4899999999999998E-2</v>
      </c>
      <c r="C9" s="104"/>
      <c r="D9" s="108"/>
      <c r="E9" s="104"/>
      <c r="F9" s="104"/>
      <c r="G9" s="104"/>
    </row>
    <row r="10" spans="1:256" s="106" customFormat="1" ht="11.25" customHeight="1" x14ac:dyDescent="0.2">
      <c r="A10" s="107">
        <f>+A9+1</f>
        <v>4</v>
      </c>
      <c r="B10" s="206">
        <v>9.4899999999999998E-2</v>
      </c>
      <c r="C10" s="104"/>
      <c r="D10" s="108"/>
      <c r="E10" s="104"/>
      <c r="F10" s="104"/>
      <c r="G10" s="104"/>
    </row>
    <row r="11" spans="1:256" s="106" customFormat="1" ht="9.75" customHeight="1" x14ac:dyDescent="0.2">
      <c r="A11" s="202">
        <f>+A10+1</f>
        <v>5</v>
      </c>
      <c r="B11" s="207">
        <v>5.6000000000000001E-2</v>
      </c>
      <c r="C11" s="104"/>
      <c r="D11" s="108"/>
      <c r="E11" s="104"/>
      <c r="F11" s="104"/>
      <c r="G11" s="104"/>
    </row>
    <row r="12" spans="1:256" s="106" customFormat="1" ht="9.75" customHeight="1" x14ac:dyDescent="0.2">
      <c r="A12" s="203" t="s">
        <v>523</v>
      </c>
      <c r="B12" s="204">
        <f>AVERAGE(B7:B11)</f>
        <v>8.7120000000000003E-2</v>
      </c>
      <c r="C12" s="104"/>
      <c r="D12" s="108"/>
      <c r="E12" s="104"/>
      <c r="F12" s="104"/>
      <c r="G12" s="104"/>
    </row>
    <row r="13" spans="1:256" s="106" customFormat="1" ht="14.5" customHeight="1" x14ac:dyDescent="0.2">
      <c r="A13" s="430" t="s">
        <v>398</v>
      </c>
      <c r="B13" s="430"/>
      <c r="C13" s="430"/>
      <c r="D13" s="430"/>
      <c r="E13" s="430"/>
      <c r="F13" s="430"/>
      <c r="G13" s="430"/>
    </row>
    <row r="14" spans="1:256" s="106" customFormat="1" ht="13.5" thickBot="1" x14ac:dyDescent="0.35">
      <c r="A14" s="449" t="s">
        <v>399</v>
      </c>
      <c r="B14" s="449"/>
      <c r="C14" s="449"/>
      <c r="D14" s="449"/>
      <c r="E14" s="449"/>
      <c r="F14" s="449"/>
      <c r="G14" s="449"/>
    </row>
    <row r="15" spans="1:256" s="106" customFormat="1" ht="15" customHeight="1" thickBot="1" x14ac:dyDescent="0.25">
      <c r="A15" s="463" t="str">
        <f>+F1</f>
        <v>Pesos</v>
      </c>
      <c r="B15" s="463"/>
      <c r="C15" s="463"/>
      <c r="D15" s="463"/>
      <c r="E15" s="463"/>
      <c r="F15" s="463"/>
      <c r="G15" s="463"/>
    </row>
    <row r="16" spans="1:256" s="106" customFormat="1" ht="13.5" thickBot="1" x14ac:dyDescent="0.3">
      <c r="A16" s="215" t="s">
        <v>280</v>
      </c>
      <c r="B16" s="216">
        <v>0</v>
      </c>
      <c r="C16" s="216">
        <f>+B16+1</f>
        <v>1</v>
      </c>
      <c r="D16" s="216">
        <f>+C16+1</f>
        <v>2</v>
      </c>
      <c r="E16" s="216">
        <f>+D16+1</f>
        <v>3</v>
      </c>
      <c r="F16" s="217">
        <f>+E16+1</f>
        <v>4</v>
      </c>
      <c r="G16" s="217">
        <f>+F16+1</f>
        <v>5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</row>
    <row r="17" spans="1:39" s="106" customFormat="1" ht="13" x14ac:dyDescent="0.3">
      <c r="A17" s="218" t="s">
        <v>400</v>
      </c>
      <c r="B17" s="219"/>
      <c r="C17" s="220">
        <f>392*365</f>
        <v>143080</v>
      </c>
      <c r="D17" s="220">
        <f>C17</f>
        <v>143080</v>
      </c>
      <c r="E17" s="220">
        <f>D17</f>
        <v>143080</v>
      </c>
      <c r="F17" s="220">
        <f>E17</f>
        <v>143080</v>
      </c>
      <c r="G17" s="221">
        <f>F17</f>
        <v>143080</v>
      </c>
    </row>
    <row r="18" spans="1:39" s="106" customFormat="1" ht="13" x14ac:dyDescent="0.3">
      <c r="A18" s="222" t="s">
        <v>401</v>
      </c>
      <c r="B18" s="223"/>
      <c r="C18" s="224">
        <v>0.16</v>
      </c>
      <c r="D18" s="224">
        <v>0.23</v>
      </c>
      <c r="E18" s="224">
        <v>0.31</v>
      </c>
      <c r="F18" s="224">
        <v>0.43</v>
      </c>
      <c r="G18" s="225">
        <v>0.6</v>
      </c>
    </row>
    <row r="19" spans="1:39" s="110" customFormat="1" ht="13" x14ac:dyDescent="0.3">
      <c r="A19" s="226" t="s">
        <v>402</v>
      </c>
      <c r="B19" s="223"/>
      <c r="C19" s="227">
        <f>C17*C18</f>
        <v>22892.799999999999</v>
      </c>
      <c r="D19" s="227">
        <f t="shared" ref="D19:G19" si="0">D17*D18</f>
        <v>32908.400000000001</v>
      </c>
      <c r="E19" s="227">
        <f t="shared" si="0"/>
        <v>44354.8</v>
      </c>
      <c r="F19" s="227">
        <f t="shared" si="0"/>
        <v>61524.4</v>
      </c>
      <c r="G19" s="227">
        <f t="shared" si="0"/>
        <v>85848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</row>
    <row r="20" spans="1:39" s="106" customFormat="1" ht="12" customHeight="1" x14ac:dyDescent="0.3">
      <c r="A20" s="228" t="s">
        <v>403</v>
      </c>
      <c r="B20" s="230">
        <v>22000</v>
      </c>
      <c r="C20" s="230">
        <f>B20</f>
        <v>22000</v>
      </c>
      <c r="D20" s="230">
        <f t="shared" ref="D20:F20" si="1">C20</f>
        <v>22000</v>
      </c>
      <c r="E20" s="230">
        <f t="shared" si="1"/>
        <v>22000</v>
      </c>
      <c r="F20" s="230">
        <f t="shared" si="1"/>
        <v>22000</v>
      </c>
      <c r="G20" s="230">
        <f>F20</f>
        <v>22000</v>
      </c>
    </row>
    <row r="21" spans="1:39" s="106" customFormat="1" ht="13" x14ac:dyDescent="0.3">
      <c r="A21" s="226" t="s">
        <v>404</v>
      </c>
      <c r="B21" s="229"/>
      <c r="C21" s="230">
        <f>C20*C19</f>
        <v>503641600</v>
      </c>
      <c r="D21" s="230">
        <f>D20*D19</f>
        <v>723984800</v>
      </c>
      <c r="E21" s="230">
        <f>E20*E19</f>
        <v>975805600.00000012</v>
      </c>
      <c r="F21" s="230">
        <f>F20*F19</f>
        <v>1353536800</v>
      </c>
      <c r="G21" s="230">
        <f>G20*G19</f>
        <v>1888656000</v>
      </c>
    </row>
    <row r="22" spans="1:39" s="106" customFormat="1" ht="13.5" thickBot="1" x14ac:dyDescent="0.35">
      <c r="A22" s="231" t="s">
        <v>405</v>
      </c>
      <c r="B22" s="232"/>
      <c r="C22" s="233"/>
      <c r="D22" s="233"/>
      <c r="E22" s="233"/>
      <c r="F22" s="233"/>
      <c r="G22" s="234"/>
    </row>
    <row r="23" spans="1:39" s="106" customFormat="1" ht="10.5" x14ac:dyDescent="0.25">
      <c r="A23" s="111"/>
      <c r="B23" s="112"/>
      <c r="C23" s="113"/>
      <c r="D23" s="113"/>
      <c r="E23" s="113"/>
      <c r="F23" s="113"/>
      <c r="G23" s="113"/>
    </row>
    <row r="24" spans="1:39" s="106" customFormat="1" ht="15" customHeight="1" thickBot="1" x14ac:dyDescent="0.35">
      <c r="A24" s="432" t="s">
        <v>406</v>
      </c>
      <c r="B24" s="432"/>
      <c r="C24" s="432"/>
      <c r="D24" s="432"/>
      <c r="E24" s="432"/>
      <c r="F24" s="432"/>
      <c r="G24" s="432"/>
    </row>
    <row r="25" spans="1:39" s="106" customFormat="1" ht="13.5" thickBot="1" x14ac:dyDescent="0.35">
      <c r="A25" s="450" t="s">
        <v>407</v>
      </c>
      <c r="B25" s="451"/>
      <c r="C25" s="451"/>
      <c r="D25" s="451"/>
      <c r="E25" s="451"/>
      <c r="F25" s="451"/>
      <c r="G25" s="452"/>
    </row>
    <row r="26" spans="1:39" s="106" customFormat="1" ht="14.5" x14ac:dyDescent="0.35">
      <c r="A26" s="218" t="s">
        <v>408</v>
      </c>
      <c r="B26" s="246">
        <f>SUM('MAQUINARIA Y EQUIPO'!D2:D14)</f>
        <v>27539000</v>
      </c>
      <c r="C26" s="235"/>
      <c r="D26" s="235"/>
      <c r="E26" s="235"/>
      <c r="F26" s="236"/>
      <c r="G26" s="236"/>
      <c r="H26" s="114"/>
      <c r="I26"/>
      <c r="J26" s="114"/>
      <c r="K26"/>
      <c r="L26"/>
      <c r="M26"/>
    </row>
    <row r="27" spans="1:39" s="106" customFormat="1" ht="14.5" x14ac:dyDescent="0.35">
      <c r="A27" s="222" t="s">
        <v>409</v>
      </c>
      <c r="B27" s="247">
        <f>SUM('TOTAL INVERSIONES'!F5:F9)</f>
        <v>10100000</v>
      </c>
      <c r="C27" s="237"/>
      <c r="D27" s="237"/>
      <c r="E27" s="237"/>
      <c r="F27" s="238"/>
      <c r="G27" s="238"/>
      <c r="H27" s="114"/>
      <c r="I27"/>
      <c r="J27" s="114"/>
      <c r="K27"/>
      <c r="L27"/>
      <c r="M27"/>
    </row>
    <row r="28" spans="1:39" s="106" customFormat="1" ht="14.5" x14ac:dyDescent="0.35">
      <c r="A28" s="222" t="s">
        <v>410</v>
      </c>
      <c r="B28" s="247">
        <v>0</v>
      </c>
      <c r="C28" s="237"/>
      <c r="D28" s="237"/>
      <c r="E28" s="237"/>
      <c r="F28" s="238"/>
      <c r="G28" s="238"/>
      <c r="H28" s="114"/>
      <c r="I28"/>
      <c r="J28"/>
      <c r="K28"/>
      <c r="L28" s="114"/>
      <c r="M28"/>
    </row>
    <row r="29" spans="1:39" s="106" customFormat="1" ht="15" thickBot="1" x14ac:dyDescent="0.4">
      <c r="A29" s="239" t="s">
        <v>411</v>
      </c>
      <c r="B29" s="248">
        <f>'CAPITAL DE TRABAJO'!D12</f>
        <v>17300000</v>
      </c>
      <c r="C29" s="240"/>
      <c r="D29" s="240"/>
      <c r="E29" s="240"/>
      <c r="F29" s="241"/>
      <c r="G29" s="241"/>
      <c r="H29" s="114"/>
      <c r="I29"/>
      <c r="J29" s="114"/>
      <c r="K29" s="189"/>
      <c r="L29"/>
      <c r="M29"/>
    </row>
    <row r="30" spans="1:39" s="106" customFormat="1" ht="15" thickBot="1" x14ac:dyDescent="0.4">
      <c r="A30" s="242" t="s">
        <v>412</v>
      </c>
      <c r="B30" s="245">
        <f>SUM(B26:B29)</f>
        <v>54939000</v>
      </c>
      <c r="C30" s="243"/>
      <c r="D30" s="243"/>
      <c r="E30" s="243"/>
      <c r="F30" s="243"/>
      <c r="G30" s="244"/>
      <c r="H30" s="114"/>
      <c r="I30"/>
      <c r="J30"/>
      <c r="K30"/>
      <c r="L30"/>
      <c r="M30" s="114"/>
    </row>
    <row r="31" spans="1:39" s="106" customFormat="1" ht="11" thickBot="1" x14ac:dyDescent="0.3">
      <c r="A31" s="115"/>
      <c r="B31" s="116"/>
      <c r="C31" s="113"/>
      <c r="D31" s="113"/>
      <c r="E31" s="113"/>
      <c r="F31" s="113"/>
      <c r="G31" s="113"/>
    </row>
    <row r="32" spans="1:39" s="106" customFormat="1" ht="15" customHeight="1" thickBot="1" x14ac:dyDescent="0.35">
      <c r="A32" s="249" t="s">
        <v>413</v>
      </c>
      <c r="B32" s="250"/>
      <c r="C32" s="113"/>
      <c r="D32" s="113"/>
      <c r="E32" s="113"/>
      <c r="F32" s="113"/>
      <c r="G32" s="113"/>
    </row>
    <row r="33" spans="1:256" s="106" customFormat="1" ht="15.75" customHeight="1" thickBot="1" x14ac:dyDescent="0.25">
      <c r="A33" s="453" t="s">
        <v>414</v>
      </c>
      <c r="B33" s="454"/>
      <c r="C33" s="113"/>
      <c r="D33" s="113"/>
      <c r="E33" s="113"/>
      <c r="F33" s="113"/>
      <c r="G33" s="113"/>
    </row>
    <row r="34" spans="1:256" s="106" customFormat="1" ht="13" x14ac:dyDescent="0.3">
      <c r="A34" s="218" t="s">
        <v>524</v>
      </c>
      <c r="B34" s="251">
        <v>10</v>
      </c>
      <c r="C34" s="104"/>
      <c r="D34" s="104"/>
      <c r="E34" s="104"/>
      <c r="F34" s="104"/>
      <c r="G34" s="104"/>
    </row>
    <row r="35" spans="1:256" s="106" customFormat="1" ht="13" x14ac:dyDescent="0.3">
      <c r="A35" s="222" t="s">
        <v>415</v>
      </c>
      <c r="B35" s="252">
        <v>5</v>
      </c>
      <c r="C35" s="104"/>
      <c r="D35" s="104"/>
      <c r="E35" s="104"/>
      <c r="F35" s="104"/>
      <c r="G35" s="104"/>
    </row>
    <row r="36" spans="1:256" s="106" customFormat="1" ht="13" x14ac:dyDescent="0.3">
      <c r="A36" s="222" t="s">
        <v>416</v>
      </c>
      <c r="B36" s="252"/>
      <c r="C36" s="104"/>
      <c r="D36" s="104"/>
      <c r="E36" s="104"/>
      <c r="F36" s="104"/>
      <c r="G36" s="104"/>
    </row>
    <row r="37" spans="1:256" s="106" customFormat="1" ht="13" x14ac:dyDescent="0.3">
      <c r="A37" s="222" t="s">
        <v>417</v>
      </c>
      <c r="B37" s="252"/>
      <c r="C37" s="104"/>
      <c r="D37" s="104"/>
      <c r="E37" s="104"/>
      <c r="F37" s="104"/>
      <c r="G37" s="104"/>
    </row>
    <row r="38" spans="1:256" s="106" customFormat="1" ht="13.5" thickBot="1" x14ac:dyDescent="0.35">
      <c r="A38" s="253" t="s">
        <v>418</v>
      </c>
      <c r="B38" s="254"/>
      <c r="C38" s="104"/>
      <c r="D38" s="104"/>
      <c r="E38" s="104"/>
      <c r="F38" s="104"/>
      <c r="G38" s="104"/>
    </row>
    <row r="39" spans="1:256" s="106" customFormat="1" ht="10.5" x14ac:dyDescent="0.25">
      <c r="A39" s="117"/>
      <c r="B39" s="117"/>
      <c r="C39" s="104"/>
      <c r="D39" s="104"/>
      <c r="E39" s="104"/>
      <c r="F39" s="104"/>
      <c r="G39" s="104"/>
    </row>
    <row r="40" spans="1:256" s="106" customFormat="1" ht="15" customHeight="1" thickBot="1" x14ac:dyDescent="0.25">
      <c r="A40" s="435" t="s">
        <v>419</v>
      </c>
      <c r="B40" s="435"/>
      <c r="C40" s="435"/>
      <c r="D40" s="435"/>
      <c r="E40" s="435"/>
      <c r="F40" s="435"/>
      <c r="G40" s="435"/>
    </row>
    <row r="41" spans="1:256" s="106" customFormat="1" ht="13.5" thickBot="1" x14ac:dyDescent="0.35">
      <c r="A41" s="450" t="s">
        <v>420</v>
      </c>
      <c r="B41" s="451"/>
      <c r="C41" s="451"/>
      <c r="D41" s="451"/>
      <c r="E41" s="451"/>
      <c r="F41" s="451"/>
      <c r="G41" s="452"/>
    </row>
    <row r="42" spans="1:256" s="106" customFormat="1" ht="13.5" thickBot="1" x14ac:dyDescent="0.3">
      <c r="A42" s="255" t="s">
        <v>280</v>
      </c>
      <c r="B42" s="216">
        <v>0</v>
      </c>
      <c r="C42" s="216">
        <f>+B42+1</f>
        <v>1</v>
      </c>
      <c r="D42" s="216">
        <f>+C42+1</f>
        <v>2</v>
      </c>
      <c r="E42" s="216">
        <f>+D42+1</f>
        <v>3</v>
      </c>
      <c r="F42" s="217">
        <f>+E42+1</f>
        <v>4</v>
      </c>
      <c r="G42" s="217">
        <f>+F42+1</f>
        <v>5</v>
      </c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</row>
    <row r="43" spans="1:256" s="106" customFormat="1" ht="13" x14ac:dyDescent="0.3">
      <c r="A43" s="256" t="s">
        <v>492</v>
      </c>
      <c r="B43" s="327">
        <v>5729.1202996825396</v>
      </c>
      <c r="C43" s="327">
        <f>B43</f>
        <v>5729.1202996825396</v>
      </c>
      <c r="D43" s="327">
        <f>C43</f>
        <v>5729.1202996825396</v>
      </c>
      <c r="E43" s="327">
        <f t="shared" ref="E43:G43" si="2">D43</f>
        <v>5729.1202996825396</v>
      </c>
      <c r="F43" s="327">
        <f t="shared" si="2"/>
        <v>5729.1202996825396</v>
      </c>
      <c r="G43" s="327">
        <f t="shared" si="2"/>
        <v>5729.1202996825396</v>
      </c>
    </row>
    <row r="44" spans="1:256" s="106" customFormat="1" ht="13" x14ac:dyDescent="0.3">
      <c r="A44" s="256" t="s">
        <v>421</v>
      </c>
      <c r="B44" s="257"/>
      <c r="C44" s="258">
        <f>C19*C43</f>
        <v>131155605.19657244</v>
      </c>
      <c r="D44" s="258">
        <f>D19*D43</f>
        <v>188536182.4700729</v>
      </c>
      <c r="E44" s="258">
        <f>E19*E43</f>
        <v>254113985.06835914</v>
      </c>
      <c r="F44" s="258">
        <f>F19*F43</f>
        <v>352480688.96578842</v>
      </c>
      <c r="G44" s="258">
        <f>G19*G43</f>
        <v>491833519.48714668</v>
      </c>
    </row>
    <row r="45" spans="1:256" s="106" customFormat="1" ht="13" x14ac:dyDescent="0.3">
      <c r="A45" s="256" t="s">
        <v>422</v>
      </c>
      <c r="B45" s="259">
        <v>200256576</v>
      </c>
      <c r="C45" s="260">
        <f>B45</f>
        <v>200256576</v>
      </c>
      <c r="D45" s="260">
        <f t="shared" ref="D45:G46" si="3">C45</f>
        <v>200256576</v>
      </c>
      <c r="E45" s="260">
        <f t="shared" si="3"/>
        <v>200256576</v>
      </c>
      <c r="F45" s="260">
        <f t="shared" si="3"/>
        <v>200256576</v>
      </c>
      <c r="G45" s="260">
        <f t="shared" si="3"/>
        <v>200256576</v>
      </c>
    </row>
    <row r="46" spans="1:256" s="106" customFormat="1" ht="13" x14ac:dyDescent="0.3">
      <c r="A46" s="256" t="s">
        <v>423</v>
      </c>
      <c r="B46" s="257">
        <f>'COSTO DE PRODUCCIÓN BÁCON B'!I8*12</f>
        <v>190056576</v>
      </c>
      <c r="C46" s="258">
        <f>B46</f>
        <v>190056576</v>
      </c>
      <c r="D46" s="258">
        <f>C46</f>
        <v>190056576</v>
      </c>
      <c r="E46" s="258">
        <f>D46</f>
        <v>190056576</v>
      </c>
      <c r="F46" s="258">
        <f t="shared" si="3"/>
        <v>190056576</v>
      </c>
      <c r="G46" s="258">
        <f t="shared" si="3"/>
        <v>190056576</v>
      </c>
    </row>
    <row r="47" spans="1:256" s="106" customFormat="1" ht="13" x14ac:dyDescent="0.3">
      <c r="A47" s="261" t="s">
        <v>546</v>
      </c>
      <c r="B47" s="257"/>
      <c r="C47" s="258">
        <f>C21*0.1</f>
        <v>50364160</v>
      </c>
      <c r="D47" s="258">
        <f>D21*0.1</f>
        <v>72398480</v>
      </c>
      <c r="E47" s="258">
        <f t="shared" ref="E47:G47" si="4">E21*0.1</f>
        <v>97580560.000000015</v>
      </c>
      <c r="F47" s="258">
        <f t="shared" si="4"/>
        <v>135353680</v>
      </c>
      <c r="G47" s="258">
        <f t="shared" si="4"/>
        <v>188865600</v>
      </c>
    </row>
    <row r="48" spans="1:256" s="106" customFormat="1" ht="13" x14ac:dyDescent="0.3">
      <c r="A48" s="261" t="s">
        <v>547</v>
      </c>
      <c r="B48" s="257"/>
      <c r="C48" s="258">
        <f>C21*0.08</f>
        <v>40291328</v>
      </c>
      <c r="D48" s="258">
        <f>D21*0.08</f>
        <v>57918784</v>
      </c>
      <c r="E48" s="258">
        <f>E21*0.08</f>
        <v>78064448.000000015</v>
      </c>
      <c r="F48" s="258">
        <f>F21*0.08</f>
        <v>108282944</v>
      </c>
      <c r="G48" s="258">
        <f>G21*0.08</f>
        <v>151092480</v>
      </c>
    </row>
    <row r="49" spans="1:7" s="106" customFormat="1" ht="13" x14ac:dyDescent="0.3">
      <c r="A49" s="261" t="s">
        <v>424</v>
      </c>
      <c r="B49" s="262">
        <f>'VALOR DE RESCATE'!G15</f>
        <v>13594500</v>
      </c>
      <c r="C49" s="263"/>
      <c r="D49" s="264"/>
      <c r="E49" s="264"/>
      <c r="F49" s="264"/>
      <c r="G49" s="264"/>
    </row>
    <row r="50" spans="1:7" s="106" customFormat="1" ht="13" x14ac:dyDescent="0.3">
      <c r="A50" s="256" t="s">
        <v>425</v>
      </c>
      <c r="B50" s="257">
        <f>'VALOR DE RESCATE'!G16</f>
        <v>8957802.8054404855</v>
      </c>
      <c r="C50" s="263"/>
      <c r="D50" s="264"/>
      <c r="E50" s="264"/>
      <c r="F50" s="264"/>
      <c r="G50" s="264"/>
    </row>
    <row r="51" spans="1:7" s="106" customFormat="1" ht="10.5" x14ac:dyDescent="0.25">
      <c r="A51" s="208"/>
      <c r="B51" s="355"/>
      <c r="C51" s="312"/>
    </row>
    <row r="52" spans="1:7" s="106" customFormat="1" ht="13.5" thickBot="1" x14ac:dyDescent="0.35">
      <c r="A52" s="356" t="s">
        <v>426</v>
      </c>
      <c r="B52" s="357"/>
      <c r="C52" s="111"/>
    </row>
    <row r="53" spans="1:7" s="106" customFormat="1" ht="11" thickBot="1" x14ac:dyDescent="0.3">
      <c r="A53" s="436" t="s">
        <v>427</v>
      </c>
      <c r="B53" s="437"/>
      <c r="C53" s="111"/>
    </row>
    <row r="54" spans="1:7" s="106" customFormat="1" ht="10.5" x14ac:dyDescent="0.25">
      <c r="A54" s="118" t="s">
        <v>428</v>
      </c>
      <c r="B54" s="178"/>
      <c r="C54" s="111"/>
    </row>
    <row r="55" spans="1:7" s="106" customFormat="1" ht="10.5" x14ac:dyDescent="0.25">
      <c r="A55" s="118" t="s">
        <v>429</v>
      </c>
      <c r="B55" s="179"/>
      <c r="C55" s="111" t="s">
        <v>430</v>
      </c>
    </row>
    <row r="56" spans="1:7" s="106" customFormat="1" ht="10.5" x14ac:dyDescent="0.25">
      <c r="A56" s="118" t="s">
        <v>431</v>
      </c>
      <c r="B56" s="179"/>
      <c r="C56" s="111"/>
    </row>
    <row r="57" spans="1:7" s="106" customFormat="1" ht="10.5" x14ac:dyDescent="0.25">
      <c r="A57" s="118" t="s">
        <v>432</v>
      </c>
      <c r="B57" s="180"/>
      <c r="C57" s="111"/>
    </row>
    <row r="58" spans="1:7" s="106" customFormat="1" ht="10.5" x14ac:dyDescent="0.25">
      <c r="A58" s="117"/>
      <c r="B58" s="205"/>
      <c r="C58" s="111"/>
    </row>
    <row r="59" spans="1:7" s="106" customFormat="1" ht="13.5" thickBot="1" x14ac:dyDescent="0.35">
      <c r="A59" s="432" t="s">
        <v>433</v>
      </c>
      <c r="B59" s="432"/>
      <c r="C59" s="111"/>
    </row>
    <row r="60" spans="1:7" s="106" customFormat="1" ht="13.5" thickBot="1" x14ac:dyDescent="0.35">
      <c r="A60" s="450" t="s">
        <v>434</v>
      </c>
      <c r="B60" s="451"/>
      <c r="C60" s="111"/>
    </row>
    <row r="61" spans="1:7" s="106" customFormat="1" ht="13" x14ac:dyDescent="0.3">
      <c r="A61" s="265" t="s">
        <v>435</v>
      </c>
      <c r="B61" s="266">
        <v>0.35</v>
      </c>
      <c r="C61" s="111"/>
    </row>
    <row r="62" spans="1:7" s="106" customFormat="1" ht="10.5" x14ac:dyDescent="0.25">
      <c r="A62" s="117"/>
      <c r="B62" s="119"/>
      <c r="C62" s="111"/>
    </row>
    <row r="63" spans="1:7" s="106" customFormat="1" ht="13.5" thickBot="1" x14ac:dyDescent="0.35">
      <c r="A63" s="432" t="s">
        <v>436</v>
      </c>
      <c r="B63" s="432"/>
      <c r="C63" s="111"/>
    </row>
    <row r="64" spans="1:7" s="106" customFormat="1" ht="13" x14ac:dyDescent="0.3">
      <c r="A64" s="455" t="s">
        <v>437</v>
      </c>
      <c r="B64" s="456"/>
      <c r="C64" s="111"/>
    </row>
    <row r="65" spans="1:7" s="106" customFormat="1" ht="17.25" customHeight="1" x14ac:dyDescent="0.2">
      <c r="A65" s="267" t="s">
        <v>438</v>
      </c>
      <c r="B65" s="268">
        <f>((1+B66)/(1+B12))-1</f>
        <v>0.22341599823386549</v>
      </c>
      <c r="C65" s="182"/>
      <c r="E65" s="457"/>
      <c r="F65" s="457"/>
    </row>
    <row r="66" spans="1:7" s="106" customFormat="1" ht="13" x14ac:dyDescent="0.3">
      <c r="A66" s="265" t="s">
        <v>439</v>
      </c>
      <c r="B66" s="269">
        <v>0.33</v>
      </c>
    </row>
    <row r="67" spans="1:7" s="106" customFormat="1" ht="13" x14ac:dyDescent="0.3">
      <c r="A67" s="265" t="s">
        <v>440</v>
      </c>
      <c r="B67" s="270">
        <v>1</v>
      </c>
      <c r="C67" s="111"/>
    </row>
    <row r="68" spans="1:7" s="106" customFormat="1" ht="13" x14ac:dyDescent="0.3">
      <c r="A68" s="265" t="s">
        <v>441</v>
      </c>
      <c r="B68" s="269"/>
      <c r="C68" s="111"/>
    </row>
    <row r="69" spans="1:7" s="106" customFormat="1" ht="13" x14ac:dyDescent="0.3">
      <c r="A69" s="265" t="s">
        <v>442</v>
      </c>
      <c r="B69" s="269">
        <f>(B67*B65)+(1-B67)</f>
        <v>0.22341599823386549</v>
      </c>
      <c r="C69" s="458"/>
      <c r="D69" s="459"/>
      <c r="E69" s="459"/>
      <c r="F69" s="459"/>
    </row>
    <row r="70" spans="1:7" s="106" customFormat="1" ht="13" x14ac:dyDescent="0.3">
      <c r="A70" s="265" t="s">
        <v>443</v>
      </c>
      <c r="B70" s="269">
        <f>(B67*B65)+(1-B67)</f>
        <v>0.22341599823386549</v>
      </c>
      <c r="C70" s="120"/>
    </row>
    <row r="71" spans="1:7" s="106" customFormat="1" ht="13" x14ac:dyDescent="0.3">
      <c r="A71" s="265" t="s">
        <v>444</v>
      </c>
      <c r="B71" s="270"/>
      <c r="C71" s="120"/>
    </row>
    <row r="72" spans="1:7" s="106" customFormat="1" ht="10.5" x14ac:dyDescent="0.25">
      <c r="A72" s="117"/>
      <c r="B72" s="121"/>
      <c r="C72" s="120"/>
    </row>
    <row r="73" spans="1:7" ht="9.75" customHeight="1" x14ac:dyDescent="0.2">
      <c r="A73" s="96"/>
      <c r="B73" s="122"/>
    </row>
    <row r="74" spans="1:7" ht="14" x14ac:dyDescent="0.3">
      <c r="A74" s="433" t="s">
        <v>602</v>
      </c>
      <c r="B74" s="433"/>
      <c r="C74" s="433"/>
      <c r="D74" s="433"/>
      <c r="E74" s="433"/>
      <c r="F74" s="433"/>
      <c r="G74" s="433"/>
    </row>
    <row r="75" spans="1:7" ht="13" x14ac:dyDescent="0.2">
      <c r="A75" s="434" t="s">
        <v>445</v>
      </c>
      <c r="B75" s="434"/>
      <c r="C75" s="434"/>
      <c r="D75" s="434"/>
      <c r="E75" s="434"/>
      <c r="F75" s="434"/>
      <c r="G75" s="434"/>
    </row>
    <row r="76" spans="1:7" ht="13" x14ac:dyDescent="0.3">
      <c r="A76" s="438" t="str">
        <f>+F1</f>
        <v>Pesos</v>
      </c>
      <c r="B76" s="438"/>
      <c r="C76" s="438"/>
      <c r="D76" s="438"/>
      <c r="E76" s="438"/>
      <c r="F76" s="438"/>
      <c r="G76" s="438"/>
    </row>
    <row r="77" spans="1:7" ht="13" x14ac:dyDescent="0.3">
      <c r="A77" s="188" t="s">
        <v>446</v>
      </c>
      <c r="B77" s="188">
        <v>0</v>
      </c>
      <c r="C77" s="188">
        <f>+B77+1</f>
        <v>1</v>
      </c>
      <c r="D77" s="188">
        <f>+C77+1</f>
        <v>2</v>
      </c>
      <c r="E77" s="188">
        <f>+D77+1</f>
        <v>3</v>
      </c>
      <c r="F77" s="188">
        <f>+E77+1</f>
        <v>4</v>
      </c>
      <c r="G77" s="188">
        <f>+F77+1</f>
        <v>5</v>
      </c>
    </row>
    <row r="78" spans="1:7" ht="30.75" customHeight="1" x14ac:dyDescent="0.3">
      <c r="A78" s="126" t="s">
        <v>447</v>
      </c>
      <c r="B78" s="279"/>
      <c r="C78" s="279">
        <f>C21</f>
        <v>503641600</v>
      </c>
      <c r="D78" s="279">
        <f>D21</f>
        <v>723984800</v>
      </c>
      <c r="E78" s="279">
        <f>E21</f>
        <v>975805600.00000012</v>
      </c>
      <c r="F78" s="279">
        <f>F21</f>
        <v>1353536800</v>
      </c>
      <c r="G78" s="279">
        <f>G21</f>
        <v>1888656000</v>
      </c>
    </row>
    <row r="79" spans="1:7" ht="13" x14ac:dyDescent="0.3">
      <c r="A79" s="128" t="s">
        <v>448</v>
      </c>
      <c r="B79" s="279"/>
      <c r="C79" s="296">
        <f t="shared" ref="C79:G81" si="5">C44</f>
        <v>131155605.19657244</v>
      </c>
      <c r="D79" s="296">
        <f t="shared" si="5"/>
        <v>188536182.4700729</v>
      </c>
      <c r="E79" s="296">
        <f t="shared" si="5"/>
        <v>254113985.06835914</v>
      </c>
      <c r="F79" s="296">
        <f t="shared" si="5"/>
        <v>352480688.96578842</v>
      </c>
      <c r="G79" s="296">
        <f t="shared" si="5"/>
        <v>491833519.48714668</v>
      </c>
    </row>
    <row r="80" spans="1:7" ht="13" x14ac:dyDescent="0.3">
      <c r="A80" s="128" t="s">
        <v>449</v>
      </c>
      <c r="B80" s="279"/>
      <c r="C80" s="296">
        <f t="shared" si="5"/>
        <v>200256576</v>
      </c>
      <c r="D80" s="296">
        <f t="shared" si="5"/>
        <v>200256576</v>
      </c>
      <c r="E80" s="296">
        <f t="shared" si="5"/>
        <v>200256576</v>
      </c>
      <c r="F80" s="296">
        <f t="shared" si="5"/>
        <v>200256576</v>
      </c>
      <c r="G80" s="296">
        <f t="shared" si="5"/>
        <v>200256576</v>
      </c>
    </row>
    <row r="81" spans="1:11" ht="13" x14ac:dyDescent="0.3">
      <c r="A81" s="128" t="s">
        <v>545</v>
      </c>
      <c r="B81" s="279"/>
      <c r="C81" s="296">
        <f t="shared" si="5"/>
        <v>190056576</v>
      </c>
      <c r="D81" s="296">
        <f t="shared" si="5"/>
        <v>190056576</v>
      </c>
      <c r="E81" s="296">
        <f t="shared" si="5"/>
        <v>190056576</v>
      </c>
      <c r="F81" s="296">
        <f t="shared" si="5"/>
        <v>190056576</v>
      </c>
      <c r="G81" s="296">
        <f t="shared" si="5"/>
        <v>190056576</v>
      </c>
    </row>
    <row r="82" spans="1:11" ht="13" x14ac:dyDescent="0.3">
      <c r="A82" s="324" t="s">
        <v>549</v>
      </c>
      <c r="B82" s="279"/>
      <c r="C82" s="296">
        <f>C78*0.08</f>
        <v>40291328</v>
      </c>
      <c r="D82" s="296">
        <f t="shared" ref="D82:G82" si="6">D78*0.08</f>
        <v>57918784</v>
      </c>
      <c r="E82" s="296">
        <f t="shared" si="6"/>
        <v>78064448.000000015</v>
      </c>
      <c r="F82" s="296">
        <f t="shared" si="6"/>
        <v>108282944</v>
      </c>
      <c r="G82" s="296">
        <f t="shared" si="6"/>
        <v>151092480</v>
      </c>
    </row>
    <row r="83" spans="1:11" ht="13" x14ac:dyDescent="0.3">
      <c r="A83" s="324" t="s">
        <v>548</v>
      </c>
      <c r="B83" s="279"/>
      <c r="C83" s="296">
        <f>C78*0.1</f>
        <v>50364160</v>
      </c>
      <c r="D83" s="296">
        <f t="shared" ref="D83:G83" si="7">D78*0.1</f>
        <v>72398480</v>
      </c>
      <c r="E83" s="296">
        <f t="shared" si="7"/>
        <v>97580560.000000015</v>
      </c>
      <c r="F83" s="296">
        <f t="shared" si="7"/>
        <v>135353680</v>
      </c>
      <c r="G83" s="296">
        <f t="shared" si="7"/>
        <v>188865600</v>
      </c>
    </row>
    <row r="84" spans="1:11" ht="13" x14ac:dyDescent="0.3">
      <c r="A84" s="287" t="s">
        <v>451</v>
      </c>
      <c r="B84" s="288"/>
      <c r="C84" s="289">
        <f>C78-C79-C80-C81-C82-C83</f>
        <v>-108482645.19657242</v>
      </c>
      <c r="D84" s="289">
        <f>D78-D79-D80-D81-D82-D83</f>
        <v>14818201.529927135</v>
      </c>
      <c r="E84" s="289">
        <f>E78-E79-E80-E81-E82</f>
        <v>253314014.93164098</v>
      </c>
      <c r="F84" s="289">
        <f>F78-F79-F80-F81-F82</f>
        <v>502460015.03421164</v>
      </c>
      <c r="G84" s="289">
        <f>G78-G79-G80-G81-G82</f>
        <v>855416848.51285338</v>
      </c>
    </row>
    <row r="85" spans="1:11" ht="13" x14ac:dyDescent="0.3">
      <c r="A85" s="290" t="s">
        <v>452</v>
      </c>
      <c r="B85" s="296">
        <f>B26</f>
        <v>27539000</v>
      </c>
      <c r="C85" s="284"/>
      <c r="D85" s="284"/>
      <c r="E85" s="284"/>
      <c r="F85" s="284"/>
      <c r="G85" s="276"/>
    </row>
    <row r="86" spans="1:11" ht="13" x14ac:dyDescent="0.3">
      <c r="A86" s="290" t="s">
        <v>453</v>
      </c>
      <c r="B86" s="296">
        <f>B27</f>
        <v>10100000</v>
      </c>
      <c r="C86" s="284"/>
      <c r="D86" s="284"/>
      <c r="E86" s="284"/>
      <c r="F86" s="284"/>
      <c r="G86" s="276"/>
    </row>
    <row r="87" spans="1:11" ht="13" x14ac:dyDescent="0.3">
      <c r="A87" s="290" t="s">
        <v>454</v>
      </c>
      <c r="B87" s="296">
        <f>B28</f>
        <v>0</v>
      </c>
      <c r="C87" s="284"/>
      <c r="D87" s="284"/>
      <c r="E87" s="284"/>
      <c r="F87" s="284"/>
      <c r="G87" s="276"/>
    </row>
    <row r="88" spans="1:11" ht="13" x14ac:dyDescent="0.3">
      <c r="A88" s="290" t="s">
        <v>455</v>
      </c>
      <c r="B88" s="296">
        <f>B29</f>
        <v>17300000</v>
      </c>
      <c r="C88" s="284"/>
      <c r="D88" s="284"/>
      <c r="E88" s="284"/>
      <c r="F88" s="284"/>
      <c r="G88" s="276"/>
    </row>
    <row r="89" spans="1:11" ht="13" x14ac:dyDescent="0.3">
      <c r="A89" s="129" t="s">
        <v>456</v>
      </c>
      <c r="B89" s="283"/>
      <c r="C89" s="284"/>
      <c r="D89" s="284"/>
      <c r="E89" s="284"/>
      <c r="F89" s="284"/>
      <c r="G89" s="291">
        <f>B88</f>
        <v>17300000</v>
      </c>
    </row>
    <row r="90" spans="1:11" ht="13" x14ac:dyDescent="0.3">
      <c r="A90" s="129" t="s">
        <v>457</v>
      </c>
      <c r="B90" s="283"/>
      <c r="C90" s="279"/>
      <c r="D90" s="279"/>
      <c r="E90" s="279"/>
      <c r="F90" s="279"/>
      <c r="G90" s="277">
        <f>B50</f>
        <v>8957802.8054404855</v>
      </c>
    </row>
    <row r="91" spans="1:11" s="130" customFormat="1" ht="13" x14ac:dyDescent="0.3">
      <c r="A91" s="177" t="s">
        <v>458</v>
      </c>
      <c r="B91" s="285">
        <f>B84-B85-B86-B87-B88+B89+B90</f>
        <v>-54939000</v>
      </c>
      <c r="C91" s="285">
        <f>C84--C85-C86-C87-C88+C89+C90</f>
        <v>-108482645.19657242</v>
      </c>
      <c r="D91" s="285">
        <f t="shared" ref="D91" si="8">D84--D85-D86-D87-D88+D89+D90</f>
        <v>14818201.529927135</v>
      </c>
      <c r="E91" s="285">
        <f>E84--E85-E86-E87-E88+E89+E90</f>
        <v>253314014.93164098</v>
      </c>
      <c r="F91" s="285">
        <f>F84--F85-F86-F87-F88+F89+F90</f>
        <v>502460015.03421164</v>
      </c>
      <c r="G91" s="285">
        <f>G84--G85-G86-G87-G88+G89+G90</f>
        <v>881674651.31829381</v>
      </c>
      <c r="H91" s="144"/>
      <c r="I91" s="144"/>
      <c r="J91" s="144"/>
      <c r="K91" s="144"/>
    </row>
    <row r="92" spans="1:11" ht="13" x14ac:dyDescent="0.3">
      <c r="A92" s="131" t="s">
        <v>459</v>
      </c>
      <c r="B92" s="279"/>
      <c r="C92" s="279">
        <f>C91/((1+$B$65)^1)</f>
        <v>-88671919.733908147</v>
      </c>
      <c r="D92" s="279">
        <f>D91/(1+$B$65)^2</f>
        <v>9900273.3615872618</v>
      </c>
      <c r="E92" s="279">
        <f>E91/(1+$B$65)^3</f>
        <v>138336490.06443256</v>
      </c>
      <c r="F92" s="279">
        <f>F91/(1+$B$65)^4</f>
        <v>224287404.732328</v>
      </c>
      <c r="G92" s="279">
        <f>G91/(1+$B$65)^5</f>
        <v>321690012.86148059</v>
      </c>
    </row>
    <row r="93" spans="1:11" ht="13" x14ac:dyDescent="0.3">
      <c r="A93" s="131" t="s">
        <v>460</v>
      </c>
      <c r="B93" s="279"/>
      <c r="C93" s="279">
        <f>C92/((1+B66)^1)</f>
        <v>-66670616.34128432</v>
      </c>
      <c r="D93" s="279">
        <f>C93+D92</f>
        <v>-56770342.979697056</v>
      </c>
      <c r="E93" s="279">
        <f>D93+E92</f>
        <v>81566147.084735513</v>
      </c>
      <c r="F93" s="279">
        <f t="shared" ref="F93" si="9">E93+F92</f>
        <v>305853551.81706351</v>
      </c>
      <c r="G93" s="279">
        <f>F93+G92</f>
        <v>627543564.67854404</v>
      </c>
      <c r="H93" s="145"/>
    </row>
    <row r="94" spans="1:11" ht="13" x14ac:dyDescent="0.3">
      <c r="A94" s="132" t="s">
        <v>461</v>
      </c>
      <c r="B94" s="280">
        <f>IRR(B91:G91)</f>
        <v>0.91560277350458419</v>
      </c>
      <c r="C94" s="442"/>
      <c r="D94" s="443"/>
      <c r="E94" s="443"/>
      <c r="F94" s="443"/>
      <c r="G94" s="443"/>
    </row>
    <row r="95" spans="1:11" ht="13" x14ac:dyDescent="0.3">
      <c r="A95" s="132" t="s">
        <v>462</v>
      </c>
      <c r="B95" s="279">
        <f>NPV($B$65,C91:G91)+B91</f>
        <v>550603261.28592038</v>
      </c>
      <c r="C95" s="444"/>
      <c r="D95" s="445"/>
      <c r="E95" s="445"/>
      <c r="F95" s="445"/>
      <c r="G95" s="445"/>
    </row>
    <row r="96" spans="1:11" ht="13" x14ac:dyDescent="0.3">
      <c r="A96" s="135" t="s">
        <v>499</v>
      </c>
      <c r="B96" s="286" t="s">
        <v>383</v>
      </c>
      <c r="C96" s="444"/>
      <c r="D96" s="445"/>
      <c r="E96" s="445"/>
      <c r="F96" s="445"/>
      <c r="G96" s="445"/>
    </row>
    <row r="97" spans="1:7" ht="12" customHeight="1" x14ac:dyDescent="0.3">
      <c r="A97" s="95"/>
      <c r="B97" s="137"/>
      <c r="E97" s="136"/>
      <c r="F97" s="136"/>
    </row>
    <row r="98" spans="1:7" ht="29.25" customHeight="1" x14ac:dyDescent="0.2">
      <c r="A98" s="441" t="s">
        <v>464</v>
      </c>
      <c r="B98" s="441"/>
      <c r="C98" s="441"/>
      <c r="E98" s="441" t="s">
        <v>600</v>
      </c>
      <c r="F98" s="441"/>
      <c r="G98" s="441"/>
    </row>
    <row r="99" spans="1:7" ht="14" x14ac:dyDescent="0.2">
      <c r="A99" s="440" t="s">
        <v>465</v>
      </c>
      <c r="B99" s="440"/>
      <c r="C99" s="440"/>
      <c r="E99" s="440" t="s">
        <v>466</v>
      </c>
      <c r="F99" s="440"/>
      <c r="G99" s="440"/>
    </row>
    <row r="100" spans="1:7" ht="14.5" thickBot="1" x14ac:dyDescent="0.35">
      <c r="A100" s="439" t="s">
        <v>467</v>
      </c>
      <c r="B100" s="439"/>
      <c r="C100" s="439"/>
      <c r="E100" s="431" t="s">
        <v>467</v>
      </c>
      <c r="F100" s="431"/>
      <c r="G100" s="431"/>
    </row>
    <row r="101" spans="1:7" ht="42" x14ac:dyDescent="0.2">
      <c r="A101" s="209" t="s">
        <v>468</v>
      </c>
      <c r="B101" s="210" t="s">
        <v>525</v>
      </c>
      <c r="C101" s="211" t="s">
        <v>469</v>
      </c>
      <c r="E101" s="326" t="s">
        <v>468</v>
      </c>
      <c r="F101" s="326" t="s">
        <v>470</v>
      </c>
      <c r="G101" s="326" t="s">
        <v>471</v>
      </c>
    </row>
    <row r="102" spans="1:7" ht="14" x14ac:dyDescent="0.3">
      <c r="A102" s="212">
        <v>1</v>
      </c>
      <c r="B102" s="213">
        <f>$B$26/$B$34</f>
        <v>2753900</v>
      </c>
      <c r="C102" s="323">
        <f>B102/((1+$B$7))</f>
        <v>2515206.8682071422</v>
      </c>
      <c r="E102" s="212">
        <v>1</v>
      </c>
      <c r="F102" s="214">
        <f>$B$27/$B$35</f>
        <v>2020000</v>
      </c>
      <c r="G102" s="323">
        <f>F102/((1+$B$7))</f>
        <v>1844917.3440496849</v>
      </c>
    </row>
    <row r="103" spans="1:7" ht="14" x14ac:dyDescent="0.3">
      <c r="A103" s="212">
        <f>A102+1</f>
        <v>2</v>
      </c>
      <c r="B103" s="213">
        <f t="shared" ref="B103:B106" si="10">$B$26/$B$34</f>
        <v>2753900</v>
      </c>
      <c r="C103" s="323">
        <f>B103/((1+$B$7)*(1+$B$8))</f>
        <v>2297202.3638753695</v>
      </c>
      <c r="E103" s="212">
        <f>E102+1</f>
        <v>2</v>
      </c>
      <c r="F103" s="214">
        <f t="shared" ref="F103:F106" si="11">$B$27/$B$35</f>
        <v>2020000</v>
      </c>
      <c r="G103" s="323">
        <f>F103/((1+$B$7)*(1+$B$8))</f>
        <v>1685009.9041462096</v>
      </c>
    </row>
    <row r="104" spans="1:7" ht="14" x14ac:dyDescent="0.3">
      <c r="A104" s="212">
        <f>A103+1</f>
        <v>3</v>
      </c>
      <c r="B104" s="213">
        <f t="shared" si="10"/>
        <v>2753900</v>
      </c>
      <c r="C104" s="323">
        <f>B104/((1+$B$7)*(1+$B$8)*(1+$B$9))</f>
        <v>2098093.3088641609</v>
      </c>
      <c r="E104" s="212">
        <f>E103+1</f>
        <v>3</v>
      </c>
      <c r="F104" s="214">
        <f t="shared" si="11"/>
        <v>2020000</v>
      </c>
      <c r="G104" s="323">
        <f>F104/((1+$B$7)*(1+$B$8)*(1+$B$9))</f>
        <v>1538962.3747796235</v>
      </c>
    </row>
    <row r="105" spans="1:7" ht="14" x14ac:dyDescent="0.3">
      <c r="A105" s="212">
        <f>A104+1</f>
        <v>4</v>
      </c>
      <c r="B105" s="213">
        <f>$B$26/$B$34</f>
        <v>2753900</v>
      </c>
      <c r="C105" s="323">
        <f>B105/((1+$B$7)*(1+$B$8)*(1+$B$9)*(1+$B$10))</f>
        <v>1916241.9479990508</v>
      </c>
      <c r="E105" s="212">
        <f>E104+1</f>
        <v>4</v>
      </c>
      <c r="F105" s="214">
        <f t="shared" si="11"/>
        <v>2020000</v>
      </c>
      <c r="G105" s="323">
        <f>F105/((1+$B$7)*(1+$B$8)*(1+$B$9)*(1+$B$10))</f>
        <v>1405573.4539954548</v>
      </c>
    </row>
    <row r="106" spans="1:7" ht="14" x14ac:dyDescent="0.3">
      <c r="A106" s="212">
        <v>5</v>
      </c>
      <c r="B106" s="213">
        <f t="shared" si="10"/>
        <v>2753900</v>
      </c>
      <c r="C106" s="323">
        <f>B106/((1+B7)*(1+B8)*(1+B9)*(1+B10)*(1+B11))</f>
        <v>1814623.0568172829</v>
      </c>
      <c r="E106" s="212">
        <v>5</v>
      </c>
      <c r="F106" s="214">
        <f t="shared" si="11"/>
        <v>2020000</v>
      </c>
      <c r="G106" s="323">
        <f>F106/((1+$B$7)*(1+$B$8)*(1+$B$9)*(1+$B$10)*(1+$B$11))</f>
        <v>1331035.4677987262</v>
      </c>
    </row>
    <row r="107" spans="1:7" ht="15.75" customHeight="1" x14ac:dyDescent="0.3">
      <c r="A107" s="95"/>
      <c r="B107" s="138"/>
      <c r="C107" s="138"/>
      <c r="E107" s="127"/>
    </row>
    <row r="108" spans="1:7" ht="13" x14ac:dyDescent="0.3">
      <c r="A108" s="446" t="s">
        <v>601</v>
      </c>
      <c r="B108" s="446"/>
      <c r="C108" s="446"/>
      <c r="D108" s="446"/>
      <c r="E108" s="446"/>
      <c r="F108" s="446"/>
      <c r="G108" s="446"/>
    </row>
    <row r="109" spans="1:7" ht="13" x14ac:dyDescent="0.2">
      <c r="A109" s="434" t="s">
        <v>550</v>
      </c>
      <c r="B109" s="434"/>
      <c r="C109" s="434"/>
      <c r="D109" s="434"/>
      <c r="E109" s="434"/>
      <c r="F109" s="434"/>
      <c r="G109" s="434"/>
    </row>
    <row r="110" spans="1:7" ht="15" customHeight="1" x14ac:dyDescent="0.3">
      <c r="A110" s="447" t="str">
        <f>+F1</f>
        <v>Pesos</v>
      </c>
      <c r="B110" s="447"/>
      <c r="C110" s="447"/>
      <c r="D110" s="447"/>
      <c r="E110" s="447"/>
      <c r="F110" s="447"/>
      <c r="G110" s="148"/>
    </row>
    <row r="111" spans="1:7" ht="13" x14ac:dyDescent="0.3">
      <c r="A111" s="125" t="s">
        <v>446</v>
      </c>
      <c r="B111" s="125">
        <f>+B77</f>
        <v>0</v>
      </c>
      <c r="C111" s="125">
        <f>+C77</f>
        <v>1</v>
      </c>
      <c r="D111" s="125">
        <f>+D77</f>
        <v>2</v>
      </c>
      <c r="E111" s="125">
        <f>+E77</f>
        <v>3</v>
      </c>
      <c r="F111" s="271">
        <f>+F77</f>
        <v>4</v>
      </c>
      <c r="G111" s="271">
        <v>5</v>
      </c>
    </row>
    <row r="112" spans="1:7" ht="13" x14ac:dyDescent="0.3">
      <c r="A112" s="139" t="s">
        <v>472</v>
      </c>
      <c r="B112" s="272"/>
      <c r="C112" s="272" cm="1">
        <f t="array" ref="C112:G115">C78:G81</f>
        <v>503641600</v>
      </c>
      <c r="D112" s="272">
        <v>723984800</v>
      </c>
      <c r="E112" s="272">
        <v>975805600.00000012</v>
      </c>
      <c r="F112" s="272">
        <v>1353536800</v>
      </c>
      <c r="G112" s="272">
        <v>1888656000</v>
      </c>
    </row>
    <row r="113" spans="1:11" ht="13" x14ac:dyDescent="0.3">
      <c r="A113" s="128" t="s">
        <v>473</v>
      </c>
      <c r="B113" s="272"/>
      <c r="C113" s="272">
        <v>131155605.19657244</v>
      </c>
      <c r="D113" s="272">
        <v>188536182.4700729</v>
      </c>
      <c r="E113" s="272">
        <v>254113985.06835914</v>
      </c>
      <c r="F113" s="272">
        <v>352480688.96578842</v>
      </c>
      <c r="G113" s="272">
        <v>491833519.48714668</v>
      </c>
      <c r="I113" s="96">
        <f>C114+(C114*10%)</f>
        <v>220282233.59999999</v>
      </c>
    </row>
    <row r="114" spans="1:11" ht="13" x14ac:dyDescent="0.3">
      <c r="A114" s="128" t="s">
        <v>449</v>
      </c>
      <c r="B114" s="272"/>
      <c r="C114" s="272">
        <v>200256576</v>
      </c>
      <c r="D114" s="272">
        <v>200256576</v>
      </c>
      <c r="E114" s="272">
        <v>200256576</v>
      </c>
      <c r="F114" s="272">
        <v>200256576</v>
      </c>
      <c r="G114" s="272">
        <v>200256576</v>
      </c>
      <c r="I114" s="96">
        <f>C114+(C114*20%)</f>
        <v>240307891.19999999</v>
      </c>
    </row>
    <row r="115" spans="1:11" ht="13" x14ac:dyDescent="0.3">
      <c r="A115" s="128" t="s">
        <v>450</v>
      </c>
      <c r="B115" s="272"/>
      <c r="C115" s="272">
        <v>190056576</v>
      </c>
      <c r="D115" s="272">
        <v>190056576</v>
      </c>
      <c r="E115" s="272">
        <v>190056576</v>
      </c>
      <c r="F115" s="272">
        <v>190056576</v>
      </c>
      <c r="G115" s="272">
        <v>190056576</v>
      </c>
    </row>
    <row r="116" spans="1:11" s="140" customFormat="1" ht="13" x14ac:dyDescent="0.3">
      <c r="A116" s="324" t="s">
        <v>549</v>
      </c>
      <c r="B116" s="279"/>
      <c r="C116" s="296">
        <f>C112*0.08</f>
        <v>40291328</v>
      </c>
      <c r="D116" s="296">
        <f>D112*0.08</f>
        <v>57918784</v>
      </c>
      <c r="E116" s="296">
        <f t="shared" ref="E116" si="12">E112*0.08</f>
        <v>78064448.000000015</v>
      </c>
      <c r="F116" s="296">
        <f>F112*0.08</f>
        <v>108282944</v>
      </c>
      <c r="G116" s="296">
        <f t="shared" ref="G116" si="13">G112*0.08</f>
        <v>151092480</v>
      </c>
      <c r="H116" s="144"/>
      <c r="I116" s="144"/>
      <c r="J116" s="144"/>
      <c r="K116" s="144"/>
    </row>
    <row r="117" spans="1:11" ht="13" x14ac:dyDescent="0.3">
      <c r="A117" s="324" t="s">
        <v>548</v>
      </c>
      <c r="B117" s="279"/>
      <c r="C117" s="296">
        <f>C112*0.1</f>
        <v>50364160</v>
      </c>
      <c r="D117" s="296">
        <f t="shared" ref="D117:F117" si="14">D112*0.1</f>
        <v>72398480</v>
      </c>
      <c r="E117" s="296">
        <f t="shared" si="14"/>
        <v>97580560.000000015</v>
      </c>
      <c r="F117" s="296">
        <f t="shared" si="14"/>
        <v>135353680</v>
      </c>
      <c r="G117" s="296">
        <f>G112*0.1</f>
        <v>188865600</v>
      </c>
    </row>
    <row r="118" spans="1:11" ht="13" x14ac:dyDescent="0.3">
      <c r="A118" s="162" t="s">
        <v>474</v>
      </c>
      <c r="B118" s="273"/>
      <c r="C118" s="273">
        <f>C112-C113-C114-C115-C116-C117</f>
        <v>-108482645.19657242</v>
      </c>
      <c r="D118" s="273">
        <f>D112-D113-D114-D115-D116-D117</f>
        <v>14818201.529927135</v>
      </c>
      <c r="E118" s="273">
        <f>E112-E113-E114-E115-E116-E117</f>
        <v>155733454.93164098</v>
      </c>
      <c r="F118" s="273">
        <f>F112-F113-F114-F115-F116-F117</f>
        <v>367106335.03421164</v>
      </c>
      <c r="G118" s="273">
        <f>G112-G113-G114-G115-G116-G117</f>
        <v>666551248.51285338</v>
      </c>
      <c r="I118" s="96">
        <f>C114-(C114*0.2)</f>
        <v>160205260.80000001</v>
      </c>
    </row>
    <row r="119" spans="1:11" s="141" customFormat="1" ht="13" x14ac:dyDescent="0.3">
      <c r="A119" s="139" t="s">
        <v>475</v>
      </c>
      <c r="B119" s="272"/>
      <c r="C119" s="292">
        <f>G102</f>
        <v>1844917.3440496849</v>
      </c>
      <c r="D119" s="293">
        <f>+G103</f>
        <v>1685009.9041462096</v>
      </c>
      <c r="E119" s="293">
        <f>+G104</f>
        <v>1538962.3747796235</v>
      </c>
      <c r="F119" s="293">
        <f>+G105</f>
        <v>1405573.4539954548</v>
      </c>
      <c r="G119" s="293">
        <f>+G106</f>
        <v>1331035.4677987262</v>
      </c>
      <c r="H119" s="144"/>
      <c r="I119" s="168">
        <f>D114-(D114*10%)</f>
        <v>180230918.40000001</v>
      </c>
      <c r="J119" s="144"/>
      <c r="K119" s="144"/>
    </row>
    <row r="120" spans="1:11" ht="13" x14ac:dyDescent="0.3">
      <c r="A120" s="139" t="s">
        <v>476</v>
      </c>
      <c r="B120" s="272"/>
      <c r="C120" s="293">
        <f>+C102</f>
        <v>2515206.8682071422</v>
      </c>
      <c r="D120" s="293">
        <f>+C103</f>
        <v>2297202.3638753695</v>
      </c>
      <c r="E120" s="293">
        <f>+C104</f>
        <v>2098093.3088641609</v>
      </c>
      <c r="F120" s="293">
        <f>+C105</f>
        <v>1916241.9479990508</v>
      </c>
      <c r="G120" s="293">
        <f>+C106</f>
        <v>1814623.0568172829</v>
      </c>
    </row>
    <row r="121" spans="1:11" ht="13" x14ac:dyDescent="0.3">
      <c r="A121" s="162" t="s">
        <v>477</v>
      </c>
      <c r="B121" s="274"/>
      <c r="C121" s="274">
        <f>C118-C119-C120</f>
        <v>-112842769.40882926</v>
      </c>
      <c r="D121" s="274">
        <f t="shared" ref="D121:G121" si="15">D118-D119-D120</f>
        <v>10835989.261905555</v>
      </c>
      <c r="E121" s="274">
        <f t="shared" si="15"/>
        <v>152096399.24799722</v>
      </c>
      <c r="F121" s="274">
        <f t="shared" si="15"/>
        <v>363784519.63221711</v>
      </c>
      <c r="G121" s="274">
        <f t="shared" si="15"/>
        <v>663405589.98823738</v>
      </c>
    </row>
    <row r="122" spans="1:11" ht="13" x14ac:dyDescent="0.3">
      <c r="A122" s="139" t="s">
        <v>478</v>
      </c>
      <c r="B122" s="275"/>
      <c r="C122" s="293">
        <f>IF(C121&gt;0,C121*$B$61,0)</f>
        <v>0</v>
      </c>
      <c r="D122" s="293">
        <f>IF(D121&gt;0,D121*$B$61,0)</f>
        <v>3792596.2416669438</v>
      </c>
      <c r="E122" s="293">
        <f>IF(E121&gt;0,E121*$B$61,0)</f>
        <v>53233739.736799024</v>
      </c>
      <c r="F122" s="293">
        <f>IF(F121&gt;0,F121*$B$61,0)</f>
        <v>127324581.87127598</v>
      </c>
      <c r="G122" s="293">
        <f>IF(G121&gt;0,G121*$B$61,0)</f>
        <v>232191956.49588308</v>
      </c>
    </row>
    <row r="123" spans="1:11" ht="13" x14ac:dyDescent="0.3">
      <c r="A123" s="139" t="s">
        <v>479</v>
      </c>
      <c r="B123" s="275"/>
      <c r="C123" s="272">
        <f>+C119</f>
        <v>1844917.3440496849</v>
      </c>
      <c r="D123" s="272">
        <f>+D119</f>
        <v>1685009.9041462096</v>
      </c>
      <c r="E123" s="272">
        <f>+E119</f>
        <v>1538962.3747796235</v>
      </c>
      <c r="F123" s="272">
        <f>+F119</f>
        <v>1405573.4539954548</v>
      </c>
      <c r="G123" s="272">
        <f>+G119</f>
        <v>1331035.4677987262</v>
      </c>
    </row>
    <row r="124" spans="1:11" ht="13" x14ac:dyDescent="0.3">
      <c r="A124" s="139" t="s">
        <v>480</v>
      </c>
      <c r="B124" s="275"/>
      <c r="C124" s="272">
        <f>C120</f>
        <v>2515206.8682071422</v>
      </c>
      <c r="D124" s="272">
        <f>D120</f>
        <v>2297202.3638753695</v>
      </c>
      <c r="E124" s="272">
        <f>E120</f>
        <v>2098093.3088641609</v>
      </c>
      <c r="F124" s="272">
        <f>F120</f>
        <v>1916241.9479990508</v>
      </c>
      <c r="G124" s="272">
        <f>G120</f>
        <v>1814623.0568172829</v>
      </c>
    </row>
    <row r="125" spans="1:11" ht="13" x14ac:dyDescent="0.3">
      <c r="A125" s="294" t="s">
        <v>481</v>
      </c>
      <c r="B125" s="295" cm="1">
        <f t="array" ref="B125:B128">B85:B88</f>
        <v>27539000</v>
      </c>
      <c r="C125" s="272"/>
      <c r="D125" s="275"/>
      <c r="E125" s="275"/>
      <c r="F125" s="275"/>
      <c r="G125" s="276"/>
    </row>
    <row r="126" spans="1:11" ht="13" x14ac:dyDescent="0.3">
      <c r="A126" s="294" t="s">
        <v>482</v>
      </c>
      <c r="B126" s="295">
        <v>10100000</v>
      </c>
      <c r="C126" s="272"/>
      <c r="D126" s="272"/>
      <c r="E126" s="272"/>
      <c r="F126" s="272"/>
      <c r="G126" s="276"/>
    </row>
    <row r="127" spans="1:11" ht="12" customHeight="1" x14ac:dyDescent="0.3">
      <c r="A127" s="294" t="s">
        <v>483</v>
      </c>
      <c r="B127" s="295">
        <v>0</v>
      </c>
      <c r="C127" s="275"/>
      <c r="D127" s="275"/>
      <c r="E127" s="275"/>
      <c r="F127" s="275"/>
      <c r="G127" s="276"/>
    </row>
    <row r="128" spans="1:11" ht="13" x14ac:dyDescent="0.3">
      <c r="A128" s="294" t="s">
        <v>484</v>
      </c>
      <c r="B128" s="295">
        <v>17300000</v>
      </c>
      <c r="C128" s="272"/>
      <c r="D128" s="272"/>
      <c r="E128" s="272"/>
      <c r="F128" s="272"/>
      <c r="G128" s="276"/>
    </row>
    <row r="129" spans="1:11" s="142" customFormat="1" ht="13" x14ac:dyDescent="0.3">
      <c r="A129" s="139" t="s">
        <v>485</v>
      </c>
      <c r="B129" s="272"/>
      <c r="C129" s="275"/>
      <c r="D129" s="275"/>
      <c r="E129" s="275"/>
      <c r="F129" s="275"/>
      <c r="G129" s="277">
        <f>G89</f>
        <v>17300000</v>
      </c>
      <c r="H129" s="190"/>
      <c r="I129" s="190"/>
      <c r="J129" s="190"/>
      <c r="K129" s="190"/>
    </row>
    <row r="130" spans="1:11" ht="13" x14ac:dyDescent="0.3">
      <c r="A130" s="139" t="s">
        <v>486</v>
      </c>
      <c r="B130" s="272"/>
      <c r="C130" s="272"/>
      <c r="D130" s="272"/>
      <c r="E130" s="272"/>
      <c r="F130" s="272"/>
      <c r="G130" s="278">
        <f>G90</f>
        <v>8957802.8054404855</v>
      </c>
    </row>
    <row r="131" spans="1:11" ht="13" x14ac:dyDescent="0.3">
      <c r="A131" s="162" t="s">
        <v>487</v>
      </c>
      <c r="B131" s="273">
        <f>+B121-B122+B123+B124-B125-B126-B127-B128+B129+B130</f>
        <v>-54939000</v>
      </c>
      <c r="C131" s="273">
        <f>+C121-C122+C123+C124-C125-C126-C127-C128+C129+C130</f>
        <v>-108482645.19657242</v>
      </c>
      <c r="D131" s="273">
        <f t="shared" ref="D131:G131" si="16">+D121-D122+D123+D124-D125-D126-D127-D128+D129+D130</f>
        <v>11025605.288260192</v>
      </c>
      <c r="E131" s="273">
        <f>+E121-E122+E123+E124-E125-E126-E127-E128+E129+E130</f>
        <v>102499715.19484198</v>
      </c>
      <c r="F131" s="273">
        <f t="shared" si="16"/>
        <v>239781753.16293567</v>
      </c>
      <c r="G131" s="273">
        <f t="shared" si="16"/>
        <v>460617094.82241076</v>
      </c>
    </row>
    <row r="132" spans="1:11" ht="13" x14ac:dyDescent="0.3">
      <c r="A132" s="131" t="s">
        <v>488</v>
      </c>
      <c r="B132" s="279"/>
      <c r="C132" s="279">
        <f>C131/((1+$B$70)^1)</f>
        <v>-88671919.733908147</v>
      </c>
      <c r="D132" s="279">
        <f>D131/(1+$B$70)^2</f>
        <v>7366380.1987227248</v>
      </c>
      <c r="E132" s="279">
        <f>E131/(1+$B$70)^3</f>
        <v>55975784.981675312</v>
      </c>
      <c r="F132" s="279">
        <f>F131/(1+$B$70)^4</f>
        <v>107033446.46323894</v>
      </c>
      <c r="G132" s="279">
        <f>G131/(1+$B$70)^5</f>
        <v>168061902.35375848</v>
      </c>
    </row>
    <row r="133" spans="1:11" ht="13" x14ac:dyDescent="0.3">
      <c r="A133" s="131" t="s">
        <v>460</v>
      </c>
      <c r="B133" s="279"/>
      <c r="C133" s="279">
        <f>C132</f>
        <v>-88671919.733908147</v>
      </c>
      <c r="D133" s="279">
        <f>C133+D132</f>
        <v>-81305539.535185426</v>
      </c>
      <c r="E133" s="279">
        <f>D133+E132</f>
        <v>-25329754.553510115</v>
      </c>
      <c r="F133" s="279">
        <f>E133+F132</f>
        <v>81703691.909728825</v>
      </c>
      <c r="G133" s="279">
        <f>F133+G132</f>
        <v>249765594.26348731</v>
      </c>
    </row>
    <row r="134" spans="1:11" ht="14.5" customHeight="1" x14ac:dyDescent="0.3">
      <c r="A134" s="135" t="s">
        <v>489</v>
      </c>
      <c r="B134" s="280">
        <f>IRR(B131:G131)</f>
        <v>0.55074485466497336</v>
      </c>
      <c r="C134" s="464" t="s">
        <v>533</v>
      </c>
      <c r="D134" s="465"/>
      <c r="E134" s="465"/>
      <c r="F134" s="465"/>
      <c r="G134" s="465"/>
    </row>
    <row r="135" spans="1:11" ht="13" x14ac:dyDescent="0.3">
      <c r="A135" s="135" t="s">
        <v>490</v>
      </c>
      <c r="B135" s="279">
        <f>NPV($B$65,C131:G131)+B131</f>
        <v>194826594.26348731</v>
      </c>
      <c r="C135" s="466"/>
      <c r="D135" s="467"/>
      <c r="E135" s="467"/>
      <c r="F135" s="467"/>
      <c r="G135" s="467"/>
      <c r="J135" s="123"/>
    </row>
    <row r="136" spans="1:11" ht="13" x14ac:dyDescent="0.3">
      <c r="A136" s="135" t="s">
        <v>463</v>
      </c>
      <c r="B136" s="281" t="s">
        <v>286</v>
      </c>
      <c r="C136" s="466"/>
      <c r="D136" s="467"/>
      <c r="E136" s="467"/>
      <c r="F136" s="467"/>
      <c r="G136" s="467"/>
    </row>
    <row r="137" spans="1:11" ht="9.65" customHeight="1" x14ac:dyDescent="0.3">
      <c r="A137" s="123"/>
      <c r="B137" s="163"/>
      <c r="C137" s="124"/>
      <c r="D137" s="124"/>
      <c r="E137" s="124"/>
      <c r="F137" s="124"/>
      <c r="G137" s="124"/>
      <c r="I137" s="173"/>
      <c r="J137" s="173"/>
      <c r="K137" s="173"/>
    </row>
    <row r="138" spans="1:11" ht="13" x14ac:dyDescent="0.3">
      <c r="A138" s="123"/>
      <c r="B138" s="163"/>
      <c r="C138" s="124"/>
      <c r="D138" s="124"/>
      <c r="E138" s="124"/>
      <c r="F138" s="124"/>
      <c r="G138" s="124"/>
      <c r="I138" s="191"/>
      <c r="J138" s="191"/>
    </row>
    <row r="139" spans="1:11" ht="13" x14ac:dyDescent="0.2">
      <c r="A139" s="172"/>
      <c r="B139" s="173"/>
      <c r="C139" s="173"/>
      <c r="D139" s="173"/>
      <c r="E139" s="173"/>
      <c r="I139" s="192"/>
      <c r="J139" s="192"/>
      <c r="K139" s="192"/>
    </row>
    <row r="140" spans="1:11" ht="13" x14ac:dyDescent="0.2">
      <c r="A140" s="172"/>
      <c r="B140" s="133"/>
      <c r="C140" s="169"/>
      <c r="D140" s="133"/>
      <c r="E140" s="169"/>
      <c r="I140" s="192"/>
      <c r="J140" s="192"/>
      <c r="K140" s="192"/>
    </row>
    <row r="141" spans="1:11" ht="13" x14ac:dyDescent="0.2">
      <c r="A141" s="172"/>
      <c r="B141" s="133"/>
      <c r="C141" s="169"/>
      <c r="D141" s="133"/>
      <c r="E141" s="169"/>
      <c r="I141" s="192"/>
      <c r="J141" s="192"/>
      <c r="K141" s="192"/>
    </row>
    <row r="142" spans="1:11" ht="13" x14ac:dyDescent="0.2">
      <c r="A142" s="172"/>
      <c r="B142" s="133"/>
      <c r="C142" s="169"/>
      <c r="D142" s="133"/>
      <c r="E142" s="169"/>
      <c r="I142" s="192"/>
      <c r="J142" s="192"/>
      <c r="K142" s="192"/>
    </row>
    <row r="143" spans="1:11" ht="13" x14ac:dyDescent="0.2">
      <c r="A143" s="172"/>
      <c r="B143" s="169"/>
      <c r="C143" s="169"/>
      <c r="D143" s="133"/>
      <c r="E143" s="169"/>
    </row>
    <row r="144" spans="1:11" ht="20.25" customHeight="1" x14ac:dyDescent="0.2">
      <c r="A144" s="172"/>
      <c r="B144" s="169"/>
      <c r="C144" s="169"/>
      <c r="D144" s="133"/>
      <c r="E144" s="169"/>
    </row>
    <row r="145" spans="1:18" ht="13" x14ac:dyDescent="0.3">
      <c r="A145" s="95"/>
      <c r="B145" s="174"/>
      <c r="E145" s="175"/>
    </row>
    <row r="146" spans="1:18" ht="13" x14ac:dyDescent="0.3">
      <c r="A146" s="95"/>
      <c r="B146" s="176"/>
    </row>
    <row r="147" spans="1:18" ht="13" x14ac:dyDescent="0.3">
      <c r="A147" s="123"/>
      <c r="B147" s="163"/>
      <c r="C147" s="124"/>
      <c r="D147" s="124"/>
      <c r="E147" s="124"/>
      <c r="F147" s="124"/>
    </row>
    <row r="148" spans="1:18" ht="13" x14ac:dyDescent="0.3">
      <c r="A148" s="123"/>
      <c r="B148" s="163"/>
      <c r="C148" s="124"/>
      <c r="D148" s="124"/>
      <c r="E148" s="124"/>
      <c r="F148" s="124"/>
    </row>
    <row r="149" spans="1:18" ht="13" x14ac:dyDescent="0.3">
      <c r="A149" s="123"/>
      <c r="B149" s="124"/>
      <c r="C149" s="124"/>
      <c r="D149" s="124"/>
      <c r="E149" s="124"/>
      <c r="F149" s="124"/>
    </row>
    <row r="150" spans="1:18" s="143" customFormat="1" ht="13" x14ac:dyDescent="0.3">
      <c r="A150" s="100"/>
      <c r="B150" s="101"/>
      <c r="C150" s="101"/>
      <c r="D150" s="101"/>
      <c r="E150" s="101"/>
      <c r="F150" s="101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</row>
    <row r="151" spans="1:18" s="143" customFormat="1" ht="13" x14ac:dyDescent="0.3">
      <c r="A151" s="95"/>
      <c r="B151" s="133"/>
      <c r="C151" s="133"/>
      <c r="D151" s="133"/>
      <c r="E151" s="133"/>
      <c r="F151" s="133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</row>
    <row r="152" spans="1:18" s="144" customFormat="1" ht="13" x14ac:dyDescent="0.3">
      <c r="A152" s="95"/>
      <c r="B152" s="133"/>
      <c r="C152" s="133"/>
      <c r="D152" s="133"/>
      <c r="E152" s="133"/>
      <c r="F152" s="133"/>
      <c r="G152" s="96"/>
    </row>
    <row r="153" spans="1:18" ht="13" x14ac:dyDescent="0.3">
      <c r="A153" s="95"/>
      <c r="B153" s="133"/>
      <c r="C153" s="133"/>
      <c r="D153" s="133"/>
      <c r="E153" s="133"/>
      <c r="F153" s="133"/>
    </row>
    <row r="154" spans="1:18" ht="13" x14ac:dyDescent="0.3">
      <c r="A154" s="164"/>
      <c r="B154" s="165"/>
      <c r="C154" s="165"/>
      <c r="D154" s="165"/>
      <c r="E154" s="165"/>
      <c r="F154" s="165"/>
      <c r="G154" s="144"/>
    </row>
    <row r="155" spans="1:18" ht="13" x14ac:dyDescent="0.3">
      <c r="A155" s="95"/>
      <c r="B155" s="133"/>
      <c r="C155" s="133"/>
      <c r="D155" s="133"/>
      <c r="E155" s="133"/>
      <c r="F155" s="133"/>
    </row>
    <row r="156" spans="1:18" ht="13" x14ac:dyDescent="0.3">
      <c r="A156" s="95"/>
      <c r="B156" s="133"/>
      <c r="C156" s="133"/>
      <c r="D156" s="133"/>
      <c r="E156" s="133"/>
      <c r="F156" s="133"/>
    </row>
    <row r="157" spans="1:18" ht="13" x14ac:dyDescent="0.3">
      <c r="A157" s="95"/>
      <c r="B157" s="133"/>
      <c r="C157" s="133"/>
      <c r="D157" s="133"/>
      <c r="E157" s="133"/>
      <c r="F157" s="133"/>
    </row>
    <row r="158" spans="1:18" ht="13" x14ac:dyDescent="0.3">
      <c r="A158" s="95"/>
      <c r="B158" s="166"/>
      <c r="C158" s="133"/>
      <c r="D158" s="134"/>
      <c r="E158" s="133"/>
      <c r="F158" s="133"/>
    </row>
    <row r="159" spans="1:18" ht="13" x14ac:dyDescent="0.3">
      <c r="A159" s="95"/>
      <c r="B159" s="145"/>
      <c r="C159" s="145"/>
      <c r="D159" s="145"/>
      <c r="E159" s="145"/>
      <c r="F159" s="145"/>
    </row>
    <row r="162" spans="1:18" ht="13" x14ac:dyDescent="0.3">
      <c r="A162" s="123"/>
      <c r="B162" s="124"/>
      <c r="C162" s="124"/>
      <c r="D162" s="124"/>
      <c r="E162" s="124"/>
      <c r="F162" s="124"/>
    </row>
    <row r="163" spans="1:18" ht="13" x14ac:dyDescent="0.3">
      <c r="A163" s="123"/>
      <c r="B163" s="124"/>
      <c r="C163" s="124"/>
      <c r="D163" s="124"/>
      <c r="E163" s="124"/>
      <c r="F163" s="124"/>
    </row>
    <row r="164" spans="1:18" ht="13" x14ac:dyDescent="0.3">
      <c r="A164" s="123"/>
      <c r="B164" s="124"/>
      <c r="C164" s="124"/>
      <c r="D164" s="124"/>
      <c r="E164" s="124"/>
      <c r="F164" s="124"/>
    </row>
    <row r="165" spans="1:18" ht="13" x14ac:dyDescent="0.3">
      <c r="A165" s="100"/>
      <c r="B165" s="101"/>
      <c r="C165" s="101"/>
      <c r="D165" s="101"/>
      <c r="E165" s="101"/>
      <c r="F165" s="101"/>
    </row>
    <row r="166" spans="1:18" ht="13" x14ac:dyDescent="0.3">
      <c r="A166" s="95"/>
      <c r="B166" s="133"/>
      <c r="C166" s="133"/>
      <c r="D166" s="133"/>
      <c r="E166" s="133"/>
      <c r="F166" s="133"/>
    </row>
    <row r="167" spans="1:18" ht="13" x14ac:dyDescent="0.3">
      <c r="A167" s="98"/>
      <c r="B167" s="133"/>
      <c r="C167" s="133"/>
      <c r="D167" s="133"/>
      <c r="E167" s="133"/>
      <c r="F167" s="133"/>
    </row>
    <row r="168" spans="1:18" s="146" customFormat="1" ht="13" x14ac:dyDescent="0.3">
      <c r="A168" s="98"/>
      <c r="B168" s="133"/>
      <c r="C168" s="133"/>
      <c r="D168" s="133"/>
      <c r="E168" s="133"/>
      <c r="F168" s="133"/>
      <c r="G168" s="96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</row>
    <row r="169" spans="1:18" ht="13" x14ac:dyDescent="0.3">
      <c r="A169" s="98"/>
      <c r="B169" s="133"/>
      <c r="C169" s="133"/>
      <c r="D169" s="133"/>
      <c r="E169" s="133"/>
      <c r="F169" s="133"/>
    </row>
    <row r="170" spans="1:18" ht="13" x14ac:dyDescent="0.3">
      <c r="A170" s="167"/>
      <c r="B170" s="133"/>
      <c r="C170" s="133"/>
      <c r="D170" s="133"/>
      <c r="E170" s="133"/>
      <c r="F170" s="133"/>
      <c r="G170" s="168"/>
    </row>
    <row r="171" spans="1:18" s="143" customFormat="1" ht="15" customHeight="1" x14ac:dyDescent="0.3">
      <c r="A171" s="95"/>
      <c r="B171" s="133"/>
      <c r="C171" s="133"/>
      <c r="D171" s="133"/>
      <c r="E171" s="133"/>
      <c r="F171" s="133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1:18" s="147" customFormat="1" ht="13" x14ac:dyDescent="0.3">
      <c r="A172" s="95"/>
      <c r="B172" s="133"/>
      <c r="C172" s="133"/>
      <c r="D172" s="133"/>
      <c r="E172" s="133"/>
      <c r="F172" s="133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1:18" ht="13" x14ac:dyDescent="0.3">
      <c r="A173" s="95"/>
      <c r="B173" s="169"/>
      <c r="C173" s="169"/>
      <c r="D173" s="169"/>
      <c r="E173" s="169"/>
      <c r="F173" s="169"/>
    </row>
    <row r="174" spans="1:18" ht="13" x14ac:dyDescent="0.3">
      <c r="A174" s="95"/>
      <c r="B174" s="133"/>
      <c r="C174" s="133"/>
      <c r="D174" s="133"/>
      <c r="E174" s="133"/>
      <c r="F174" s="133"/>
    </row>
    <row r="175" spans="1:18" ht="13" x14ac:dyDescent="0.3">
      <c r="A175" s="95"/>
      <c r="B175" s="133"/>
      <c r="C175" s="170"/>
      <c r="D175" s="170"/>
      <c r="E175" s="170"/>
      <c r="F175" s="170"/>
    </row>
    <row r="176" spans="1:18" ht="13" x14ac:dyDescent="0.3">
      <c r="A176" s="95"/>
      <c r="B176" s="133"/>
      <c r="C176" s="145"/>
      <c r="D176" s="133"/>
      <c r="E176" s="133"/>
      <c r="F176" s="133"/>
    </row>
    <row r="177" spans="1:18" ht="13" x14ac:dyDescent="0.3">
      <c r="A177" s="95"/>
      <c r="B177" s="133"/>
      <c r="C177" s="133"/>
      <c r="D177" s="133"/>
      <c r="E177" s="133"/>
      <c r="F177" s="133"/>
    </row>
    <row r="178" spans="1:18" ht="13" x14ac:dyDescent="0.3">
      <c r="A178" s="95"/>
      <c r="B178" s="166"/>
      <c r="C178" s="166"/>
      <c r="D178" s="166"/>
      <c r="E178" s="166"/>
      <c r="F178" s="166"/>
    </row>
    <row r="179" spans="1:18" ht="13" x14ac:dyDescent="0.3">
      <c r="A179" s="95"/>
      <c r="B179" s="166"/>
      <c r="C179" s="166"/>
      <c r="D179" s="166"/>
      <c r="E179" s="166"/>
      <c r="F179" s="166"/>
    </row>
    <row r="180" spans="1:18" ht="17.25" customHeight="1" x14ac:dyDescent="0.3">
      <c r="A180" s="95"/>
      <c r="B180" s="166"/>
      <c r="C180" s="166"/>
      <c r="D180" s="166"/>
      <c r="E180" s="166"/>
      <c r="F180" s="166"/>
    </row>
    <row r="181" spans="1:18" s="143" customFormat="1" ht="13" x14ac:dyDescent="0.3">
      <c r="A181" s="95"/>
      <c r="B181" s="166"/>
      <c r="C181" s="166"/>
      <c r="D181" s="166"/>
      <c r="E181" s="166"/>
      <c r="F181" s="16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  <row r="182" spans="1:18" s="143" customFormat="1" ht="13" x14ac:dyDescent="0.3">
      <c r="A182" s="95"/>
      <c r="B182" s="133"/>
      <c r="C182" s="133"/>
      <c r="D182" s="133"/>
      <c r="E182" s="133"/>
      <c r="F182" s="133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</row>
    <row r="183" spans="1:18" ht="13" x14ac:dyDescent="0.3">
      <c r="A183" s="95"/>
      <c r="B183" s="133"/>
      <c r="C183" s="133"/>
      <c r="D183" s="133"/>
      <c r="E183" s="133"/>
      <c r="F183" s="133"/>
    </row>
    <row r="184" spans="1:18" ht="13" x14ac:dyDescent="0.3">
      <c r="A184" s="95"/>
      <c r="B184" s="133"/>
      <c r="C184" s="133"/>
      <c r="D184" s="133"/>
      <c r="E184" s="133"/>
      <c r="F184" s="133"/>
      <c r="G184" s="171"/>
    </row>
    <row r="185" spans="1:18" ht="13" x14ac:dyDescent="0.3">
      <c r="A185" s="95"/>
      <c r="B185" s="133"/>
      <c r="C185" s="133"/>
      <c r="D185" s="133"/>
      <c r="E185" s="133"/>
      <c r="F185" s="133"/>
    </row>
    <row r="186" spans="1:18" ht="13" x14ac:dyDescent="0.3">
      <c r="A186" s="95"/>
      <c r="B186" s="133"/>
      <c r="C186" s="133"/>
      <c r="D186" s="133"/>
      <c r="E186" s="133"/>
      <c r="F186" s="133"/>
    </row>
    <row r="187" spans="1:18" ht="13" x14ac:dyDescent="0.3">
      <c r="A187" s="95"/>
      <c r="B187" s="133"/>
      <c r="C187" s="133"/>
      <c r="D187" s="133"/>
      <c r="E187" s="133"/>
      <c r="F187" s="133"/>
    </row>
    <row r="188" spans="1:18" ht="13" x14ac:dyDescent="0.3">
      <c r="A188" s="95"/>
      <c r="B188" s="133"/>
      <c r="C188" s="133"/>
      <c r="D188" s="133"/>
      <c r="E188" s="133"/>
      <c r="F188" s="133"/>
    </row>
    <row r="189" spans="1:18" ht="13" hidden="1" x14ac:dyDescent="0.3">
      <c r="A189" s="95"/>
      <c r="B189" s="133"/>
      <c r="C189" s="133"/>
      <c r="D189" s="133"/>
      <c r="E189" s="133"/>
      <c r="F189" s="133"/>
    </row>
    <row r="190" spans="1:18" ht="13" hidden="1" x14ac:dyDescent="0.3">
      <c r="A190" s="95"/>
      <c r="B190" s="166"/>
      <c r="C190" s="133"/>
      <c r="D190" s="134"/>
      <c r="E190" s="133"/>
      <c r="F190" s="133"/>
    </row>
    <row r="191" spans="1:18" ht="13" x14ac:dyDescent="0.3">
      <c r="A191" s="95"/>
      <c r="B191" s="137"/>
    </row>
    <row r="192" spans="1:18" ht="13" x14ac:dyDescent="0.3">
      <c r="A192" s="95"/>
      <c r="B192" s="282"/>
    </row>
    <row r="193" spans="1:3" ht="13" x14ac:dyDescent="0.3">
      <c r="A193" s="95"/>
      <c r="B193" s="145"/>
    </row>
    <row r="194" spans="1:3" ht="13" x14ac:dyDescent="0.3">
      <c r="A194" s="95"/>
    </row>
    <row r="195" spans="1:3" ht="13" x14ac:dyDescent="0.3">
      <c r="A195" s="95"/>
    </row>
    <row r="199" spans="1:3" x14ac:dyDescent="0.25">
      <c r="B199" s="149"/>
      <c r="C199" s="149"/>
    </row>
    <row r="200" spans="1:3" x14ac:dyDescent="0.25">
      <c r="B200" s="122"/>
      <c r="C200" s="122"/>
    </row>
  </sheetData>
  <scenarios current="0" sqref="B134:B135">
    <scenario name="COSTOS FIJOS + 20%" locked="1" count="1" user="Lenovo Yoga Duet 7" comment="Creado por Lenovo Yoga Duet 7 el 2/10/2023_x000a_Modificado por Lenovo Yoga Duet 7 el 2/10/2023">
      <inputCells r="B45" val="240307891,2"/>
    </scenario>
    <scenario name="COSTOS FIJOS + 10%" locked="1" count="1" user="Lenovo Yoga Duet 7" comment="Creado por Lenovo Yoga Duet 7 el 2/10/2023">
      <inputCells r="B45" val="220282233,6"/>
    </scenario>
    <scenario name="COSTOS FIJOS - ESCENARIO BASE" locked="1" count="1" user="Lenovo Yoga Duet 7" comment="Creado por Lenovo Yoga Duet 7 el 2/10/2023">
      <inputCells r="B45" val="200256576"/>
    </scenario>
    <scenario name="COSTOS FIJOS - 10%" locked="1" count="1" user="Lenovo Yoga Duet 7" comment="Creado por Lenovo Yoga Duet 7 el 2/10/2023">
      <inputCells r="B45" val="180230918,4"/>
    </scenario>
    <scenario name="COSTOS FIJOS - 20%" locked="1" count="1" user="Lenovo Yoga Duet 7" comment="Creado por Lenovo Yoga Duet 7 el 2/10/2023">
      <inputCells r="B45" val="160205260,8"/>
    </scenario>
    <scenario name="ESCENARIO CRÍTICO" locked="1" count="1" user="Lenovo Yoga Duet 7" comment="Creado por Lenovo Yoga Duet 7 el 2/10/2023">
      <inputCells r="B45" val="283646444,74" numFmtId="4"/>
    </scenario>
  </scenarios>
  <mergeCells count="34">
    <mergeCell ref="A108:G108"/>
    <mergeCell ref="C134:G136"/>
    <mergeCell ref="A109:G109"/>
    <mergeCell ref="A24:G24"/>
    <mergeCell ref="A98:C98"/>
    <mergeCell ref="A1:C1"/>
    <mergeCell ref="A110:F110"/>
    <mergeCell ref="A59:B59"/>
    <mergeCell ref="F1:H1"/>
    <mergeCell ref="A14:G14"/>
    <mergeCell ref="A25:G25"/>
    <mergeCell ref="A33:B33"/>
    <mergeCell ref="A41:G41"/>
    <mergeCell ref="A60:B60"/>
    <mergeCell ref="A64:B64"/>
    <mergeCell ref="E65:F65"/>
    <mergeCell ref="C69:F69"/>
    <mergeCell ref="B2:D2"/>
    <mergeCell ref="B3:D3"/>
    <mergeCell ref="B4:D4"/>
    <mergeCell ref="A15:G15"/>
    <mergeCell ref="A13:G13"/>
    <mergeCell ref="E100:G100"/>
    <mergeCell ref="A63:B63"/>
    <mergeCell ref="A74:G74"/>
    <mergeCell ref="A75:G75"/>
    <mergeCell ref="A40:G40"/>
    <mergeCell ref="A53:B53"/>
    <mergeCell ref="A76:G76"/>
    <mergeCell ref="A100:C100"/>
    <mergeCell ref="E99:G99"/>
    <mergeCell ref="E98:G98"/>
    <mergeCell ref="A99:C99"/>
    <mergeCell ref="C94:G9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J31"/>
  <sheetViews>
    <sheetView topLeftCell="A15" workbookViewId="0">
      <selection activeCell="D12" sqref="D12"/>
    </sheetView>
  </sheetViews>
  <sheetFormatPr baseColWidth="10" defaultRowHeight="14.5" x14ac:dyDescent="0.35"/>
  <cols>
    <col min="1" max="1" width="21.54296875" bestFit="1" customWidth="1"/>
    <col min="2" max="2" width="15.453125" bestFit="1" customWidth="1"/>
    <col min="3" max="3" width="25.90625" bestFit="1" customWidth="1"/>
    <col min="4" max="4" width="32.36328125" customWidth="1"/>
    <col min="5" max="5" width="16.36328125" customWidth="1"/>
    <col min="6" max="6" width="17.453125" customWidth="1"/>
    <col min="7" max="7" width="17.81640625" customWidth="1"/>
    <col min="10" max="10" width="12.6328125" bestFit="1" customWidth="1"/>
  </cols>
  <sheetData>
    <row r="1" spans="1:10" ht="30" x14ac:dyDescent="0.35">
      <c r="A1" s="69" t="s">
        <v>494</v>
      </c>
      <c r="B1" s="69" t="s">
        <v>319</v>
      </c>
      <c r="C1" s="152" t="s">
        <v>495</v>
      </c>
      <c r="D1" s="158" t="s">
        <v>536</v>
      </c>
      <c r="E1" s="152" t="s">
        <v>498</v>
      </c>
      <c r="F1" s="152" t="s">
        <v>497</v>
      </c>
      <c r="G1" s="152" t="s">
        <v>496</v>
      </c>
    </row>
    <row r="2" spans="1:10" ht="15.5" x14ac:dyDescent="0.35">
      <c r="A2" s="4" t="s">
        <v>91</v>
      </c>
      <c r="B2" s="32">
        <v>1600000</v>
      </c>
      <c r="C2" s="4">
        <v>10</v>
      </c>
      <c r="D2" s="305">
        <f>(B2/C2)</f>
        <v>160000</v>
      </c>
      <c r="E2" s="4">
        <v>5</v>
      </c>
      <c r="F2" s="80">
        <f t="shared" ref="F2:F14" si="0">D2*E2</f>
        <v>800000</v>
      </c>
      <c r="G2" s="71">
        <f t="shared" ref="G2:G14" si="1">B2-F2</f>
        <v>800000</v>
      </c>
    </row>
    <row r="3" spans="1:10" ht="15.5" x14ac:dyDescent="0.35">
      <c r="A3" s="4" t="s">
        <v>92</v>
      </c>
      <c r="B3" s="32">
        <v>1200000</v>
      </c>
      <c r="C3" s="4">
        <v>10</v>
      </c>
      <c r="D3" s="305">
        <f>(B3/C3)</f>
        <v>120000</v>
      </c>
      <c r="E3" s="4">
        <v>5</v>
      </c>
      <c r="F3" s="80">
        <f t="shared" si="0"/>
        <v>600000</v>
      </c>
      <c r="G3" s="71">
        <f t="shared" si="1"/>
        <v>600000</v>
      </c>
    </row>
    <row r="4" spans="1:10" ht="15.5" x14ac:dyDescent="0.35">
      <c r="A4" s="4" t="s">
        <v>136</v>
      </c>
      <c r="B4" s="32">
        <v>2000000</v>
      </c>
      <c r="C4" s="4">
        <v>10</v>
      </c>
      <c r="D4" s="305">
        <f t="shared" ref="D4:D14" si="2">(B4/C4)</f>
        <v>200000</v>
      </c>
      <c r="E4" s="4">
        <v>5</v>
      </c>
      <c r="F4" s="80">
        <f t="shared" si="0"/>
        <v>1000000</v>
      </c>
      <c r="G4" s="71">
        <f t="shared" si="1"/>
        <v>1000000</v>
      </c>
    </row>
    <row r="5" spans="1:10" ht="15.5" x14ac:dyDescent="0.35">
      <c r="A5" s="4" t="s">
        <v>156</v>
      </c>
      <c r="B5" s="32">
        <v>3989000</v>
      </c>
      <c r="C5" s="4">
        <v>10</v>
      </c>
      <c r="D5" s="305">
        <f t="shared" si="2"/>
        <v>398900</v>
      </c>
      <c r="E5" s="4">
        <v>5</v>
      </c>
      <c r="F5" s="80">
        <f t="shared" si="0"/>
        <v>1994500</v>
      </c>
      <c r="G5" s="71">
        <f t="shared" si="1"/>
        <v>1994500</v>
      </c>
    </row>
    <row r="6" spans="1:10" ht="15.5" x14ac:dyDescent="0.35">
      <c r="A6" s="4" t="s">
        <v>94</v>
      </c>
      <c r="B6" s="32">
        <v>500000</v>
      </c>
      <c r="C6" s="4">
        <v>10</v>
      </c>
      <c r="D6" s="305">
        <f t="shared" si="2"/>
        <v>50000</v>
      </c>
      <c r="E6" s="4">
        <v>5</v>
      </c>
      <c r="F6" s="80">
        <f t="shared" si="0"/>
        <v>250000</v>
      </c>
      <c r="G6" s="71">
        <f t="shared" si="1"/>
        <v>250000</v>
      </c>
    </row>
    <row r="7" spans="1:10" ht="15.5" x14ac:dyDescent="0.35">
      <c r="A7" s="4" t="s">
        <v>119</v>
      </c>
      <c r="B7" s="32">
        <v>2500000</v>
      </c>
      <c r="C7" s="4">
        <v>10</v>
      </c>
      <c r="D7" s="305">
        <f t="shared" si="2"/>
        <v>250000</v>
      </c>
      <c r="E7" s="4">
        <v>5</v>
      </c>
      <c r="F7" s="80">
        <f t="shared" si="0"/>
        <v>1250000</v>
      </c>
      <c r="G7" s="71">
        <f t="shared" si="1"/>
        <v>1250000</v>
      </c>
    </row>
    <row r="8" spans="1:10" ht="15.5" x14ac:dyDescent="0.35">
      <c r="A8" s="4" t="s">
        <v>95</v>
      </c>
      <c r="B8" s="32">
        <v>1750000</v>
      </c>
      <c r="C8" s="4">
        <v>10</v>
      </c>
      <c r="D8" s="305">
        <f t="shared" si="2"/>
        <v>175000</v>
      </c>
      <c r="E8" s="4">
        <v>5</v>
      </c>
      <c r="F8" s="80">
        <f t="shared" si="0"/>
        <v>875000</v>
      </c>
      <c r="G8" s="71">
        <f t="shared" si="1"/>
        <v>875000</v>
      </c>
    </row>
    <row r="9" spans="1:10" ht="15.5" x14ac:dyDescent="0.35">
      <c r="A9" s="4" t="s">
        <v>96</v>
      </c>
      <c r="B9" s="32">
        <v>4350000</v>
      </c>
      <c r="C9" s="4">
        <v>10</v>
      </c>
      <c r="D9" s="305">
        <f t="shared" si="2"/>
        <v>435000</v>
      </c>
      <c r="E9" s="4">
        <v>5</v>
      </c>
      <c r="F9" s="80">
        <f t="shared" si="0"/>
        <v>2175000</v>
      </c>
      <c r="G9" s="71">
        <f t="shared" si="1"/>
        <v>2175000</v>
      </c>
    </row>
    <row r="10" spans="1:10" ht="15.5" x14ac:dyDescent="0.35">
      <c r="A10" s="4" t="s">
        <v>97</v>
      </c>
      <c r="B10" s="32">
        <v>2200000</v>
      </c>
      <c r="C10" s="4">
        <v>10</v>
      </c>
      <c r="D10" s="305">
        <f t="shared" si="2"/>
        <v>220000</v>
      </c>
      <c r="E10" s="4">
        <v>5</v>
      </c>
      <c r="F10" s="80">
        <f t="shared" si="0"/>
        <v>1100000</v>
      </c>
      <c r="G10" s="71">
        <f t="shared" si="1"/>
        <v>1100000</v>
      </c>
    </row>
    <row r="11" spans="1:10" ht="15.5" x14ac:dyDescent="0.35">
      <c r="A11" s="4" t="s">
        <v>98</v>
      </c>
      <c r="B11" s="32">
        <v>700000</v>
      </c>
      <c r="C11" s="4">
        <v>10</v>
      </c>
      <c r="D11" s="305">
        <f t="shared" si="2"/>
        <v>70000</v>
      </c>
      <c r="E11" s="4">
        <v>5</v>
      </c>
      <c r="F11" s="80">
        <f t="shared" si="0"/>
        <v>350000</v>
      </c>
      <c r="G11" s="71">
        <f t="shared" si="1"/>
        <v>350000</v>
      </c>
    </row>
    <row r="12" spans="1:10" ht="46.5" x14ac:dyDescent="0.35">
      <c r="A12" s="43" t="s">
        <v>100</v>
      </c>
      <c r="B12" s="26">
        <v>3000000</v>
      </c>
      <c r="C12" s="44">
        <v>10</v>
      </c>
      <c r="D12" s="157">
        <f t="shared" si="2"/>
        <v>300000</v>
      </c>
      <c r="E12" s="44">
        <v>5</v>
      </c>
      <c r="F12" s="161">
        <f t="shared" si="0"/>
        <v>1500000</v>
      </c>
      <c r="G12" s="316">
        <f t="shared" si="1"/>
        <v>1500000</v>
      </c>
    </row>
    <row r="13" spans="1:10" ht="15.5" x14ac:dyDescent="0.35">
      <c r="A13" s="43" t="s">
        <v>120</v>
      </c>
      <c r="B13" s="26">
        <v>3400000</v>
      </c>
      <c r="C13" s="4">
        <v>10</v>
      </c>
      <c r="D13" s="305">
        <f t="shared" si="2"/>
        <v>340000</v>
      </c>
      <c r="E13" s="4">
        <v>5</v>
      </c>
      <c r="F13" s="80">
        <f t="shared" si="0"/>
        <v>1700000</v>
      </c>
      <c r="G13" s="71">
        <f t="shared" si="1"/>
        <v>1700000</v>
      </c>
      <c r="J13" s="75"/>
    </row>
    <row r="14" spans="1:10" ht="15.5" x14ac:dyDescent="0.35">
      <c r="A14" s="43" t="s">
        <v>140</v>
      </c>
      <c r="B14" s="159">
        <v>350000</v>
      </c>
      <c r="C14" s="4">
        <v>5</v>
      </c>
      <c r="D14" s="305">
        <f t="shared" si="2"/>
        <v>70000</v>
      </c>
      <c r="E14" s="4">
        <v>5</v>
      </c>
      <c r="F14" s="80">
        <f t="shared" si="0"/>
        <v>350000</v>
      </c>
      <c r="G14" s="71">
        <f t="shared" si="1"/>
        <v>0</v>
      </c>
    </row>
    <row r="15" spans="1:10" ht="30.5" x14ac:dyDescent="0.35">
      <c r="A15" s="152" t="s">
        <v>69</v>
      </c>
      <c r="B15" s="320">
        <f>SUM(B2:B14)</f>
        <v>27539000</v>
      </c>
      <c r="C15" s="5">
        <v>10</v>
      </c>
      <c r="D15" s="310">
        <f>B15/C15</f>
        <v>2753900</v>
      </c>
      <c r="E15" s="160"/>
      <c r="F15" s="317" t="s">
        <v>518</v>
      </c>
      <c r="G15" s="310">
        <f>SUM(G2:G14)</f>
        <v>13594500</v>
      </c>
      <c r="H15" s="469"/>
      <c r="I15" s="470"/>
    </row>
    <row r="16" spans="1:10" ht="30" x14ac:dyDescent="0.35">
      <c r="A16" s="471"/>
      <c r="B16" s="471"/>
      <c r="C16" s="471"/>
      <c r="D16" s="471"/>
      <c r="E16" s="472"/>
      <c r="F16" s="318" t="s">
        <v>519</v>
      </c>
      <c r="G16" s="319">
        <f>G15/((1+B20)*(1+B21)*(1+B22)*(1+B23)*(1+B24))</f>
        <v>8957802.8054404855</v>
      </c>
    </row>
    <row r="19" spans="1:8" ht="69.650000000000006" customHeight="1" x14ac:dyDescent="0.35">
      <c r="A19" s="5" t="s">
        <v>501</v>
      </c>
      <c r="B19" s="51" t="s">
        <v>502</v>
      </c>
      <c r="C19" s="193"/>
      <c r="D19" s="193"/>
      <c r="E19" s="49"/>
      <c r="G19" s="193"/>
      <c r="H19" s="193"/>
    </row>
    <row r="20" spans="1:8" ht="15.5" x14ac:dyDescent="0.35">
      <c r="A20" s="14" t="s">
        <v>503</v>
      </c>
      <c r="B20" s="201">
        <v>9.4899999999999998E-2</v>
      </c>
      <c r="C20" s="198"/>
      <c r="D20" s="199"/>
    </row>
    <row r="21" spans="1:8" ht="15.5" x14ac:dyDescent="0.35">
      <c r="A21" s="14" t="s">
        <v>504</v>
      </c>
      <c r="B21" s="313">
        <v>9.4899999999999998E-2</v>
      </c>
      <c r="C21" s="485" t="s">
        <v>536</v>
      </c>
      <c r="D21" s="485"/>
      <c r="E21" s="485"/>
      <c r="F21" s="485"/>
    </row>
    <row r="22" spans="1:8" ht="30.5" customHeight="1" thickBot="1" x14ac:dyDescent="0.4">
      <c r="A22" s="14" t="s">
        <v>520</v>
      </c>
      <c r="B22" s="313">
        <v>9.4899999999999998E-2</v>
      </c>
      <c r="C22" s="479" t="s">
        <v>541</v>
      </c>
      <c r="D22" s="480"/>
      <c r="E22" s="473">
        <f>B15</f>
        <v>27539000</v>
      </c>
      <c r="F22" s="474"/>
    </row>
    <row r="23" spans="1:8" ht="15.5" x14ac:dyDescent="0.35">
      <c r="A23" s="14" t="s">
        <v>521</v>
      </c>
      <c r="B23" s="313">
        <v>9.4899999999999998E-2</v>
      </c>
      <c r="C23" s="481" t="s">
        <v>542</v>
      </c>
      <c r="D23" s="482"/>
      <c r="E23" s="475">
        <v>10</v>
      </c>
      <c r="F23" s="476"/>
    </row>
    <row r="24" spans="1:8" ht="16" thickBot="1" x14ac:dyDescent="0.4">
      <c r="A24" s="14" t="s">
        <v>522</v>
      </c>
      <c r="B24" s="313">
        <v>5.6000000000000001E-2</v>
      </c>
      <c r="C24" s="483"/>
      <c r="D24" s="484"/>
      <c r="E24" s="477"/>
      <c r="F24" s="478"/>
    </row>
    <row r="25" spans="1:8" ht="30" x14ac:dyDescent="0.35">
      <c r="C25" s="314" t="s">
        <v>384</v>
      </c>
      <c r="D25" s="315" t="s">
        <v>537</v>
      </c>
      <c r="E25" s="468" t="s">
        <v>543</v>
      </c>
      <c r="F25" s="468"/>
    </row>
    <row r="26" spans="1:8" ht="15.5" x14ac:dyDescent="0.35">
      <c r="C26" s="14" t="s">
        <v>284</v>
      </c>
      <c r="D26" s="305">
        <f>E$22/E$23</f>
        <v>2753900</v>
      </c>
      <c r="E26" s="488">
        <f>(D26/(1+B$20))</f>
        <v>2515206.8682071422</v>
      </c>
      <c r="F26" s="488"/>
    </row>
    <row r="27" spans="1:8" ht="15.5" x14ac:dyDescent="0.35">
      <c r="C27" s="14" t="s">
        <v>285</v>
      </c>
      <c r="D27" s="305">
        <f t="shared" ref="D27:D29" si="3">E$22/E$23</f>
        <v>2753900</v>
      </c>
      <c r="E27" s="488">
        <f>(D27)/((1+B$20)*(1+B21))</f>
        <v>2297202.3638753695</v>
      </c>
      <c r="F27" s="488"/>
    </row>
    <row r="28" spans="1:8" ht="15.5" x14ac:dyDescent="0.35">
      <c r="C28" s="14" t="s">
        <v>286</v>
      </c>
      <c r="D28" s="305">
        <f t="shared" si="3"/>
        <v>2753900</v>
      </c>
      <c r="E28" s="488">
        <f>(D28)/((1+B$20)*(1+B$21)*(1+B22))</f>
        <v>2098093.3088641609</v>
      </c>
      <c r="F28" s="488"/>
    </row>
    <row r="29" spans="1:8" ht="15.5" x14ac:dyDescent="0.35">
      <c r="C29" s="14" t="s">
        <v>383</v>
      </c>
      <c r="D29" s="305">
        <f t="shared" si="3"/>
        <v>2753900</v>
      </c>
      <c r="E29" s="488">
        <f>(D29)/((1+B$20)*(1+B$21)*(1+B$22)*(1+B$23))</f>
        <v>1916241.9479990508</v>
      </c>
      <c r="F29" s="488"/>
    </row>
    <row r="30" spans="1:8" ht="15.5" x14ac:dyDescent="0.35">
      <c r="C30" s="14" t="s">
        <v>287</v>
      </c>
      <c r="D30" s="305">
        <f>E$22/E$23</f>
        <v>2753900</v>
      </c>
      <c r="E30" s="488">
        <f>(D30)/((1+B$20)*(1+B$21)*(1+B$22)*(1+B$23)*(1+B24))</f>
        <v>1814623.0568172829</v>
      </c>
      <c r="F30" s="488"/>
    </row>
    <row r="31" spans="1:8" x14ac:dyDescent="0.35">
      <c r="C31" s="321" t="s">
        <v>544</v>
      </c>
      <c r="D31" s="322">
        <f>SUM(D26:D30)</f>
        <v>13769500</v>
      </c>
      <c r="E31" s="486">
        <f>SUM(E26:F30)</f>
        <v>10641367.545763008</v>
      </c>
      <c r="F31" s="487"/>
    </row>
  </sheetData>
  <mergeCells count="14">
    <mergeCell ref="E31:F31"/>
    <mergeCell ref="E26:F26"/>
    <mergeCell ref="E27:F27"/>
    <mergeCell ref="E28:F28"/>
    <mergeCell ref="E29:F29"/>
    <mergeCell ref="E30:F30"/>
    <mergeCell ref="E25:F25"/>
    <mergeCell ref="H15:I15"/>
    <mergeCell ref="A16:E16"/>
    <mergeCell ref="E22:F22"/>
    <mergeCell ref="E23:F24"/>
    <mergeCell ref="C22:D22"/>
    <mergeCell ref="C23:D24"/>
    <mergeCell ref="C21:F21"/>
  </mergeCells>
  <phoneticPr fontId="3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499984740745262"/>
  </sheetPr>
  <dimension ref="A1:C10"/>
  <sheetViews>
    <sheetView topLeftCell="A6" zoomScaleNormal="100" workbookViewId="0">
      <selection activeCell="B12" sqref="B12"/>
    </sheetView>
  </sheetViews>
  <sheetFormatPr baseColWidth="10" defaultRowHeight="14.5" x14ac:dyDescent="0.35"/>
  <cols>
    <col min="1" max="1" width="32.1796875" customWidth="1"/>
    <col min="2" max="2" width="52.81640625" customWidth="1"/>
    <col min="3" max="3" width="19" customWidth="1"/>
  </cols>
  <sheetData>
    <row r="1" spans="1:3" ht="15" x14ac:dyDescent="0.35">
      <c r="A1" s="374" t="s">
        <v>293</v>
      </c>
      <c r="B1" s="374"/>
      <c r="C1" s="374"/>
    </row>
    <row r="2" spans="1:3" ht="15" x14ac:dyDescent="0.35">
      <c r="A2" s="5" t="s">
        <v>167</v>
      </c>
      <c r="B2" s="5" t="s">
        <v>128</v>
      </c>
      <c r="C2" s="5" t="s">
        <v>168</v>
      </c>
    </row>
    <row r="3" spans="1:3" ht="48.75" customHeight="1" x14ac:dyDescent="0.35">
      <c r="A3" s="58"/>
      <c r="B3" s="58"/>
      <c r="C3" s="58"/>
    </row>
    <row r="4" spans="1:3" ht="46.5" customHeight="1" x14ac:dyDescent="0.35">
      <c r="A4" s="58"/>
      <c r="B4" s="43" t="s">
        <v>294</v>
      </c>
      <c r="C4" s="44" t="s">
        <v>175</v>
      </c>
    </row>
    <row r="5" spans="1:3" ht="65.5" customHeight="1" x14ac:dyDescent="0.35">
      <c r="A5" s="58"/>
      <c r="B5" s="43" t="s">
        <v>296</v>
      </c>
      <c r="C5" s="44" t="s">
        <v>82</v>
      </c>
    </row>
    <row r="6" spans="1:3" ht="69.650000000000006" customHeight="1" x14ac:dyDescent="0.35">
      <c r="A6" s="58"/>
      <c r="B6" s="43" t="s">
        <v>300</v>
      </c>
      <c r="C6" s="44" t="s">
        <v>82</v>
      </c>
    </row>
    <row r="7" spans="1:3" ht="63" customHeight="1" x14ac:dyDescent="0.35">
      <c r="A7" s="58"/>
      <c r="B7" s="43" t="s">
        <v>297</v>
      </c>
      <c r="C7" s="43" t="s">
        <v>295</v>
      </c>
    </row>
    <row r="8" spans="1:3" ht="66" customHeight="1" x14ac:dyDescent="0.35">
      <c r="A8" s="58"/>
      <c r="B8" s="43" t="s">
        <v>298</v>
      </c>
      <c r="C8" s="44" t="s">
        <v>175</v>
      </c>
    </row>
    <row r="9" spans="1:3" ht="56.15" customHeight="1" x14ac:dyDescent="0.35">
      <c r="A9" s="58"/>
      <c r="B9" s="43" t="s">
        <v>299</v>
      </c>
      <c r="C9" s="44" t="s">
        <v>82</v>
      </c>
    </row>
    <row r="10" spans="1:3" ht="56.25" customHeight="1" x14ac:dyDescent="0.35">
      <c r="A10" s="58"/>
      <c r="B10" s="58"/>
      <c r="C10" s="58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</sheetPr>
  <dimension ref="A1:M15"/>
  <sheetViews>
    <sheetView topLeftCell="A4" workbookViewId="0">
      <selection activeCell="I14" sqref="I14:K18"/>
    </sheetView>
  </sheetViews>
  <sheetFormatPr baseColWidth="10" defaultRowHeight="14.5" x14ac:dyDescent="0.35"/>
  <cols>
    <col min="3" max="3" width="11.26953125" customWidth="1"/>
    <col min="6" max="6" width="13.81640625" customWidth="1"/>
    <col min="8" max="8" width="15.1796875" customWidth="1"/>
  </cols>
  <sheetData>
    <row r="1" spans="1:13" ht="15" x14ac:dyDescent="0.35">
      <c r="A1" s="359" t="s">
        <v>289</v>
      </c>
      <c r="B1" s="359"/>
      <c r="C1" s="359"/>
      <c r="D1" s="359"/>
      <c r="E1" s="359"/>
      <c r="F1" s="359"/>
      <c r="G1" s="359"/>
      <c r="H1" s="359"/>
    </row>
    <row r="2" spans="1:13" ht="15" x14ac:dyDescent="0.35">
      <c r="A2" s="374" t="s">
        <v>290</v>
      </c>
      <c r="B2" s="374"/>
      <c r="C2" s="374"/>
      <c r="D2" s="374"/>
      <c r="E2" s="374"/>
      <c r="F2" s="374"/>
      <c r="G2" s="374"/>
      <c r="H2" s="374"/>
    </row>
    <row r="3" spans="1:13" ht="15.5" x14ac:dyDescent="0.35">
      <c r="A3" s="387" t="s">
        <v>292</v>
      </c>
      <c r="B3" s="387"/>
      <c r="C3" s="387"/>
      <c r="D3" s="387" t="s">
        <v>128</v>
      </c>
      <c r="E3" s="387"/>
      <c r="F3" s="387"/>
      <c r="G3" s="387" t="s">
        <v>169</v>
      </c>
      <c r="H3" s="387"/>
    </row>
    <row r="4" spans="1:13" ht="38.25" customHeight="1" x14ac:dyDescent="0.35">
      <c r="A4" s="489"/>
      <c r="B4" s="490"/>
      <c r="C4" s="491"/>
      <c r="D4" s="489"/>
      <c r="E4" s="490"/>
      <c r="F4" s="491"/>
      <c r="G4" s="489"/>
      <c r="H4" s="491"/>
    </row>
    <row r="5" spans="1:13" ht="30.75" customHeight="1" x14ac:dyDescent="0.35">
      <c r="A5" s="372" t="s">
        <v>214</v>
      </c>
      <c r="B5" s="372"/>
      <c r="C5" s="372"/>
      <c r="D5" s="361" t="s">
        <v>301</v>
      </c>
      <c r="E5" s="361"/>
      <c r="F5" s="361"/>
      <c r="G5" s="372" t="s">
        <v>217</v>
      </c>
      <c r="H5" s="372"/>
    </row>
    <row r="6" spans="1:13" ht="27.75" customHeight="1" x14ac:dyDescent="0.35">
      <c r="A6" s="372" t="s">
        <v>232</v>
      </c>
      <c r="B6" s="372"/>
      <c r="C6" s="372"/>
      <c r="D6" s="363" t="s">
        <v>218</v>
      </c>
      <c r="E6" s="363"/>
      <c r="F6" s="363"/>
      <c r="G6" s="372" t="s">
        <v>171</v>
      </c>
      <c r="H6" s="372"/>
    </row>
    <row r="7" spans="1:13" ht="48.75" customHeight="1" x14ac:dyDescent="0.35">
      <c r="A7" s="372" t="s">
        <v>233</v>
      </c>
      <c r="B7" s="372"/>
      <c r="C7" s="372"/>
      <c r="D7" s="363" t="s">
        <v>235</v>
      </c>
      <c r="E7" s="363"/>
      <c r="F7" s="363"/>
      <c r="G7" s="372" t="s">
        <v>219</v>
      </c>
      <c r="H7" s="372"/>
    </row>
    <row r="8" spans="1:13" ht="48.75" customHeight="1" x14ac:dyDescent="0.35">
      <c r="A8" s="492" t="s">
        <v>231</v>
      </c>
      <c r="B8" s="493"/>
      <c r="C8" s="494"/>
      <c r="D8" s="361" t="s">
        <v>234</v>
      </c>
      <c r="E8" s="361"/>
      <c r="F8" s="361"/>
      <c r="G8" s="492" t="s">
        <v>209</v>
      </c>
      <c r="H8" s="494"/>
    </row>
    <row r="9" spans="1:13" ht="33" customHeight="1" x14ac:dyDescent="0.35">
      <c r="A9" s="372" t="s">
        <v>215</v>
      </c>
      <c r="B9" s="372"/>
      <c r="C9" s="372"/>
      <c r="D9" s="372" t="s">
        <v>216</v>
      </c>
      <c r="E9" s="372"/>
      <c r="F9" s="372"/>
      <c r="G9" s="372" t="s">
        <v>220</v>
      </c>
      <c r="H9" s="372"/>
    </row>
    <row r="10" spans="1:13" ht="39" customHeight="1" x14ac:dyDescent="0.35">
      <c r="A10" s="492"/>
      <c r="B10" s="493"/>
      <c r="C10" s="494"/>
      <c r="D10" s="492"/>
      <c r="E10" s="493"/>
      <c r="F10" s="494"/>
      <c r="G10" s="492"/>
      <c r="H10" s="494"/>
    </row>
    <row r="11" spans="1:13" ht="15" x14ac:dyDescent="0.35">
      <c r="A11" s="359" t="s">
        <v>221</v>
      </c>
      <c r="B11" s="359"/>
      <c r="C11" s="359"/>
      <c r="D11" s="359"/>
      <c r="E11" s="359"/>
      <c r="F11" s="359"/>
      <c r="G11" s="359" t="s">
        <v>222</v>
      </c>
      <c r="H11" s="359"/>
    </row>
    <row r="12" spans="1:13" ht="15" x14ac:dyDescent="0.35">
      <c r="A12" s="359"/>
      <c r="B12" s="359"/>
      <c r="C12" s="359"/>
      <c r="D12" s="359"/>
      <c r="E12" s="359"/>
      <c r="F12" s="359"/>
      <c r="G12" s="359" t="s">
        <v>223</v>
      </c>
      <c r="H12" s="359"/>
    </row>
    <row r="13" spans="1:13" x14ac:dyDescent="0.35">
      <c r="A13" s="397"/>
      <c r="B13" s="397"/>
      <c r="C13" s="397"/>
    </row>
    <row r="14" spans="1:13" x14ac:dyDescent="0.35">
      <c r="A14" s="397"/>
      <c r="B14" s="397"/>
      <c r="C14" s="397"/>
    </row>
    <row r="15" spans="1:13" x14ac:dyDescent="0.35">
      <c r="J15" s="65"/>
      <c r="M15" s="65"/>
    </row>
  </sheetData>
  <mergeCells count="31">
    <mergeCell ref="A1:H1"/>
    <mergeCell ref="A2:H2"/>
    <mergeCell ref="A3:C3"/>
    <mergeCell ref="D3:F3"/>
    <mergeCell ref="G3:H3"/>
    <mergeCell ref="A13:C13"/>
    <mergeCell ref="A14:C14"/>
    <mergeCell ref="D5:F5"/>
    <mergeCell ref="D6:F6"/>
    <mergeCell ref="D7:F7"/>
    <mergeCell ref="D9:F9"/>
    <mergeCell ref="A6:C6"/>
    <mergeCell ref="A7:C7"/>
    <mergeCell ref="A9:C9"/>
    <mergeCell ref="A5:C5"/>
    <mergeCell ref="A10:C10"/>
    <mergeCell ref="D10:F10"/>
    <mergeCell ref="G12:H12"/>
    <mergeCell ref="A11:F12"/>
    <mergeCell ref="A8:C8"/>
    <mergeCell ref="D8:F8"/>
    <mergeCell ref="G8:H8"/>
    <mergeCell ref="G10:H10"/>
    <mergeCell ref="A4:C4"/>
    <mergeCell ref="D4:F4"/>
    <mergeCell ref="G4:H4"/>
    <mergeCell ref="G9:H9"/>
    <mergeCell ref="G11:H11"/>
    <mergeCell ref="G5:H5"/>
    <mergeCell ref="G6:H6"/>
    <mergeCell ref="G7:H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L14"/>
  <sheetViews>
    <sheetView topLeftCell="A7" zoomScale="90" zoomScaleNormal="90" workbookViewId="0">
      <selection activeCell="G12" sqref="G12:I14"/>
    </sheetView>
  </sheetViews>
  <sheetFormatPr baseColWidth="10" defaultRowHeight="14.5" x14ac:dyDescent="0.35"/>
  <cols>
    <col min="1" max="1" width="29" customWidth="1"/>
    <col min="2" max="2" width="50.26953125" customWidth="1"/>
    <col min="3" max="3" width="28.1796875" customWidth="1"/>
    <col min="4" max="4" width="25.1796875" customWidth="1"/>
  </cols>
  <sheetData>
    <row r="1" spans="1:12" ht="15" x14ac:dyDescent="0.35">
      <c r="A1" s="374" t="s">
        <v>289</v>
      </c>
      <c r="B1" s="374"/>
      <c r="C1" s="374"/>
      <c r="D1" s="374"/>
    </row>
    <row r="2" spans="1:12" ht="15.5" x14ac:dyDescent="0.35">
      <c r="A2" s="14" t="s">
        <v>167</v>
      </c>
      <c r="B2" s="14" t="s">
        <v>128</v>
      </c>
      <c r="C2" s="14"/>
      <c r="D2" s="14" t="s">
        <v>168</v>
      </c>
    </row>
    <row r="3" spans="1:12" ht="51" customHeight="1" x14ac:dyDescent="0.35">
      <c r="A3" s="14"/>
      <c r="B3" s="14"/>
      <c r="C3" s="14"/>
      <c r="D3" s="14"/>
    </row>
    <row r="4" spans="1:12" ht="61.5" customHeight="1" x14ac:dyDescent="0.35">
      <c r="A4" s="58"/>
      <c r="B4" s="43" t="s">
        <v>180</v>
      </c>
      <c r="C4" s="43" t="s">
        <v>171</v>
      </c>
      <c r="D4" s="44" t="s">
        <v>303</v>
      </c>
    </row>
    <row r="5" spans="1:12" ht="99.75" customHeight="1" x14ac:dyDescent="0.35">
      <c r="A5" s="58"/>
      <c r="B5" s="43" t="s">
        <v>213</v>
      </c>
      <c r="C5" s="43" t="s">
        <v>171</v>
      </c>
      <c r="D5" s="44" t="s">
        <v>303</v>
      </c>
      <c r="I5" s="59"/>
      <c r="J5" s="60" t="s">
        <v>181</v>
      </c>
      <c r="K5" s="60"/>
      <c r="L5" s="61" t="s">
        <v>186</v>
      </c>
    </row>
    <row r="6" spans="1:12" ht="84" customHeight="1" x14ac:dyDescent="0.35">
      <c r="A6" s="58"/>
      <c r="B6" s="43" t="s">
        <v>185</v>
      </c>
      <c r="C6" s="43" t="s">
        <v>209</v>
      </c>
      <c r="D6" s="44" t="s">
        <v>175</v>
      </c>
    </row>
    <row r="7" spans="1:12" ht="84" customHeight="1" x14ac:dyDescent="0.35">
      <c r="A7" s="58"/>
      <c r="B7" s="43" t="s">
        <v>184</v>
      </c>
      <c r="C7" s="43" t="s">
        <v>209</v>
      </c>
      <c r="D7" s="44" t="s">
        <v>175</v>
      </c>
    </row>
    <row r="8" spans="1:12" ht="76.5" customHeight="1" x14ac:dyDescent="0.35">
      <c r="A8" s="58"/>
      <c r="B8" s="43" t="s">
        <v>228</v>
      </c>
      <c r="C8" s="43" t="s">
        <v>224</v>
      </c>
      <c r="D8" s="44" t="s">
        <v>175</v>
      </c>
    </row>
    <row r="9" spans="1:12" ht="76.5" customHeight="1" x14ac:dyDescent="0.35">
      <c r="A9" s="58"/>
      <c r="B9" s="43" t="s">
        <v>229</v>
      </c>
      <c r="C9" s="43" t="s">
        <v>230</v>
      </c>
      <c r="D9" s="44" t="s">
        <v>303</v>
      </c>
    </row>
    <row r="10" spans="1:12" ht="92.25" customHeight="1" x14ac:dyDescent="0.35">
      <c r="A10" s="58"/>
      <c r="B10" s="43" t="s">
        <v>182</v>
      </c>
      <c r="C10" s="43" t="s">
        <v>209</v>
      </c>
      <c r="D10" s="44" t="s">
        <v>175</v>
      </c>
    </row>
    <row r="11" spans="1:12" ht="51.75" customHeight="1" x14ac:dyDescent="0.35">
      <c r="A11" s="58"/>
      <c r="B11" s="43" t="s">
        <v>183</v>
      </c>
      <c r="C11" s="43" t="s">
        <v>209</v>
      </c>
      <c r="D11" s="44" t="s">
        <v>175</v>
      </c>
    </row>
    <row r="12" spans="1:12" ht="42.75" customHeight="1" x14ac:dyDescent="0.35">
      <c r="A12" s="58"/>
      <c r="B12" s="58"/>
      <c r="C12" s="58"/>
      <c r="D12" s="58"/>
    </row>
    <row r="13" spans="1:12" ht="15.5" x14ac:dyDescent="0.35">
      <c r="A13" s="489" t="s">
        <v>225</v>
      </c>
      <c r="B13" s="491"/>
      <c r="C13" s="489">
        <v>163</v>
      </c>
      <c r="D13" s="491"/>
    </row>
    <row r="14" spans="1:12" ht="15" customHeight="1" x14ac:dyDescent="0.35">
      <c r="A14" s="387" t="s">
        <v>226</v>
      </c>
      <c r="B14" s="387"/>
      <c r="C14" s="495" t="s">
        <v>227</v>
      </c>
      <c r="D14" s="496"/>
    </row>
  </sheetData>
  <mergeCells count="5">
    <mergeCell ref="A1:D1"/>
    <mergeCell ref="A13:B13"/>
    <mergeCell ref="A14:B14"/>
    <mergeCell ref="C13:D13"/>
    <mergeCell ref="C14:D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20"/>
  <sheetViews>
    <sheetView workbookViewId="0">
      <selection activeCell="B1" sqref="B1"/>
    </sheetView>
  </sheetViews>
  <sheetFormatPr baseColWidth="10" defaultRowHeight="14.5" x14ac:dyDescent="0.35"/>
  <cols>
    <col min="1" max="1" width="20.36328125" bestFit="1" customWidth="1"/>
    <col min="2" max="2" width="38.08984375" style="2" bestFit="1" customWidth="1"/>
    <col min="3" max="3" width="24.36328125" customWidth="1"/>
    <col min="4" max="4" width="20.36328125" customWidth="1"/>
    <col min="5" max="5" width="34.7265625" style="2" customWidth="1"/>
    <col min="6" max="6" width="28.453125" bestFit="1" customWidth="1"/>
    <col min="7" max="7" width="12" bestFit="1" customWidth="1"/>
    <col min="8" max="8" width="14.453125" bestFit="1" customWidth="1"/>
    <col min="9" max="9" width="10.453125" bestFit="1" customWidth="1"/>
    <col min="10" max="10" width="11.1796875" bestFit="1" customWidth="1"/>
    <col min="11" max="13" width="9.453125" bestFit="1" customWidth="1"/>
    <col min="14" max="14" width="36" bestFit="1" customWidth="1"/>
    <col min="15" max="15" width="10.453125" bestFit="1" customWidth="1"/>
    <col min="16" max="16" width="13.54296875" bestFit="1" customWidth="1"/>
    <col min="17" max="17" width="28.453125" bestFit="1" customWidth="1"/>
    <col min="18" max="18" width="18.81640625" customWidth="1"/>
    <col min="19" max="19" width="23.1796875" customWidth="1"/>
  </cols>
  <sheetData>
    <row r="1" spans="1:19" s="1" customFormat="1" ht="45" x14ac:dyDescent="0.35">
      <c r="A1" s="20" t="s">
        <v>64</v>
      </c>
      <c r="B1" s="21" t="s">
        <v>65</v>
      </c>
      <c r="C1" s="300" t="s">
        <v>66</v>
      </c>
      <c r="D1" s="20" t="s">
        <v>529</v>
      </c>
      <c r="E1" s="23" t="s">
        <v>67</v>
      </c>
      <c r="F1" s="24" t="s">
        <v>68</v>
      </c>
      <c r="G1" s="25" t="s">
        <v>69</v>
      </c>
      <c r="H1" s="25" t="s">
        <v>70</v>
      </c>
      <c r="I1" s="25" t="s">
        <v>71</v>
      </c>
      <c r="J1" s="25" t="s">
        <v>72</v>
      </c>
      <c r="K1" s="25" t="s">
        <v>73</v>
      </c>
      <c r="L1" s="25" t="s">
        <v>74</v>
      </c>
      <c r="M1" s="25" t="s">
        <v>75</v>
      </c>
      <c r="N1" s="25" t="s">
        <v>76</v>
      </c>
      <c r="O1" s="25" t="s">
        <v>77</v>
      </c>
      <c r="P1" s="25" t="s">
        <v>78</v>
      </c>
      <c r="Q1" s="40" t="s">
        <v>79</v>
      </c>
      <c r="R1" s="40" t="s">
        <v>80</v>
      </c>
      <c r="S1" s="25" t="s">
        <v>81</v>
      </c>
    </row>
    <row r="2" spans="1:19" ht="15.5" x14ac:dyDescent="0.35">
      <c r="A2" s="26" t="s">
        <v>82</v>
      </c>
      <c r="B2" s="27">
        <v>3800000</v>
      </c>
      <c r="C2" s="297">
        <f>G2</f>
        <v>3940606</v>
      </c>
      <c r="D2" s="26">
        <f>S2</f>
        <v>5632481.2571759997</v>
      </c>
      <c r="E2" s="29"/>
      <c r="F2" s="30">
        <v>140606</v>
      </c>
      <c r="G2" s="31">
        <f>B2+F2</f>
        <v>3940606</v>
      </c>
      <c r="H2" s="31">
        <f>B2*8%</f>
        <v>304000</v>
      </c>
      <c r="I2" s="31">
        <f>B2*8.5%</f>
        <v>323000</v>
      </c>
      <c r="J2" s="31">
        <f>B2*12%</f>
        <v>456000</v>
      </c>
      <c r="K2" s="31">
        <f>B2*0.55%</f>
        <v>20900.000000000004</v>
      </c>
      <c r="L2" s="31">
        <f>B2*3%</f>
        <v>114000</v>
      </c>
      <c r="M2" s="31">
        <f>B2*2%</f>
        <v>76000</v>
      </c>
      <c r="N2" s="31">
        <f>B2*4%</f>
        <v>152000</v>
      </c>
      <c r="O2" s="31">
        <f>G2*8.33%</f>
        <v>328252.47979999997</v>
      </c>
      <c r="P2" s="31">
        <f>O2</f>
        <v>328252.47979999997</v>
      </c>
      <c r="Q2" s="31">
        <f>P2*12%</f>
        <v>39390.297575999997</v>
      </c>
      <c r="R2" s="31">
        <f>B2*4.16%</f>
        <v>158080</v>
      </c>
      <c r="S2" s="31">
        <f>G2-H2+I2+J2+K2+L2+M2+N2+O2+P2+Q2+R2</f>
        <v>5632481.2571759997</v>
      </c>
    </row>
    <row r="3" spans="1:19" ht="15.5" x14ac:dyDescent="0.35">
      <c r="A3" s="32" t="s">
        <v>303</v>
      </c>
      <c r="B3" s="33">
        <v>2300000</v>
      </c>
      <c r="C3" s="297">
        <f t="shared" ref="C3:C6" si="0">G3</f>
        <v>2440606</v>
      </c>
      <c r="D3" s="26">
        <f t="shared" ref="D3:D6" si="1">S3</f>
        <v>3474437.2571759997</v>
      </c>
      <c r="E3" s="29"/>
      <c r="F3" s="30">
        <v>140606</v>
      </c>
      <c r="G3" s="31">
        <f>B3+F3</f>
        <v>2440606</v>
      </c>
      <c r="H3" s="31">
        <f>B3*8%</f>
        <v>184000</v>
      </c>
      <c r="I3" s="31">
        <f>B3*8.5%</f>
        <v>195500</v>
      </c>
      <c r="J3" s="31">
        <f>B3*12%</f>
        <v>276000</v>
      </c>
      <c r="K3" s="31">
        <f>B3*0.55%</f>
        <v>12650.000000000002</v>
      </c>
      <c r="L3" s="31">
        <f>B3*3%</f>
        <v>69000</v>
      </c>
      <c r="M3" s="31">
        <f>B3*2%</f>
        <v>46000</v>
      </c>
      <c r="N3" s="31">
        <f>B3*4%</f>
        <v>92000</v>
      </c>
      <c r="O3" s="31">
        <f t="shared" ref="O3:O6" si="2">G3*8.33%</f>
        <v>203302.4798</v>
      </c>
      <c r="P3" s="31">
        <f t="shared" ref="P3:P6" si="3">O3</f>
        <v>203302.4798</v>
      </c>
      <c r="Q3" s="31">
        <f t="shared" ref="Q3:Q6" si="4">P3*12%</f>
        <v>24396.297576000001</v>
      </c>
      <c r="R3" s="31">
        <f>B3*4.16%</f>
        <v>95680</v>
      </c>
      <c r="S3" s="31">
        <f t="shared" ref="S3:S5" si="5">G3-H3+I3+J3+K3+L3+M3+N3+O3+P3+Q3+R3</f>
        <v>3474437.2571759997</v>
      </c>
    </row>
    <row r="4" spans="1:19" ht="15.5" x14ac:dyDescent="0.35">
      <c r="A4" s="32" t="s">
        <v>175</v>
      </c>
      <c r="B4" s="27">
        <v>1200000</v>
      </c>
      <c r="C4" s="297">
        <f t="shared" si="0"/>
        <v>1340606</v>
      </c>
      <c r="D4" s="26">
        <f t="shared" si="1"/>
        <v>1891871.6571760001</v>
      </c>
      <c r="E4" s="29"/>
      <c r="F4" s="30">
        <v>140606</v>
      </c>
      <c r="G4" s="31">
        <f>B4+F4</f>
        <v>1340606</v>
      </c>
      <c r="H4" s="31">
        <f>B4*8%</f>
        <v>96000</v>
      </c>
      <c r="I4" s="31">
        <f>B4*8.5%</f>
        <v>102000.00000000001</v>
      </c>
      <c r="J4" s="31">
        <f>B4*12%</f>
        <v>144000</v>
      </c>
      <c r="K4" s="31">
        <f>B4*0.55%</f>
        <v>6600.0000000000009</v>
      </c>
      <c r="L4" s="31">
        <f>B4*3%</f>
        <v>36000</v>
      </c>
      <c r="M4" s="31">
        <f>B4*2%</f>
        <v>24000</v>
      </c>
      <c r="N4" s="31">
        <f>B4*4%</f>
        <v>48000</v>
      </c>
      <c r="O4" s="31">
        <f t="shared" si="2"/>
        <v>111672.4798</v>
      </c>
      <c r="P4" s="31">
        <f t="shared" si="3"/>
        <v>111672.4798</v>
      </c>
      <c r="Q4" s="31">
        <f t="shared" si="4"/>
        <v>13400.697576</v>
      </c>
      <c r="R4" s="31">
        <f>B4*4.16%</f>
        <v>49920</v>
      </c>
      <c r="S4" s="31">
        <f t="shared" si="5"/>
        <v>1891871.6571760001</v>
      </c>
    </row>
    <row r="5" spans="1:19" ht="15.5" x14ac:dyDescent="0.35">
      <c r="A5" s="32" t="s">
        <v>83</v>
      </c>
      <c r="B5" s="27">
        <v>1160000</v>
      </c>
      <c r="C5" s="297">
        <f t="shared" si="0"/>
        <v>1300606</v>
      </c>
      <c r="D5" s="26">
        <f t="shared" si="1"/>
        <v>1834323.8171760002</v>
      </c>
      <c r="E5" s="29"/>
      <c r="F5" s="30">
        <v>140606</v>
      </c>
      <c r="G5" s="31">
        <f>B5+F5</f>
        <v>1300606</v>
      </c>
      <c r="H5" s="31">
        <f>B5*8%</f>
        <v>92800</v>
      </c>
      <c r="I5" s="31">
        <f>B5*8.5%</f>
        <v>98600</v>
      </c>
      <c r="J5" s="31">
        <f>B5*12%</f>
        <v>139200</v>
      </c>
      <c r="K5" s="31">
        <f>B5*0.55%</f>
        <v>6380.0000000000009</v>
      </c>
      <c r="L5" s="31">
        <f>B5*3%</f>
        <v>34800</v>
      </c>
      <c r="M5" s="31">
        <f>B5*2%</f>
        <v>23200</v>
      </c>
      <c r="N5" s="31">
        <f>B5*4%</f>
        <v>46400</v>
      </c>
      <c r="O5" s="31">
        <f t="shared" si="2"/>
        <v>108340.4798</v>
      </c>
      <c r="P5" s="31">
        <f t="shared" si="3"/>
        <v>108340.4798</v>
      </c>
      <c r="Q5" s="31">
        <f t="shared" si="4"/>
        <v>13000.857576</v>
      </c>
      <c r="R5" s="31">
        <f>B5*4.16%</f>
        <v>48256</v>
      </c>
      <c r="S5" s="31">
        <f t="shared" si="5"/>
        <v>1834323.8171760002</v>
      </c>
    </row>
    <row r="6" spans="1:19" ht="15.5" x14ac:dyDescent="0.35">
      <c r="A6" s="32" t="s">
        <v>84</v>
      </c>
      <c r="B6" s="27">
        <v>1160000</v>
      </c>
      <c r="C6" s="297">
        <f t="shared" si="0"/>
        <v>1300606</v>
      </c>
      <c r="D6" s="26">
        <f t="shared" si="1"/>
        <v>1834323.8171760002</v>
      </c>
      <c r="E6" s="29"/>
      <c r="F6" s="30">
        <v>140606</v>
      </c>
      <c r="G6" s="31">
        <f>B6+F6</f>
        <v>1300606</v>
      </c>
      <c r="H6" s="31">
        <f>B6*8%</f>
        <v>92800</v>
      </c>
      <c r="I6" s="31">
        <f>B6*8.5%</f>
        <v>98600</v>
      </c>
      <c r="J6" s="31">
        <f>B6*12%</f>
        <v>139200</v>
      </c>
      <c r="K6" s="31">
        <f>B6*0.55%</f>
        <v>6380.0000000000009</v>
      </c>
      <c r="L6" s="31">
        <f>B6*3%</f>
        <v>34800</v>
      </c>
      <c r="M6" s="31">
        <f>B6*2%</f>
        <v>23200</v>
      </c>
      <c r="N6" s="31">
        <f>B6*4%</f>
        <v>46400</v>
      </c>
      <c r="O6" s="31">
        <f t="shared" si="2"/>
        <v>108340.4798</v>
      </c>
      <c r="P6" s="31">
        <f t="shared" si="3"/>
        <v>108340.4798</v>
      </c>
      <c r="Q6" s="31">
        <f t="shared" si="4"/>
        <v>13000.857576</v>
      </c>
      <c r="R6" s="31">
        <f>B6*4.16%</f>
        <v>48256</v>
      </c>
      <c r="S6" s="31">
        <f>G6-H6+I6+J6+K6+L6+M6+N6+O6+P6+Q6+R6</f>
        <v>1834323.8171760002</v>
      </c>
    </row>
    <row r="7" spans="1:19" ht="15.5" x14ac:dyDescent="0.35">
      <c r="A7" s="34" t="s">
        <v>69</v>
      </c>
      <c r="B7" s="35">
        <f>SUM(B2:B6)</f>
        <v>9620000</v>
      </c>
      <c r="C7" s="298">
        <f>SUM(C2:C6)</f>
        <v>10323030</v>
      </c>
      <c r="D7" s="299">
        <f>SUM(D2:D6)</f>
        <v>14667437.805879999</v>
      </c>
      <c r="E7" s="36"/>
      <c r="F7" s="37"/>
      <c r="G7" s="37"/>
      <c r="H7" s="37"/>
      <c r="I7" s="37"/>
      <c r="J7" s="37"/>
      <c r="K7" s="37"/>
      <c r="L7" s="37"/>
      <c r="M7" s="37"/>
      <c r="N7" s="37"/>
      <c r="O7" s="41">
        <f>SUM(S2:S6)</f>
        <v>14667437.805879999</v>
      </c>
      <c r="P7" s="37"/>
      <c r="Q7" s="37"/>
      <c r="R7" s="37"/>
    </row>
    <row r="8" spans="1:19" x14ac:dyDescent="0.3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x14ac:dyDescent="0.3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x14ac:dyDescent="0.3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 x14ac:dyDescent="0.3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5" x14ac:dyDescent="0.35">
      <c r="A12" s="22" t="s">
        <v>85</v>
      </c>
      <c r="B12" s="22" t="s">
        <v>86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15.5" x14ac:dyDescent="0.35">
      <c r="A13" s="28" t="s">
        <v>82</v>
      </c>
      <c r="B13" s="39">
        <f>S2</f>
        <v>5632481.2571759997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15.5" x14ac:dyDescent="0.35">
      <c r="A14" s="39" t="s">
        <v>303</v>
      </c>
      <c r="B14" s="39">
        <f>S3</f>
        <v>3474437.2571759997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</row>
    <row r="15" spans="1:19" ht="15.5" x14ac:dyDescent="0.35">
      <c r="A15" s="39" t="s">
        <v>175</v>
      </c>
      <c r="B15" s="39">
        <f>S4</f>
        <v>1891871.6571760001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5.5" x14ac:dyDescent="0.35">
      <c r="A16" s="39" t="s">
        <v>83</v>
      </c>
      <c r="B16" s="39">
        <f t="shared" ref="B16:B17" si="6">S5</f>
        <v>1834323.8171760002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</row>
    <row r="17" spans="1:19" ht="15.5" x14ac:dyDescent="0.35">
      <c r="A17" s="39" t="s">
        <v>84</v>
      </c>
      <c r="B17" s="39">
        <f t="shared" si="6"/>
        <v>1834323.8171760002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15.5" x14ac:dyDescent="0.35">
      <c r="A18" s="42" t="s">
        <v>69</v>
      </c>
      <c r="B18" s="42">
        <f>SUM(B13:B17)</f>
        <v>14667437.805879999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x14ac:dyDescent="0.3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x14ac:dyDescent="0.3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</sheetPr>
  <dimension ref="A1:H16"/>
  <sheetViews>
    <sheetView topLeftCell="A6" zoomScale="80" zoomScaleNormal="80" workbookViewId="0">
      <selection activeCell="F12" sqref="F12"/>
    </sheetView>
  </sheetViews>
  <sheetFormatPr baseColWidth="10" defaultRowHeight="14.5" x14ac:dyDescent="0.35"/>
  <cols>
    <col min="1" max="1" width="24.54296875" customWidth="1"/>
    <col min="2" max="2" width="40.453125" customWidth="1"/>
    <col min="3" max="3" width="23.1796875" bestFit="1" customWidth="1"/>
    <col min="4" max="4" width="18.81640625" bestFit="1" customWidth="1"/>
  </cols>
  <sheetData>
    <row r="1" spans="1:8" ht="15" x14ac:dyDescent="0.35">
      <c r="A1" s="498" t="s">
        <v>289</v>
      </c>
      <c r="B1" s="498"/>
      <c r="C1" s="498"/>
      <c r="D1" s="498"/>
    </row>
    <row r="2" spans="1:8" ht="15" x14ac:dyDescent="0.35">
      <c r="A2" s="497" t="s">
        <v>291</v>
      </c>
      <c r="B2" s="497"/>
      <c r="C2" s="497"/>
      <c r="D2" s="497"/>
    </row>
    <row r="3" spans="1:8" ht="15" x14ac:dyDescent="0.35">
      <c r="A3" s="5" t="s">
        <v>167</v>
      </c>
      <c r="B3" s="5" t="s">
        <v>128</v>
      </c>
      <c r="C3" s="5" t="s">
        <v>169</v>
      </c>
      <c r="D3" s="5" t="s">
        <v>189</v>
      </c>
    </row>
    <row r="4" spans="1:8" ht="40.5" customHeight="1" x14ac:dyDescent="0.35">
      <c r="A4" s="5"/>
      <c r="B4" s="5"/>
      <c r="C4" s="5"/>
      <c r="D4" s="5"/>
    </row>
    <row r="5" spans="1:8" ht="45" customHeight="1" x14ac:dyDescent="0.35">
      <c r="A5" s="44" t="s">
        <v>190</v>
      </c>
      <c r="B5" s="44" t="s">
        <v>199</v>
      </c>
      <c r="C5" s="43" t="s">
        <v>171</v>
      </c>
      <c r="D5" s="43" t="s">
        <v>303</v>
      </c>
    </row>
    <row r="6" spans="1:8" ht="67.5" customHeight="1" x14ac:dyDescent="0.35">
      <c r="A6" s="44" t="s">
        <v>191</v>
      </c>
      <c r="B6" s="43" t="s">
        <v>200</v>
      </c>
      <c r="C6" s="43" t="s">
        <v>208</v>
      </c>
      <c r="D6" s="43" t="s">
        <v>303</v>
      </c>
    </row>
    <row r="7" spans="1:8" ht="53.25" customHeight="1" x14ac:dyDescent="0.35">
      <c r="A7" s="44" t="s">
        <v>192</v>
      </c>
      <c r="B7" s="43" t="s">
        <v>201</v>
      </c>
      <c r="C7" s="43" t="s">
        <v>174</v>
      </c>
      <c r="D7" s="43" t="s">
        <v>303</v>
      </c>
      <c r="H7" s="49"/>
    </row>
    <row r="8" spans="1:8" ht="39.75" customHeight="1" x14ac:dyDescent="0.35">
      <c r="A8" s="44" t="s">
        <v>193</v>
      </c>
      <c r="B8" s="43" t="s">
        <v>202</v>
      </c>
      <c r="C8" s="43" t="s">
        <v>174</v>
      </c>
      <c r="D8" s="43" t="s">
        <v>303</v>
      </c>
    </row>
    <row r="9" spans="1:8" ht="65.25" customHeight="1" x14ac:dyDescent="0.35">
      <c r="A9" s="44" t="s">
        <v>194</v>
      </c>
      <c r="B9" s="43" t="s">
        <v>203</v>
      </c>
      <c r="C9" s="43" t="s">
        <v>171</v>
      </c>
      <c r="D9" s="43" t="s">
        <v>303</v>
      </c>
    </row>
    <row r="10" spans="1:8" ht="77.5" x14ac:dyDescent="0.35">
      <c r="A10" s="44" t="s">
        <v>195</v>
      </c>
      <c r="B10" s="43" t="s">
        <v>204</v>
      </c>
      <c r="C10" s="43" t="s">
        <v>209</v>
      </c>
      <c r="D10" s="43" t="s">
        <v>303</v>
      </c>
    </row>
    <row r="11" spans="1:8" ht="49.5" customHeight="1" x14ac:dyDescent="0.35">
      <c r="A11" s="44" t="s">
        <v>196</v>
      </c>
      <c r="B11" s="43" t="s">
        <v>205</v>
      </c>
      <c r="C11" s="43" t="s">
        <v>174</v>
      </c>
      <c r="D11" s="43" t="s">
        <v>303</v>
      </c>
    </row>
    <row r="12" spans="1:8" ht="37.5" customHeight="1" x14ac:dyDescent="0.35">
      <c r="A12" s="44" t="s">
        <v>197</v>
      </c>
      <c r="B12" s="43" t="s">
        <v>206</v>
      </c>
      <c r="C12" s="43" t="s">
        <v>210</v>
      </c>
      <c r="D12" s="43" t="s">
        <v>303</v>
      </c>
    </row>
    <row r="13" spans="1:8" ht="46.5" x14ac:dyDescent="0.35">
      <c r="A13" s="63" t="s">
        <v>198</v>
      </c>
      <c r="B13" s="64" t="s">
        <v>207</v>
      </c>
      <c r="C13" s="64" t="s">
        <v>174</v>
      </c>
      <c r="D13" s="43" t="s">
        <v>303</v>
      </c>
    </row>
    <row r="14" spans="1:8" ht="51.75" customHeight="1" x14ac:dyDescent="0.35">
      <c r="A14" s="63"/>
      <c r="B14" s="64"/>
      <c r="C14" s="64"/>
      <c r="D14" s="64"/>
    </row>
    <row r="15" spans="1:8" ht="15" x14ac:dyDescent="0.35">
      <c r="A15" s="51" t="s">
        <v>211</v>
      </c>
      <c r="B15" s="367" t="s">
        <v>212</v>
      </c>
      <c r="C15" s="499"/>
      <c r="D15" s="368"/>
    </row>
    <row r="16" spans="1:8" x14ac:dyDescent="0.35">
      <c r="A16" s="62"/>
    </row>
  </sheetData>
  <mergeCells count="3">
    <mergeCell ref="A2:D2"/>
    <mergeCell ref="A1:D1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D12"/>
  <sheetViews>
    <sheetView topLeftCell="A3" zoomScale="80" zoomScaleNormal="80" workbookViewId="0">
      <selection sqref="A1:D12"/>
    </sheetView>
  </sheetViews>
  <sheetFormatPr baseColWidth="10" defaultRowHeight="14.5" x14ac:dyDescent="0.35"/>
  <cols>
    <col min="1" max="1" width="32.1796875" customWidth="1"/>
    <col min="2" max="2" width="40.1796875" customWidth="1"/>
    <col min="3" max="3" width="20.81640625" customWidth="1"/>
    <col min="4" max="4" width="19" customWidth="1"/>
  </cols>
  <sheetData>
    <row r="1" spans="1:4" ht="15" x14ac:dyDescent="0.35">
      <c r="A1" s="359" t="s">
        <v>289</v>
      </c>
      <c r="B1" s="359"/>
      <c r="C1" s="359"/>
      <c r="D1" s="359"/>
    </row>
    <row r="2" spans="1:4" ht="15" x14ac:dyDescent="0.35">
      <c r="A2" s="374" t="s">
        <v>302</v>
      </c>
      <c r="B2" s="374"/>
      <c r="C2" s="374"/>
      <c r="D2" s="374"/>
    </row>
    <row r="3" spans="1:4" ht="30" x14ac:dyDescent="0.35">
      <c r="A3" s="5" t="s">
        <v>167</v>
      </c>
      <c r="B3" s="5" t="s">
        <v>128</v>
      </c>
      <c r="C3" s="51" t="s">
        <v>169</v>
      </c>
      <c r="D3" s="5" t="s">
        <v>168</v>
      </c>
    </row>
    <row r="4" spans="1:4" ht="48.75" customHeight="1" x14ac:dyDescent="0.35">
      <c r="A4" s="58"/>
      <c r="B4" s="58"/>
      <c r="C4" s="58"/>
      <c r="D4" s="58"/>
    </row>
    <row r="5" spans="1:4" ht="46.5" customHeight="1" x14ac:dyDescent="0.35">
      <c r="A5" s="58"/>
      <c r="B5" s="43" t="s">
        <v>187</v>
      </c>
      <c r="C5" s="44" t="s">
        <v>171</v>
      </c>
      <c r="D5" s="44" t="s">
        <v>303</v>
      </c>
    </row>
    <row r="6" spans="1:4" ht="51" customHeight="1" x14ac:dyDescent="0.35">
      <c r="A6" s="58"/>
      <c r="B6" s="43" t="s">
        <v>170</v>
      </c>
      <c r="C6" s="44" t="s">
        <v>171</v>
      </c>
      <c r="D6" s="44" t="s">
        <v>303</v>
      </c>
    </row>
    <row r="7" spans="1:4" ht="78.75" customHeight="1" x14ac:dyDescent="0.35">
      <c r="A7" s="58"/>
      <c r="B7" s="43" t="s">
        <v>188</v>
      </c>
      <c r="C7" s="44" t="s">
        <v>172</v>
      </c>
      <c r="D7" s="44" t="s">
        <v>303</v>
      </c>
    </row>
    <row r="8" spans="1:4" ht="63" customHeight="1" x14ac:dyDescent="0.35">
      <c r="A8" s="58"/>
      <c r="B8" s="43" t="s">
        <v>178</v>
      </c>
      <c r="C8" s="44" t="s">
        <v>171</v>
      </c>
      <c r="D8" s="44" t="s">
        <v>303</v>
      </c>
    </row>
    <row r="9" spans="1:4" ht="42" customHeight="1" x14ac:dyDescent="0.35">
      <c r="A9" s="58"/>
      <c r="B9" s="43" t="s">
        <v>173</v>
      </c>
      <c r="C9" s="44" t="s">
        <v>171</v>
      </c>
      <c r="D9" s="44" t="s">
        <v>175</v>
      </c>
    </row>
    <row r="10" spans="1:4" ht="44.25" customHeight="1" x14ac:dyDescent="0.35">
      <c r="A10" s="58"/>
      <c r="B10" s="43" t="s">
        <v>179</v>
      </c>
      <c r="C10" s="44" t="s">
        <v>174</v>
      </c>
      <c r="D10" s="44" t="s">
        <v>175</v>
      </c>
    </row>
    <row r="11" spans="1:4" ht="56.25" customHeight="1" x14ac:dyDescent="0.35">
      <c r="A11" s="58"/>
      <c r="B11" s="58"/>
      <c r="C11" s="58"/>
      <c r="D11" s="58"/>
    </row>
    <row r="12" spans="1:4" ht="15.65" customHeight="1" x14ac:dyDescent="0.35">
      <c r="A12" s="359" t="s">
        <v>176</v>
      </c>
      <c r="B12" s="359"/>
      <c r="C12" s="359" t="s">
        <v>177</v>
      </c>
      <c r="D12" s="359"/>
    </row>
  </sheetData>
  <mergeCells count="4">
    <mergeCell ref="A12:B12"/>
    <mergeCell ref="A2:D2"/>
    <mergeCell ref="A1:D1"/>
    <mergeCell ref="C12:D12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</sheetPr>
  <dimension ref="A1:K42"/>
  <sheetViews>
    <sheetView showGridLines="0" topLeftCell="A23" workbookViewId="0">
      <selection activeCell="I45" sqref="I45"/>
    </sheetView>
  </sheetViews>
  <sheetFormatPr baseColWidth="10" defaultRowHeight="14.5" x14ac:dyDescent="0.35"/>
  <cols>
    <col min="3" max="3" width="34.453125" customWidth="1"/>
    <col min="4" max="4" width="14" bestFit="1" customWidth="1"/>
    <col min="5" max="5" width="11.54296875" bestFit="1" customWidth="1"/>
    <col min="9" max="9" width="41.26953125" customWidth="1"/>
    <col min="10" max="10" width="13" customWidth="1"/>
    <col min="11" max="11" width="25.7265625" customWidth="1"/>
  </cols>
  <sheetData>
    <row r="1" spans="1:11" ht="15" x14ac:dyDescent="0.35">
      <c r="A1" s="385" t="s">
        <v>11</v>
      </c>
      <c r="B1" s="385"/>
      <c r="C1" s="385"/>
      <c r="D1" s="385"/>
      <c r="E1" s="385"/>
      <c r="F1" s="385"/>
    </row>
    <row r="2" spans="1:11" x14ac:dyDescent="0.35">
      <c r="A2" s="533" t="s">
        <v>306</v>
      </c>
      <c r="B2" s="533"/>
      <c r="C2" s="533"/>
      <c r="D2" s="533">
        <v>11760</v>
      </c>
      <c r="E2" s="533"/>
      <c r="F2" s="533"/>
    </row>
    <row r="3" spans="1:11" ht="15.5" x14ac:dyDescent="0.35">
      <c r="A3" s="373" t="s">
        <v>8</v>
      </c>
      <c r="B3" s="373"/>
      <c r="C3" s="373"/>
      <c r="D3" s="373"/>
      <c r="E3" s="373"/>
      <c r="F3" s="373"/>
    </row>
    <row r="4" spans="1:11" ht="15.5" x14ac:dyDescent="0.35">
      <c r="A4" s="387" t="s">
        <v>9</v>
      </c>
      <c r="B4" s="387"/>
      <c r="C4" s="387"/>
      <c r="D4" s="387" t="s">
        <v>16</v>
      </c>
      <c r="E4" s="387"/>
      <c r="F4" s="387"/>
    </row>
    <row r="5" spans="1:11" ht="15.5" x14ac:dyDescent="0.35">
      <c r="A5" s="376" t="s">
        <v>10</v>
      </c>
      <c r="B5" s="376"/>
      <c r="C5" s="376"/>
      <c r="D5" s="389">
        <v>1300000</v>
      </c>
      <c r="E5" s="389"/>
      <c r="F5" s="389"/>
    </row>
    <row r="6" spans="1:11" ht="15.5" x14ac:dyDescent="0.35">
      <c r="A6" s="376" t="s">
        <v>7</v>
      </c>
      <c r="B6" s="376"/>
      <c r="C6" s="376"/>
      <c r="D6" s="389">
        <v>250000</v>
      </c>
      <c r="E6" s="389"/>
      <c r="F6" s="389"/>
    </row>
    <row r="7" spans="1:11" ht="15.5" x14ac:dyDescent="0.35">
      <c r="A7" s="376" t="s">
        <v>12</v>
      </c>
      <c r="B7" s="376"/>
      <c r="C7" s="376"/>
      <c r="D7" s="389">
        <v>450000</v>
      </c>
      <c r="E7" s="389"/>
      <c r="F7" s="389"/>
    </row>
    <row r="8" spans="1:11" ht="15.5" x14ac:dyDescent="0.35">
      <c r="A8" s="376" t="s">
        <v>13</v>
      </c>
      <c r="B8" s="376"/>
      <c r="C8" s="376"/>
      <c r="D8" s="389">
        <v>13538048</v>
      </c>
      <c r="E8" s="389"/>
      <c r="F8" s="389"/>
    </row>
    <row r="9" spans="1:11" ht="15.5" x14ac:dyDescent="0.35">
      <c r="A9" s="376" t="s">
        <v>14</v>
      </c>
      <c r="B9" s="376"/>
      <c r="C9" s="376"/>
      <c r="D9" s="389">
        <v>300000</v>
      </c>
      <c r="E9" s="389"/>
      <c r="F9" s="389"/>
    </row>
    <row r="10" spans="1:11" ht="15.5" x14ac:dyDescent="0.35">
      <c r="A10" s="376" t="s">
        <v>356</v>
      </c>
      <c r="B10" s="376"/>
      <c r="C10" s="376"/>
      <c r="D10" s="389">
        <v>200000</v>
      </c>
      <c r="E10" s="389"/>
      <c r="F10" s="389"/>
    </row>
    <row r="11" spans="1:11" ht="15.5" x14ac:dyDescent="0.35">
      <c r="A11" s="527" t="s">
        <v>357</v>
      </c>
      <c r="B11" s="528"/>
      <c r="C11" s="529"/>
      <c r="D11" s="530">
        <v>650000</v>
      </c>
      <c r="E11" s="531"/>
      <c r="F11" s="532"/>
    </row>
    <row r="12" spans="1:11" ht="15.5" x14ac:dyDescent="0.35">
      <c r="A12" s="387" t="s">
        <v>44</v>
      </c>
      <c r="B12" s="387"/>
      <c r="C12" s="387"/>
      <c r="D12" s="526">
        <f>SUM(D5:F11)</f>
        <v>16688048</v>
      </c>
      <c r="E12" s="526"/>
      <c r="F12" s="526"/>
    </row>
    <row r="13" spans="1:11" ht="15.5" x14ac:dyDescent="0.35">
      <c r="A13" s="490" t="s">
        <v>304</v>
      </c>
      <c r="B13" s="490"/>
      <c r="C13" s="490"/>
      <c r="D13" s="503">
        <f>D12/D2</f>
        <v>1419.051700680272</v>
      </c>
      <c r="E13" s="503"/>
      <c r="F13" s="503"/>
    </row>
    <row r="14" spans="1:11" ht="15" x14ac:dyDescent="0.35">
      <c r="A14" s="388" t="s">
        <v>15</v>
      </c>
      <c r="B14" s="388"/>
      <c r="C14" s="388"/>
      <c r="D14" s="388"/>
      <c r="E14" s="388"/>
      <c r="F14" s="388"/>
    </row>
    <row r="15" spans="1:11" ht="15.5" x14ac:dyDescent="0.35">
      <c r="A15" s="387" t="s">
        <v>9</v>
      </c>
      <c r="B15" s="387"/>
      <c r="C15" s="387"/>
      <c r="D15" s="524"/>
      <c r="E15" s="524"/>
      <c r="F15" s="524"/>
      <c r="I15" s="19" t="s">
        <v>43</v>
      </c>
      <c r="J15" s="358" t="s">
        <v>30</v>
      </c>
      <c r="K15" s="358"/>
    </row>
    <row r="16" spans="1:11" x14ac:dyDescent="0.35">
      <c r="A16" s="512" t="s">
        <v>43</v>
      </c>
      <c r="B16" s="512"/>
      <c r="C16" s="512"/>
      <c r="D16" s="7" t="s">
        <v>22</v>
      </c>
      <c r="E16" s="525" t="s">
        <v>3</v>
      </c>
      <c r="F16" s="525"/>
      <c r="I16" s="6" t="s">
        <v>27</v>
      </c>
      <c r="J16" s="15">
        <v>4454</v>
      </c>
      <c r="K16" s="8" t="s">
        <v>29</v>
      </c>
    </row>
    <row r="17" spans="1:11" x14ac:dyDescent="0.35">
      <c r="A17" s="508" t="s">
        <v>0</v>
      </c>
      <c r="B17" s="508"/>
      <c r="C17" s="508"/>
      <c r="D17" s="70">
        <v>1</v>
      </c>
      <c r="E17" s="511">
        <v>900</v>
      </c>
      <c r="F17" s="511"/>
      <c r="I17" s="6" t="s">
        <v>28</v>
      </c>
      <c r="J17" s="16">
        <f>3380</f>
        <v>3380</v>
      </c>
      <c r="K17" s="8" t="s">
        <v>31</v>
      </c>
    </row>
    <row r="18" spans="1:11" x14ac:dyDescent="0.35">
      <c r="A18" s="508" t="s">
        <v>1</v>
      </c>
      <c r="B18" s="508"/>
      <c r="C18" s="508"/>
      <c r="D18" s="10" t="s">
        <v>23</v>
      </c>
      <c r="E18" s="511">
        <f>5900/500*120</f>
        <v>1416</v>
      </c>
      <c r="F18" s="511"/>
      <c r="I18" s="6" t="s">
        <v>32</v>
      </c>
      <c r="J18" s="15">
        <v>10400</v>
      </c>
      <c r="K18" s="8" t="s">
        <v>33</v>
      </c>
    </row>
    <row r="19" spans="1:11" x14ac:dyDescent="0.35">
      <c r="A19" s="508" t="s">
        <v>2</v>
      </c>
      <c r="B19" s="508"/>
      <c r="C19" s="508"/>
      <c r="D19" s="8" t="s">
        <v>26</v>
      </c>
      <c r="E19" s="514">
        <f>3380/15*1</f>
        <v>225.33333333333334</v>
      </c>
      <c r="F19" s="514"/>
      <c r="I19" s="6" t="s">
        <v>34</v>
      </c>
      <c r="J19" s="15">
        <v>4590</v>
      </c>
      <c r="K19" s="8" t="s">
        <v>35</v>
      </c>
    </row>
    <row r="20" spans="1:11" x14ac:dyDescent="0.35">
      <c r="A20" s="508" t="s">
        <v>6</v>
      </c>
      <c r="B20" s="508"/>
      <c r="C20" s="508"/>
      <c r="D20" s="8" t="s">
        <v>24</v>
      </c>
      <c r="E20" s="514">
        <f>((4454/4)/6)*2</f>
        <v>371.16666666666669</v>
      </c>
      <c r="F20" s="514"/>
      <c r="I20" s="6" t="s">
        <v>36</v>
      </c>
      <c r="J20" s="15">
        <v>59500</v>
      </c>
      <c r="K20" s="8" t="s">
        <v>37</v>
      </c>
    </row>
    <row r="21" spans="1:11" x14ac:dyDescent="0.35">
      <c r="A21" s="508" t="s">
        <v>18</v>
      </c>
      <c r="B21" s="508"/>
      <c r="C21" s="508"/>
      <c r="D21" s="8" t="s">
        <v>25</v>
      </c>
      <c r="E21" s="514">
        <f>10400/21*1</f>
        <v>495.23809523809524</v>
      </c>
      <c r="F21" s="514"/>
      <c r="I21" s="6" t="s">
        <v>38</v>
      </c>
      <c r="J21" s="17">
        <v>16000</v>
      </c>
      <c r="K21" s="8" t="s">
        <v>39</v>
      </c>
    </row>
    <row r="22" spans="1:11" x14ac:dyDescent="0.35">
      <c r="A22" s="508" t="s">
        <v>19</v>
      </c>
      <c r="B22" s="508"/>
      <c r="C22" s="508"/>
      <c r="D22" s="8" t="s">
        <v>24</v>
      </c>
      <c r="E22" s="511">
        <f>J19/60*2</f>
        <v>153</v>
      </c>
      <c r="F22" s="511"/>
      <c r="I22" s="6" t="s">
        <v>59</v>
      </c>
      <c r="J22" s="11">
        <v>1990</v>
      </c>
      <c r="K22" s="8" t="s">
        <v>60</v>
      </c>
    </row>
    <row r="23" spans="1:11" x14ac:dyDescent="0.35">
      <c r="A23" s="519" t="s">
        <v>61</v>
      </c>
      <c r="B23" s="520"/>
      <c r="C23" s="521"/>
      <c r="D23" s="8" t="s">
        <v>62</v>
      </c>
      <c r="E23" s="522">
        <f>60000*10/3000</f>
        <v>200</v>
      </c>
      <c r="F23" s="523"/>
      <c r="I23" s="6"/>
      <c r="J23" s="11"/>
      <c r="K23" s="8"/>
    </row>
    <row r="24" spans="1:11" x14ac:dyDescent="0.35">
      <c r="A24" s="508" t="s">
        <v>20</v>
      </c>
      <c r="B24" s="508"/>
      <c r="C24" s="508"/>
      <c r="D24" s="8" t="s">
        <v>40</v>
      </c>
      <c r="E24" s="511">
        <f>J21/1000*5</f>
        <v>80</v>
      </c>
      <c r="F24" s="511"/>
      <c r="I24" s="6" t="s">
        <v>45</v>
      </c>
      <c r="J24" s="513" t="s">
        <v>30</v>
      </c>
      <c r="K24" s="513"/>
    </row>
    <row r="25" spans="1:11" x14ac:dyDescent="0.35">
      <c r="A25" s="508" t="s">
        <v>21</v>
      </c>
      <c r="B25" s="508"/>
      <c r="C25" s="508"/>
      <c r="D25" s="8" t="s">
        <v>25</v>
      </c>
      <c r="E25" s="511">
        <f>J20/70*1</f>
        <v>850</v>
      </c>
      <c r="F25" s="511"/>
      <c r="I25" s="6" t="s">
        <v>41</v>
      </c>
      <c r="J25" s="11">
        <v>10000</v>
      </c>
      <c r="K25" s="8" t="s">
        <v>53</v>
      </c>
    </row>
    <row r="26" spans="1:11" x14ac:dyDescent="0.35">
      <c r="A26" s="512" t="s">
        <v>17</v>
      </c>
      <c r="B26" s="512"/>
      <c r="C26" s="512"/>
      <c r="D26" s="8"/>
      <c r="E26" s="508"/>
      <c r="F26" s="508"/>
      <c r="I26" s="6" t="s">
        <v>42</v>
      </c>
      <c r="J26" s="18">
        <v>22000</v>
      </c>
      <c r="K26" s="8" t="s">
        <v>49</v>
      </c>
    </row>
    <row r="27" spans="1:11" x14ac:dyDescent="0.35">
      <c r="A27" s="508" t="s">
        <v>41</v>
      </c>
      <c r="B27" s="508"/>
      <c r="C27" s="508"/>
      <c r="D27" s="8">
        <v>1</v>
      </c>
      <c r="E27" s="514">
        <f>J25/100*D27</f>
        <v>100</v>
      </c>
      <c r="F27" s="514"/>
      <c r="I27" s="6" t="s">
        <v>46</v>
      </c>
      <c r="J27" s="10">
        <f>2200</f>
        <v>2200</v>
      </c>
      <c r="K27" s="8" t="s">
        <v>50</v>
      </c>
    </row>
    <row r="28" spans="1:11" x14ac:dyDescent="0.35">
      <c r="A28" s="508" t="s">
        <v>42</v>
      </c>
      <c r="B28" s="508"/>
      <c r="C28" s="508"/>
      <c r="D28" s="8" t="s">
        <v>54</v>
      </c>
      <c r="E28" s="510">
        <f>J26/10000*3</f>
        <v>6.6000000000000005</v>
      </c>
      <c r="F28" s="508"/>
      <c r="I28" s="6" t="s">
        <v>47</v>
      </c>
      <c r="J28" s="15">
        <v>3500</v>
      </c>
      <c r="K28" s="8" t="s">
        <v>51</v>
      </c>
    </row>
    <row r="29" spans="1:11" x14ac:dyDescent="0.35">
      <c r="A29" s="508" t="s">
        <v>46</v>
      </c>
      <c r="B29" s="508"/>
      <c r="C29" s="508"/>
      <c r="D29" s="8">
        <v>1</v>
      </c>
      <c r="E29" s="509">
        <f>J27/90*1</f>
        <v>24.444444444444443</v>
      </c>
      <c r="F29" s="508"/>
      <c r="I29" s="6" t="s">
        <v>48</v>
      </c>
      <c r="J29" s="15">
        <f>15000</f>
        <v>15000</v>
      </c>
      <c r="K29" s="8"/>
    </row>
    <row r="30" spans="1:11" x14ac:dyDescent="0.35">
      <c r="A30" s="508" t="s">
        <v>47</v>
      </c>
      <c r="B30" s="508"/>
      <c r="C30" s="508"/>
      <c r="D30" s="8">
        <v>1</v>
      </c>
      <c r="E30" s="510">
        <f>J28/200*D30</f>
        <v>17.5</v>
      </c>
      <c r="F30" s="508"/>
      <c r="I30" s="6" t="s">
        <v>52</v>
      </c>
      <c r="J30" s="11">
        <v>4500</v>
      </c>
      <c r="K30" s="8" t="s">
        <v>55</v>
      </c>
    </row>
    <row r="31" spans="1:11" x14ac:dyDescent="0.35">
      <c r="A31" s="508" t="s">
        <v>52</v>
      </c>
      <c r="B31" s="508"/>
      <c r="C31" s="508"/>
      <c r="D31" s="8">
        <v>1</v>
      </c>
      <c r="E31" s="511">
        <f>J30/100*D31</f>
        <v>45</v>
      </c>
      <c r="F31" s="511"/>
    </row>
    <row r="32" spans="1:11" x14ac:dyDescent="0.35">
      <c r="A32" s="508" t="s">
        <v>48</v>
      </c>
      <c r="B32" s="508"/>
      <c r="C32" s="508"/>
      <c r="D32" s="8">
        <v>1</v>
      </c>
      <c r="E32" s="510">
        <f>J29/1000</f>
        <v>15</v>
      </c>
      <c r="F32" s="508"/>
    </row>
    <row r="33" spans="1:10" ht="15.5" x14ac:dyDescent="0.35">
      <c r="A33" s="489" t="s">
        <v>56</v>
      </c>
      <c r="B33" s="490"/>
      <c r="C33" s="491"/>
      <c r="D33" s="13"/>
      <c r="E33" s="517">
        <f>SUM(E17:F32)</f>
        <v>4899.2825396825401</v>
      </c>
      <c r="F33" s="518"/>
      <c r="I33" s="12"/>
      <c r="J33" s="12"/>
    </row>
    <row r="34" spans="1:10" ht="15" x14ac:dyDescent="0.35">
      <c r="A34" s="504" t="s">
        <v>57</v>
      </c>
      <c r="B34" s="504"/>
      <c r="C34" s="504"/>
      <c r="D34" s="505">
        <f>E33+D13</f>
        <v>6318.3342403628121</v>
      </c>
      <c r="E34" s="505"/>
      <c r="F34" s="505"/>
      <c r="H34" s="3"/>
      <c r="I34" s="3"/>
    </row>
    <row r="35" spans="1:10" ht="15" x14ac:dyDescent="0.35">
      <c r="A35" s="385" t="s">
        <v>63</v>
      </c>
      <c r="B35" s="385"/>
      <c r="C35" s="385"/>
      <c r="D35" s="506">
        <f>D34/(1-67%)</f>
        <v>19146.467395038828</v>
      </c>
      <c r="E35" s="507"/>
      <c r="F35" s="507"/>
      <c r="H35" s="3"/>
      <c r="I35" s="3"/>
    </row>
    <row r="36" spans="1:10" ht="15" x14ac:dyDescent="0.35">
      <c r="A36" s="515" t="s">
        <v>305</v>
      </c>
      <c r="B36" s="515"/>
      <c r="C36" s="515"/>
      <c r="D36" s="516">
        <v>19000</v>
      </c>
      <c r="E36" s="516"/>
      <c r="F36" s="516"/>
      <c r="H36" s="3"/>
      <c r="I36" s="3"/>
    </row>
    <row r="37" spans="1:10" ht="15.5" x14ac:dyDescent="0.35">
      <c r="A37" s="500" t="s">
        <v>528</v>
      </c>
      <c r="B37" s="500"/>
      <c r="C37" s="500"/>
      <c r="D37" s="501">
        <f>C42</f>
        <v>23000</v>
      </c>
      <c r="E37" s="500"/>
      <c r="F37" s="500"/>
      <c r="I37" s="3"/>
    </row>
    <row r="39" spans="1:10" ht="15" x14ac:dyDescent="0.35">
      <c r="A39" s="502" t="s">
        <v>307</v>
      </c>
      <c r="B39" s="502"/>
      <c r="C39" s="502"/>
      <c r="D39" s="50"/>
    </row>
    <row r="40" spans="1:10" ht="15.5" x14ac:dyDescent="0.35">
      <c r="A40" s="387" t="s">
        <v>308</v>
      </c>
      <c r="B40" s="387"/>
      <c r="C40" s="71">
        <f>D35*(1+0.17)</f>
        <v>22401.366852195428</v>
      </c>
      <c r="D40" s="397"/>
      <c r="E40" s="3"/>
    </row>
    <row r="41" spans="1:10" ht="15.5" x14ac:dyDescent="0.35">
      <c r="A41" s="387" t="s">
        <v>309</v>
      </c>
      <c r="B41" s="387"/>
      <c r="C41" s="71">
        <f>D35*(1+0.1)</f>
        <v>21061.114134542713</v>
      </c>
      <c r="D41" s="397"/>
    </row>
    <row r="42" spans="1:10" ht="15.5" x14ac:dyDescent="0.35">
      <c r="A42" s="358" t="s">
        <v>310</v>
      </c>
      <c r="B42" s="358"/>
      <c r="C42" s="72">
        <v>23000</v>
      </c>
    </row>
  </sheetData>
  <mergeCells count="78">
    <mergeCell ref="A1:F1"/>
    <mergeCell ref="A3:F3"/>
    <mergeCell ref="A4:C4"/>
    <mergeCell ref="D4:F4"/>
    <mergeCell ref="A5:C5"/>
    <mergeCell ref="D5:F5"/>
    <mergeCell ref="A2:C2"/>
    <mergeCell ref="D2:F2"/>
    <mergeCell ref="A6:C6"/>
    <mergeCell ref="D6:F6"/>
    <mergeCell ref="A7:C7"/>
    <mergeCell ref="D7:F7"/>
    <mergeCell ref="A8:C8"/>
    <mergeCell ref="D8:F8"/>
    <mergeCell ref="A9:C9"/>
    <mergeCell ref="D9:F9"/>
    <mergeCell ref="A10:C10"/>
    <mergeCell ref="D10:F10"/>
    <mergeCell ref="A12:C12"/>
    <mergeCell ref="D12:F12"/>
    <mergeCell ref="A11:C11"/>
    <mergeCell ref="D11:F11"/>
    <mergeCell ref="A14:F14"/>
    <mergeCell ref="A15:C15"/>
    <mergeCell ref="D15:F15"/>
    <mergeCell ref="J15:K15"/>
    <mergeCell ref="A16:C16"/>
    <mergeCell ref="E16:F16"/>
    <mergeCell ref="A23:C23"/>
    <mergeCell ref="E23:F23"/>
    <mergeCell ref="A24:C24"/>
    <mergeCell ref="E24:F24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J24:K24"/>
    <mergeCell ref="E27:F27"/>
    <mergeCell ref="A36:C36"/>
    <mergeCell ref="D36:F36"/>
    <mergeCell ref="A32:C32"/>
    <mergeCell ref="E32:F32"/>
    <mergeCell ref="A33:C33"/>
    <mergeCell ref="E33:F33"/>
    <mergeCell ref="A28:C28"/>
    <mergeCell ref="E28:F28"/>
    <mergeCell ref="A25:C25"/>
    <mergeCell ref="E25:F25"/>
    <mergeCell ref="A42:B42"/>
    <mergeCell ref="A13:C13"/>
    <mergeCell ref="D13:F13"/>
    <mergeCell ref="A34:C34"/>
    <mergeCell ref="D34:F34"/>
    <mergeCell ref="A35:C35"/>
    <mergeCell ref="D35:F35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A37:C37"/>
    <mergeCell ref="D37:F37"/>
    <mergeCell ref="A40:B40"/>
    <mergeCell ref="A41:B41"/>
    <mergeCell ref="A39:C39"/>
    <mergeCell ref="D40:D4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</sheetPr>
  <dimension ref="A1:K44"/>
  <sheetViews>
    <sheetView showGridLines="0" topLeftCell="A17" workbookViewId="0">
      <selection activeCell="D13" sqref="D13:F13"/>
    </sheetView>
  </sheetViews>
  <sheetFormatPr baseColWidth="10" defaultRowHeight="14.5" x14ac:dyDescent="0.35"/>
  <cols>
    <col min="1" max="1" width="19.54296875" customWidth="1"/>
    <col min="3" max="3" width="32.54296875" customWidth="1"/>
    <col min="4" max="4" width="14" bestFit="1" customWidth="1"/>
    <col min="6" max="6" width="8.26953125" customWidth="1"/>
    <col min="7" max="7" width="11.54296875" bestFit="1" customWidth="1"/>
    <col min="9" max="9" width="41.26953125" customWidth="1"/>
    <col min="10" max="10" width="13" customWidth="1"/>
    <col min="11" max="11" width="25.7265625" customWidth="1"/>
  </cols>
  <sheetData>
    <row r="1" spans="1:11" ht="15" x14ac:dyDescent="0.35">
      <c r="A1" s="385" t="s">
        <v>112</v>
      </c>
      <c r="B1" s="385"/>
      <c r="C1" s="385"/>
      <c r="D1" s="385"/>
      <c r="E1" s="385"/>
      <c r="F1" s="385"/>
    </row>
    <row r="2" spans="1:11" ht="15" x14ac:dyDescent="0.35">
      <c r="A2" s="533" t="s">
        <v>311</v>
      </c>
      <c r="B2" s="533"/>
      <c r="C2" s="533"/>
      <c r="D2" s="537">
        <v>11760</v>
      </c>
      <c r="E2" s="537"/>
      <c r="F2" s="537"/>
    </row>
    <row r="3" spans="1:11" ht="15.5" x14ac:dyDescent="0.35">
      <c r="A3" s="373" t="s">
        <v>8</v>
      </c>
      <c r="B3" s="373"/>
      <c r="C3" s="373"/>
      <c r="D3" s="373"/>
      <c r="E3" s="373"/>
      <c r="F3" s="373"/>
    </row>
    <row r="4" spans="1:11" ht="15.5" x14ac:dyDescent="0.35">
      <c r="A4" s="387" t="s">
        <v>9</v>
      </c>
      <c r="B4" s="387"/>
      <c r="C4" s="387"/>
      <c r="D4" s="387" t="s">
        <v>16</v>
      </c>
      <c r="E4" s="387"/>
      <c r="F4" s="387"/>
    </row>
    <row r="5" spans="1:11" ht="15.5" x14ac:dyDescent="0.35">
      <c r="A5" s="376" t="s">
        <v>10</v>
      </c>
      <c r="B5" s="376"/>
      <c r="C5" s="376"/>
      <c r="D5" s="389">
        <v>1300000</v>
      </c>
      <c r="E5" s="389"/>
      <c r="F5" s="389"/>
    </row>
    <row r="6" spans="1:11" ht="15.5" x14ac:dyDescent="0.35">
      <c r="A6" s="376" t="s">
        <v>7</v>
      </c>
      <c r="B6" s="376"/>
      <c r="C6" s="376"/>
      <c r="D6" s="389">
        <v>250000</v>
      </c>
      <c r="E6" s="389"/>
      <c r="F6" s="389"/>
    </row>
    <row r="7" spans="1:11" ht="15.5" x14ac:dyDescent="0.35">
      <c r="A7" s="376" t="s">
        <v>12</v>
      </c>
      <c r="B7" s="376"/>
      <c r="C7" s="376"/>
      <c r="D7" s="389">
        <v>450000</v>
      </c>
      <c r="E7" s="389"/>
      <c r="F7" s="389"/>
    </row>
    <row r="8" spans="1:11" ht="15.5" x14ac:dyDescent="0.35">
      <c r="A8" s="376" t="s">
        <v>13</v>
      </c>
      <c r="B8" s="376"/>
      <c r="C8" s="376"/>
      <c r="D8" s="389">
        <v>13538048</v>
      </c>
      <c r="E8" s="389"/>
      <c r="F8" s="389"/>
    </row>
    <row r="9" spans="1:11" ht="15.5" x14ac:dyDescent="0.35">
      <c r="A9" s="376" t="s">
        <v>14</v>
      </c>
      <c r="B9" s="376"/>
      <c r="C9" s="376"/>
      <c r="D9" s="389">
        <v>300000</v>
      </c>
      <c r="E9" s="389"/>
      <c r="F9" s="389"/>
    </row>
    <row r="10" spans="1:11" ht="15.5" x14ac:dyDescent="0.35">
      <c r="A10" s="376" t="s">
        <v>356</v>
      </c>
      <c r="B10" s="376"/>
      <c r="C10" s="376"/>
      <c r="D10" s="389">
        <v>200000</v>
      </c>
      <c r="E10" s="389"/>
      <c r="F10" s="389"/>
    </row>
    <row r="11" spans="1:11" ht="15.5" x14ac:dyDescent="0.35">
      <c r="A11" s="527" t="s">
        <v>357</v>
      </c>
      <c r="B11" s="528"/>
      <c r="C11" s="529"/>
      <c r="D11" s="530">
        <v>650000</v>
      </c>
      <c r="E11" s="531"/>
      <c r="F11" s="532"/>
    </row>
    <row r="12" spans="1:11" ht="15.5" x14ac:dyDescent="0.35">
      <c r="A12" s="387" t="s">
        <v>44</v>
      </c>
      <c r="B12" s="387"/>
      <c r="C12" s="387"/>
      <c r="D12" s="526">
        <f>SUM(D5:F11)</f>
        <v>16688048</v>
      </c>
      <c r="E12" s="526"/>
      <c r="F12" s="526"/>
    </row>
    <row r="13" spans="1:11" ht="15.5" x14ac:dyDescent="0.35">
      <c r="A13" s="490" t="s">
        <v>304</v>
      </c>
      <c r="B13" s="490"/>
      <c r="C13" s="490"/>
      <c r="D13" s="503">
        <f>D12/D2</f>
        <v>1419.051700680272</v>
      </c>
      <c r="E13" s="503"/>
      <c r="F13" s="503"/>
    </row>
    <row r="14" spans="1:11" ht="15" x14ac:dyDescent="0.35">
      <c r="A14" s="388" t="s">
        <v>15</v>
      </c>
      <c r="B14" s="388"/>
      <c r="C14" s="388"/>
      <c r="D14" s="388"/>
      <c r="E14" s="388"/>
      <c r="F14" s="388"/>
    </row>
    <row r="15" spans="1:11" ht="15.5" x14ac:dyDescent="0.35">
      <c r="A15" s="359" t="s">
        <v>9</v>
      </c>
      <c r="B15" s="359"/>
      <c r="C15" s="359"/>
      <c r="D15" s="524"/>
      <c r="E15" s="524"/>
      <c r="F15" s="524"/>
      <c r="I15" s="19" t="s">
        <v>43</v>
      </c>
      <c r="J15" s="358" t="s">
        <v>30</v>
      </c>
      <c r="K15" s="358"/>
    </row>
    <row r="16" spans="1:11" x14ac:dyDescent="0.35">
      <c r="A16" s="512" t="s">
        <v>43</v>
      </c>
      <c r="B16" s="512"/>
      <c r="C16" s="512"/>
      <c r="D16" s="7" t="s">
        <v>22</v>
      </c>
      <c r="E16" s="525" t="s">
        <v>3</v>
      </c>
      <c r="F16" s="525"/>
      <c r="I16" s="6" t="s">
        <v>27</v>
      </c>
      <c r="J16" s="15">
        <v>4454</v>
      </c>
      <c r="K16" s="46" t="s">
        <v>29</v>
      </c>
    </row>
    <row r="17" spans="1:11" x14ac:dyDescent="0.35">
      <c r="A17" s="508" t="s">
        <v>0</v>
      </c>
      <c r="B17" s="508"/>
      <c r="C17" s="508"/>
      <c r="D17" s="9">
        <v>1</v>
      </c>
      <c r="E17" s="511">
        <v>900</v>
      </c>
      <c r="F17" s="511"/>
      <c r="I17" s="6" t="s">
        <v>28</v>
      </c>
      <c r="J17" s="16">
        <f>3380</f>
        <v>3380</v>
      </c>
      <c r="K17" s="46" t="s">
        <v>31</v>
      </c>
    </row>
    <row r="18" spans="1:11" x14ac:dyDescent="0.35">
      <c r="A18" s="508" t="s">
        <v>101</v>
      </c>
      <c r="B18" s="508"/>
      <c r="C18" s="508"/>
      <c r="D18" s="10" t="s">
        <v>23</v>
      </c>
      <c r="E18" s="511">
        <f>9500/500*120</f>
        <v>2280</v>
      </c>
      <c r="F18" s="511"/>
      <c r="I18" s="6" t="s">
        <v>32</v>
      </c>
      <c r="J18" s="15">
        <v>10400</v>
      </c>
      <c r="K18" s="46" t="s">
        <v>33</v>
      </c>
    </row>
    <row r="19" spans="1:11" x14ac:dyDescent="0.35">
      <c r="A19" s="508" t="s">
        <v>2</v>
      </c>
      <c r="B19" s="508"/>
      <c r="C19" s="508"/>
      <c r="D19" s="8" t="s">
        <v>26</v>
      </c>
      <c r="E19" s="511">
        <f>3380/15*1</f>
        <v>225.33333333333334</v>
      </c>
      <c r="F19" s="511"/>
      <c r="I19" s="6" t="s">
        <v>34</v>
      </c>
      <c r="J19" s="15">
        <v>4590</v>
      </c>
      <c r="K19" s="46" t="s">
        <v>35</v>
      </c>
    </row>
    <row r="20" spans="1:11" x14ac:dyDescent="0.35">
      <c r="A20" s="508" t="s">
        <v>6</v>
      </c>
      <c r="B20" s="508"/>
      <c r="C20" s="508"/>
      <c r="D20" s="8" t="s">
        <v>24</v>
      </c>
      <c r="E20" s="511">
        <f>((4454/4)/6)*2</f>
        <v>371.16666666666669</v>
      </c>
      <c r="F20" s="511"/>
      <c r="I20" s="6" t="s">
        <v>113</v>
      </c>
      <c r="J20" s="15">
        <v>3280</v>
      </c>
      <c r="K20" s="46" t="s">
        <v>114</v>
      </c>
    </row>
    <row r="21" spans="1:11" x14ac:dyDescent="0.35">
      <c r="A21" s="508" t="s">
        <v>18</v>
      </c>
      <c r="B21" s="508"/>
      <c r="C21" s="508"/>
      <c r="D21" s="8" t="s">
        <v>25</v>
      </c>
      <c r="E21" s="511">
        <f>10400/21*1</f>
        <v>495.23809523809524</v>
      </c>
      <c r="F21" s="511"/>
      <c r="I21" s="6" t="s">
        <v>109</v>
      </c>
      <c r="J21" s="15">
        <v>16000</v>
      </c>
      <c r="K21" s="46" t="s">
        <v>103</v>
      </c>
    </row>
    <row r="22" spans="1:11" x14ac:dyDescent="0.35">
      <c r="A22" s="508" t="s">
        <v>19</v>
      </c>
      <c r="B22" s="508"/>
      <c r="C22" s="508"/>
      <c r="D22" s="8" t="s">
        <v>24</v>
      </c>
      <c r="E22" s="511">
        <f>J19/60*2</f>
        <v>153</v>
      </c>
      <c r="F22" s="511"/>
      <c r="I22" s="6" t="s">
        <v>59</v>
      </c>
      <c r="J22" s="15">
        <v>1990</v>
      </c>
      <c r="K22" s="46" t="s">
        <v>60</v>
      </c>
    </row>
    <row r="23" spans="1:11" x14ac:dyDescent="0.35">
      <c r="A23" s="519" t="s">
        <v>102</v>
      </c>
      <c r="B23" s="520"/>
      <c r="C23" s="521"/>
      <c r="D23" s="8" t="s">
        <v>110</v>
      </c>
      <c r="E23" s="522">
        <f>(30*SUM(J23:J24))/1000</f>
        <v>585</v>
      </c>
      <c r="F23" s="523"/>
      <c r="I23" s="6" t="s">
        <v>104</v>
      </c>
      <c r="J23" s="15">
        <v>14000</v>
      </c>
      <c r="K23" s="46" t="s">
        <v>106</v>
      </c>
    </row>
    <row r="24" spans="1:11" x14ac:dyDescent="0.35">
      <c r="A24" s="519" t="s">
        <v>5</v>
      </c>
      <c r="B24" s="520"/>
      <c r="C24" s="521"/>
      <c r="D24" s="8" t="s">
        <v>111</v>
      </c>
      <c r="E24" s="522">
        <f>60*J25/1000</f>
        <v>1229.7</v>
      </c>
      <c r="F24" s="523"/>
      <c r="I24" s="6" t="s">
        <v>105</v>
      </c>
      <c r="J24" s="15">
        <v>5500</v>
      </c>
      <c r="K24" s="46" t="s">
        <v>107</v>
      </c>
    </row>
    <row r="25" spans="1:11" x14ac:dyDescent="0.35">
      <c r="A25" s="519" t="s">
        <v>61</v>
      </c>
      <c r="B25" s="520"/>
      <c r="C25" s="521"/>
      <c r="D25" s="8" t="s">
        <v>62</v>
      </c>
      <c r="E25" s="522">
        <f>60000*10/3000</f>
        <v>200</v>
      </c>
      <c r="F25" s="523"/>
      <c r="I25" s="6" t="s">
        <v>108</v>
      </c>
      <c r="J25" s="15">
        <v>20495</v>
      </c>
      <c r="K25" s="46" t="s">
        <v>106</v>
      </c>
    </row>
    <row r="26" spans="1:11" x14ac:dyDescent="0.35">
      <c r="A26" s="508" t="s">
        <v>20</v>
      </c>
      <c r="B26" s="508"/>
      <c r="C26" s="508"/>
      <c r="D26" s="8" t="s">
        <v>40</v>
      </c>
      <c r="E26" s="511">
        <f>J21/1000*5</f>
        <v>80</v>
      </c>
      <c r="F26" s="511"/>
      <c r="I26" s="45" t="s">
        <v>45</v>
      </c>
      <c r="J26" s="538" t="s">
        <v>30</v>
      </c>
      <c r="K26" s="538"/>
    </row>
    <row r="27" spans="1:11" x14ac:dyDescent="0.35">
      <c r="A27" s="508" t="s">
        <v>4</v>
      </c>
      <c r="B27" s="508"/>
      <c r="C27" s="508"/>
      <c r="D27" s="8" t="s">
        <v>115</v>
      </c>
      <c r="E27" s="511">
        <f>J20/20*1</f>
        <v>164</v>
      </c>
      <c r="F27" s="511"/>
      <c r="I27" s="6" t="s">
        <v>41</v>
      </c>
      <c r="J27" s="11">
        <v>10000</v>
      </c>
      <c r="K27" s="46" t="s">
        <v>53</v>
      </c>
    </row>
    <row r="28" spans="1:11" x14ac:dyDescent="0.35">
      <c r="A28" s="512" t="s">
        <v>17</v>
      </c>
      <c r="B28" s="512"/>
      <c r="C28" s="512"/>
      <c r="D28" s="8"/>
      <c r="E28" s="511"/>
      <c r="F28" s="511"/>
      <c r="I28" s="6" t="s">
        <v>42</v>
      </c>
      <c r="J28" s="18">
        <v>22000</v>
      </c>
      <c r="K28" s="46" t="s">
        <v>49</v>
      </c>
    </row>
    <row r="29" spans="1:11" x14ac:dyDescent="0.35">
      <c r="A29" s="508" t="s">
        <v>41</v>
      </c>
      <c r="B29" s="508"/>
      <c r="C29" s="508"/>
      <c r="D29" s="8">
        <v>1</v>
      </c>
      <c r="E29" s="511">
        <f>J27/100*D29</f>
        <v>100</v>
      </c>
      <c r="F29" s="511"/>
      <c r="I29" s="6" t="s">
        <v>46</v>
      </c>
      <c r="J29" s="18">
        <f>2200</f>
        <v>2200</v>
      </c>
      <c r="K29" s="46" t="s">
        <v>50</v>
      </c>
    </row>
    <row r="30" spans="1:11" x14ac:dyDescent="0.35">
      <c r="A30" s="508" t="s">
        <v>42</v>
      </c>
      <c r="B30" s="508"/>
      <c r="C30" s="508"/>
      <c r="D30" s="8" t="s">
        <v>54</v>
      </c>
      <c r="E30" s="511">
        <f>J28/10000*3</f>
        <v>6.6000000000000005</v>
      </c>
      <c r="F30" s="511"/>
      <c r="I30" s="6" t="s">
        <v>47</v>
      </c>
      <c r="J30" s="15">
        <v>3500</v>
      </c>
      <c r="K30" s="46" t="s">
        <v>51</v>
      </c>
    </row>
    <row r="31" spans="1:11" x14ac:dyDescent="0.35">
      <c r="A31" s="508" t="s">
        <v>46</v>
      </c>
      <c r="B31" s="508"/>
      <c r="C31" s="508"/>
      <c r="D31" s="8">
        <v>1</v>
      </c>
      <c r="E31" s="511">
        <f>J29/90*1</f>
        <v>24.444444444444443</v>
      </c>
      <c r="F31" s="511"/>
      <c r="I31" s="6" t="s">
        <v>48</v>
      </c>
      <c r="J31" s="15">
        <f>15000</f>
        <v>15000</v>
      </c>
      <c r="K31" s="46"/>
    </row>
    <row r="32" spans="1:11" x14ac:dyDescent="0.35">
      <c r="A32" s="508" t="s">
        <v>47</v>
      </c>
      <c r="B32" s="508"/>
      <c r="C32" s="508"/>
      <c r="D32" s="8">
        <v>1</v>
      </c>
      <c r="E32" s="511">
        <f>J30/200*D32</f>
        <v>17.5</v>
      </c>
      <c r="F32" s="511"/>
      <c r="I32" s="6" t="s">
        <v>52</v>
      </c>
      <c r="J32" s="15">
        <v>4500</v>
      </c>
      <c r="K32" s="46" t="s">
        <v>55</v>
      </c>
    </row>
    <row r="33" spans="1:10" x14ac:dyDescent="0.35">
      <c r="A33" s="508" t="s">
        <v>52</v>
      </c>
      <c r="B33" s="508"/>
      <c r="C33" s="508"/>
      <c r="D33" s="8">
        <v>1</v>
      </c>
      <c r="E33" s="511">
        <f>J32/100*D33</f>
        <v>45</v>
      </c>
      <c r="F33" s="511"/>
    </row>
    <row r="34" spans="1:10" x14ac:dyDescent="0.35">
      <c r="A34" s="508" t="s">
        <v>48</v>
      </c>
      <c r="B34" s="508"/>
      <c r="C34" s="508"/>
      <c r="D34" s="8">
        <v>1</v>
      </c>
      <c r="E34" s="511">
        <f>J31/1000</f>
        <v>15</v>
      </c>
      <c r="F34" s="511"/>
    </row>
    <row r="35" spans="1:10" ht="15.5" x14ac:dyDescent="0.35">
      <c r="A35" s="541" t="s">
        <v>56</v>
      </c>
      <c r="B35" s="542"/>
      <c r="C35" s="543"/>
      <c r="D35" s="73"/>
      <c r="E35" s="544">
        <f>SUM(E17:F34)</f>
        <v>6891.9825396825399</v>
      </c>
      <c r="F35" s="544"/>
      <c r="I35" s="47" t="s">
        <v>58</v>
      </c>
      <c r="J35" s="47">
        <v>11760</v>
      </c>
    </row>
    <row r="36" spans="1:10" ht="15" x14ac:dyDescent="0.35">
      <c r="A36" s="545" t="s">
        <v>57</v>
      </c>
      <c r="B36" s="545"/>
      <c r="C36" s="545"/>
      <c r="D36" s="74"/>
      <c r="E36" s="546">
        <f>D13+E35</f>
        <v>8311.0342403628129</v>
      </c>
      <c r="F36" s="547"/>
    </row>
    <row r="37" spans="1:10" ht="15" x14ac:dyDescent="0.35">
      <c r="A37" s="385" t="s">
        <v>63</v>
      </c>
      <c r="B37" s="385"/>
      <c r="C37" s="385"/>
      <c r="D37" s="539">
        <f>E36/(1-67%)</f>
        <v>25184.952243523679</v>
      </c>
      <c r="E37" s="539"/>
      <c r="F37" s="539"/>
      <c r="I37" s="3"/>
    </row>
    <row r="38" spans="1:10" ht="15" x14ac:dyDescent="0.35">
      <c r="A38" s="515" t="s">
        <v>312</v>
      </c>
      <c r="B38" s="515"/>
      <c r="C38" s="515"/>
      <c r="D38" s="540">
        <v>25000</v>
      </c>
      <c r="E38" s="540"/>
      <c r="F38" s="540"/>
      <c r="H38" s="3"/>
      <c r="I38" s="3"/>
    </row>
    <row r="39" spans="1:10" ht="15.5" x14ac:dyDescent="0.35">
      <c r="A39" s="500" t="s">
        <v>526</v>
      </c>
      <c r="B39" s="500"/>
      <c r="C39" s="500"/>
      <c r="D39" s="536">
        <v>30000</v>
      </c>
      <c r="E39" s="536"/>
      <c r="F39" s="536"/>
      <c r="H39" s="3"/>
      <c r="I39" s="3"/>
    </row>
    <row r="40" spans="1:10" x14ac:dyDescent="0.35">
      <c r="I40" s="3"/>
    </row>
    <row r="41" spans="1:10" ht="15.5" x14ac:dyDescent="0.35">
      <c r="A41" s="485" t="s">
        <v>307</v>
      </c>
      <c r="B41" s="485"/>
      <c r="C41" s="485"/>
      <c r="G41" s="3"/>
    </row>
    <row r="42" spans="1:10" ht="15.5" x14ac:dyDescent="0.35">
      <c r="A42" s="14" t="s">
        <v>308</v>
      </c>
      <c r="B42" s="534">
        <f>D38*(1+0.17)</f>
        <v>29250</v>
      </c>
      <c r="C42" s="376"/>
    </row>
    <row r="43" spans="1:10" ht="15.5" x14ac:dyDescent="0.35">
      <c r="A43" s="14" t="s">
        <v>309</v>
      </c>
      <c r="B43" s="534">
        <f>D38*(1+0.1)</f>
        <v>27500.000000000004</v>
      </c>
      <c r="C43" s="376"/>
    </row>
    <row r="44" spans="1:10" ht="15.5" x14ac:dyDescent="0.35">
      <c r="A44" s="19" t="s">
        <v>310</v>
      </c>
      <c r="B44" s="535">
        <f>30000</f>
        <v>30000</v>
      </c>
      <c r="C44" s="535"/>
    </row>
  </sheetData>
  <mergeCells count="81">
    <mergeCell ref="A38:C38"/>
    <mergeCell ref="D38:F38"/>
    <mergeCell ref="A34:C34"/>
    <mergeCell ref="E34:F34"/>
    <mergeCell ref="A35:C35"/>
    <mergeCell ref="E35:F35"/>
    <mergeCell ref="A36:C36"/>
    <mergeCell ref="E36:F36"/>
    <mergeCell ref="E28:F28"/>
    <mergeCell ref="A29:C29"/>
    <mergeCell ref="E29:F29"/>
    <mergeCell ref="A37:C37"/>
    <mergeCell ref="D37:F37"/>
    <mergeCell ref="A31:C31"/>
    <mergeCell ref="E31:F31"/>
    <mergeCell ref="A32:C32"/>
    <mergeCell ref="E32:F32"/>
    <mergeCell ref="A33:C33"/>
    <mergeCell ref="E33:F33"/>
    <mergeCell ref="J15:K15"/>
    <mergeCell ref="J26:K26"/>
    <mergeCell ref="A27:C27"/>
    <mergeCell ref="E27:F27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1:F1"/>
    <mergeCell ref="A3:F3"/>
    <mergeCell ref="A4:C4"/>
    <mergeCell ref="D4:F4"/>
    <mergeCell ref="A5:C5"/>
    <mergeCell ref="D5:F5"/>
    <mergeCell ref="A2:C2"/>
    <mergeCell ref="D2:F2"/>
    <mergeCell ref="A6:C6"/>
    <mergeCell ref="D6:F6"/>
    <mergeCell ref="A7:C7"/>
    <mergeCell ref="D7:F7"/>
    <mergeCell ref="A8:C8"/>
    <mergeCell ref="D8:F8"/>
    <mergeCell ref="A9:C9"/>
    <mergeCell ref="D9:F9"/>
    <mergeCell ref="A10:C10"/>
    <mergeCell ref="D10:F10"/>
    <mergeCell ref="A39:C39"/>
    <mergeCell ref="D39:F39"/>
    <mergeCell ref="A14:F14"/>
    <mergeCell ref="A15:C15"/>
    <mergeCell ref="D15:F15"/>
    <mergeCell ref="A12:C12"/>
    <mergeCell ref="D12:F12"/>
    <mergeCell ref="A11:C11"/>
    <mergeCell ref="D11:F11"/>
    <mergeCell ref="A26:C26"/>
    <mergeCell ref="E26:F26"/>
    <mergeCell ref="A28:C28"/>
    <mergeCell ref="B43:C43"/>
    <mergeCell ref="B44:C44"/>
    <mergeCell ref="A13:C13"/>
    <mergeCell ref="D13:F13"/>
    <mergeCell ref="A17:C17"/>
    <mergeCell ref="E17:F17"/>
    <mergeCell ref="A18:C18"/>
    <mergeCell ref="E18:F18"/>
    <mergeCell ref="A16:C16"/>
    <mergeCell ref="E16:F16"/>
    <mergeCell ref="A19:C19"/>
    <mergeCell ref="E19:F19"/>
    <mergeCell ref="A30:C30"/>
    <mergeCell ref="E30:F30"/>
    <mergeCell ref="A41:C41"/>
    <mergeCell ref="B42:C4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</sheetPr>
  <dimension ref="A1:J50"/>
  <sheetViews>
    <sheetView showGridLines="0" topLeftCell="A8" zoomScaleNormal="100" workbookViewId="0">
      <selection activeCell="H2" sqref="H2:I8"/>
    </sheetView>
  </sheetViews>
  <sheetFormatPr baseColWidth="10" defaultRowHeight="14.5" x14ac:dyDescent="0.35"/>
  <cols>
    <col min="3" max="3" width="34.453125" customWidth="1"/>
    <col min="4" max="4" width="14" bestFit="1" customWidth="1"/>
    <col min="5" max="5" width="20.54296875" customWidth="1"/>
    <col min="8" max="8" width="45.1796875" bestFit="1" customWidth="1"/>
    <col min="9" max="9" width="15.26953125" bestFit="1" customWidth="1"/>
    <col min="10" max="10" width="25.7265625" customWidth="1"/>
  </cols>
  <sheetData>
    <row r="1" spans="1:10" ht="15" x14ac:dyDescent="0.35">
      <c r="A1" s="385" t="s">
        <v>339</v>
      </c>
      <c r="B1" s="385"/>
      <c r="C1" s="385"/>
      <c r="D1" s="385"/>
      <c r="E1" s="385"/>
    </row>
    <row r="2" spans="1:10" ht="15" x14ac:dyDescent="0.35">
      <c r="A2" s="533" t="s">
        <v>306</v>
      </c>
      <c r="B2" s="533"/>
      <c r="C2" s="533"/>
      <c r="D2" s="533">
        <v>11760</v>
      </c>
      <c r="E2" s="533"/>
      <c r="H2" s="311" t="s">
        <v>539</v>
      </c>
      <c r="I2" s="311" t="s">
        <v>493</v>
      </c>
    </row>
    <row r="3" spans="1:10" ht="15.5" x14ac:dyDescent="0.35">
      <c r="A3" s="388" t="s">
        <v>8</v>
      </c>
      <c r="B3" s="388"/>
      <c r="C3" s="388"/>
      <c r="D3" s="388"/>
      <c r="E3" s="388"/>
      <c r="H3" s="44" t="str">
        <f>A5</f>
        <v>Alquiler del local</v>
      </c>
      <c r="I3" s="157">
        <f>D5</f>
        <v>1300000</v>
      </c>
    </row>
    <row r="4" spans="1:10" ht="15.5" x14ac:dyDescent="0.35">
      <c r="A4" s="387" t="s">
        <v>9</v>
      </c>
      <c r="B4" s="387"/>
      <c r="C4" s="387"/>
      <c r="D4" s="387" t="s">
        <v>16</v>
      </c>
      <c r="E4" s="387"/>
      <c r="H4" s="157" t="str">
        <f>A8</f>
        <v>Pago de nómina</v>
      </c>
      <c r="I4" s="157">
        <f>D8</f>
        <v>13538048</v>
      </c>
    </row>
    <row r="5" spans="1:10" ht="15.5" x14ac:dyDescent="0.35">
      <c r="A5" s="376" t="s">
        <v>10</v>
      </c>
      <c r="B5" s="376"/>
      <c r="C5" s="376"/>
      <c r="D5" s="389">
        <v>1300000</v>
      </c>
      <c r="E5" s="389"/>
      <c r="H5" s="44" t="str">
        <f>A9</f>
        <v>Servicio de gas</v>
      </c>
      <c r="I5" s="157">
        <f>D9</f>
        <v>300000</v>
      </c>
    </row>
    <row r="6" spans="1:10" ht="15.5" x14ac:dyDescent="0.35">
      <c r="A6" s="376" t="s">
        <v>7</v>
      </c>
      <c r="B6" s="376"/>
      <c r="C6" s="376"/>
      <c r="D6" s="389">
        <v>250000</v>
      </c>
      <c r="E6" s="389"/>
      <c r="H6" s="44" t="s">
        <v>7</v>
      </c>
      <c r="I6" s="157">
        <f>D6</f>
        <v>250000</v>
      </c>
    </row>
    <row r="7" spans="1:10" ht="15.5" x14ac:dyDescent="0.35">
      <c r="A7" s="376" t="s">
        <v>12</v>
      </c>
      <c r="B7" s="376"/>
      <c r="C7" s="376"/>
      <c r="D7" s="389">
        <v>450000</v>
      </c>
      <c r="E7" s="389"/>
      <c r="H7" s="157" t="s">
        <v>12</v>
      </c>
      <c r="I7" s="157">
        <f>D7</f>
        <v>450000</v>
      </c>
    </row>
    <row r="8" spans="1:10" ht="15.5" x14ac:dyDescent="0.35">
      <c r="A8" s="376" t="s">
        <v>13</v>
      </c>
      <c r="B8" s="376"/>
      <c r="C8" s="376"/>
      <c r="D8" s="389">
        <v>13538048</v>
      </c>
      <c r="E8" s="389"/>
      <c r="H8" s="69" t="s">
        <v>540</v>
      </c>
      <c r="I8" s="310">
        <f>SUM(I3:I7)</f>
        <v>15838048</v>
      </c>
    </row>
    <row r="9" spans="1:10" ht="15.5" x14ac:dyDescent="0.35">
      <c r="A9" s="376" t="s">
        <v>14</v>
      </c>
      <c r="B9" s="376"/>
      <c r="C9" s="376"/>
      <c r="D9" s="389">
        <v>300000</v>
      </c>
      <c r="E9" s="389"/>
      <c r="H9" s="92"/>
      <c r="I9" s="307"/>
    </row>
    <row r="10" spans="1:10" ht="15.5" x14ac:dyDescent="0.35">
      <c r="A10" s="376" t="s">
        <v>358</v>
      </c>
      <c r="B10" s="376"/>
      <c r="C10" s="376"/>
      <c r="D10" s="389">
        <v>200000</v>
      </c>
      <c r="E10" s="389"/>
      <c r="H10" s="306"/>
      <c r="I10" s="307"/>
    </row>
    <row r="11" spans="1:10" ht="15.5" x14ac:dyDescent="0.35">
      <c r="A11" s="527" t="s">
        <v>357</v>
      </c>
      <c r="B11" s="528"/>
      <c r="C11" s="529"/>
      <c r="D11" s="389">
        <v>650000</v>
      </c>
      <c r="E11" s="389"/>
      <c r="H11" s="308"/>
      <c r="I11" s="309"/>
    </row>
    <row r="12" spans="1:10" ht="15.5" x14ac:dyDescent="0.35">
      <c r="A12" s="387" t="s">
        <v>44</v>
      </c>
      <c r="B12" s="387"/>
      <c r="C12" s="489"/>
      <c r="D12" s="155">
        <f>SUM(D5:E11)</f>
        <v>16688048</v>
      </c>
      <c r="E12" s="156"/>
    </row>
    <row r="13" spans="1:10" ht="15.5" x14ac:dyDescent="0.35">
      <c r="A13" s="490" t="s">
        <v>304</v>
      </c>
      <c r="B13" s="490"/>
      <c r="C13" s="490"/>
      <c r="D13" s="560">
        <f>D12/D2</f>
        <v>1419.051700680272</v>
      </c>
      <c r="E13" s="560"/>
    </row>
    <row r="14" spans="1:10" ht="15" x14ac:dyDescent="0.35">
      <c r="A14" s="388" t="s">
        <v>15</v>
      </c>
      <c r="B14" s="388"/>
      <c r="C14" s="388"/>
      <c r="D14" s="388"/>
      <c r="E14" s="388"/>
    </row>
    <row r="15" spans="1:10" ht="15.5" x14ac:dyDescent="0.35">
      <c r="A15" s="387" t="s">
        <v>9</v>
      </c>
      <c r="B15" s="387"/>
      <c r="C15" s="387"/>
      <c r="D15" s="524"/>
      <c r="E15" s="524"/>
      <c r="H15" s="19" t="s">
        <v>43</v>
      </c>
      <c r="I15" s="358" t="s">
        <v>30</v>
      </c>
      <c r="J15" s="358"/>
    </row>
    <row r="16" spans="1:10" x14ac:dyDescent="0.35">
      <c r="A16" s="512" t="s">
        <v>43</v>
      </c>
      <c r="B16" s="512"/>
      <c r="C16" s="512"/>
      <c r="D16" s="7" t="s">
        <v>22</v>
      </c>
      <c r="E16" s="7" t="s">
        <v>3</v>
      </c>
      <c r="H16" s="6" t="s">
        <v>27</v>
      </c>
      <c r="I16" s="15">
        <v>4454</v>
      </c>
      <c r="J16" s="8" t="s">
        <v>29</v>
      </c>
    </row>
    <row r="17" spans="1:10" x14ac:dyDescent="0.35">
      <c r="A17" s="508" t="s">
        <v>0</v>
      </c>
      <c r="B17" s="508"/>
      <c r="C17" s="508"/>
      <c r="D17" s="70">
        <v>1</v>
      </c>
      <c r="E17" s="18">
        <v>900</v>
      </c>
      <c r="H17" s="6" t="s">
        <v>28</v>
      </c>
      <c r="I17" s="16">
        <f>3380</f>
        <v>3380</v>
      </c>
      <c r="J17" s="8" t="s">
        <v>31</v>
      </c>
    </row>
    <row r="18" spans="1:10" x14ac:dyDescent="0.35">
      <c r="A18" s="508" t="s">
        <v>1</v>
      </c>
      <c r="B18" s="508"/>
      <c r="C18" s="508"/>
      <c r="D18" s="10" t="s">
        <v>23</v>
      </c>
      <c r="E18" s="18">
        <f>5900/500*120</f>
        <v>1416</v>
      </c>
      <c r="H18" s="6" t="s">
        <v>32</v>
      </c>
      <c r="I18" s="15">
        <v>10400</v>
      </c>
      <c r="J18" s="8" t="s">
        <v>33</v>
      </c>
    </row>
    <row r="19" spans="1:10" x14ac:dyDescent="0.35">
      <c r="A19" s="508" t="s">
        <v>2</v>
      </c>
      <c r="B19" s="508"/>
      <c r="C19" s="508"/>
      <c r="D19" s="8" t="s">
        <v>26</v>
      </c>
      <c r="E19" s="10">
        <f>3380/15*1</f>
        <v>225.33333333333334</v>
      </c>
      <c r="H19" s="6" t="s">
        <v>34</v>
      </c>
      <c r="I19" s="15">
        <v>4590</v>
      </c>
      <c r="J19" s="8" t="s">
        <v>35</v>
      </c>
    </row>
    <row r="20" spans="1:10" x14ac:dyDescent="0.35">
      <c r="A20" s="508" t="s">
        <v>6</v>
      </c>
      <c r="B20" s="508"/>
      <c r="C20" s="508"/>
      <c r="D20" s="8" t="s">
        <v>24</v>
      </c>
      <c r="E20" s="10">
        <f>((4454/4)/6)*2</f>
        <v>371.16666666666669</v>
      </c>
      <c r="H20" s="6" t="s">
        <v>314</v>
      </c>
      <c r="I20" s="15">
        <v>4800</v>
      </c>
      <c r="J20" s="8" t="s">
        <v>35</v>
      </c>
    </row>
    <row r="21" spans="1:10" x14ac:dyDescent="0.35">
      <c r="A21" s="508" t="s">
        <v>18</v>
      </c>
      <c r="B21" s="508"/>
      <c r="C21" s="508"/>
      <c r="D21" s="8" t="s">
        <v>25</v>
      </c>
      <c r="E21" s="10">
        <f>10400/21*1</f>
        <v>495.23809523809524</v>
      </c>
      <c r="H21" s="6" t="s">
        <v>38</v>
      </c>
      <c r="I21" s="17">
        <v>16000</v>
      </c>
      <c r="J21" s="8" t="s">
        <v>39</v>
      </c>
    </row>
    <row r="22" spans="1:10" x14ac:dyDescent="0.35">
      <c r="A22" s="508" t="s">
        <v>19</v>
      </c>
      <c r="B22" s="508"/>
      <c r="C22" s="508"/>
      <c r="D22" s="8" t="s">
        <v>24</v>
      </c>
      <c r="E22" s="18">
        <f>I19/60*2</f>
        <v>153</v>
      </c>
      <c r="H22" s="6" t="s">
        <v>59</v>
      </c>
      <c r="I22" s="11">
        <v>1990</v>
      </c>
      <c r="J22" s="8" t="s">
        <v>60</v>
      </c>
    </row>
    <row r="23" spans="1:10" x14ac:dyDescent="0.35">
      <c r="A23" s="519" t="s">
        <v>61</v>
      </c>
      <c r="B23" s="520"/>
      <c r="C23" s="521"/>
      <c r="D23" s="8" t="s">
        <v>62</v>
      </c>
      <c r="E23" s="81">
        <f>60000*10/3000</f>
        <v>200</v>
      </c>
      <c r="H23" s="6" t="s">
        <v>315</v>
      </c>
      <c r="I23" s="11"/>
      <c r="J23" s="8"/>
    </row>
    <row r="24" spans="1:10" x14ac:dyDescent="0.35">
      <c r="A24" s="519" t="s">
        <v>316</v>
      </c>
      <c r="B24" s="520"/>
      <c r="C24" s="521"/>
      <c r="D24" s="8" t="s">
        <v>317</v>
      </c>
      <c r="E24" s="81">
        <f>I50</f>
        <v>1103.8377599999999</v>
      </c>
      <c r="H24" s="6"/>
      <c r="I24" s="11"/>
      <c r="J24" s="8"/>
    </row>
    <row r="25" spans="1:10" x14ac:dyDescent="0.35">
      <c r="A25" s="508" t="s">
        <v>20</v>
      </c>
      <c r="B25" s="508"/>
      <c r="C25" s="508"/>
      <c r="D25" s="8" t="s">
        <v>40</v>
      </c>
      <c r="E25" s="18">
        <f>I21/1000*5</f>
        <v>80</v>
      </c>
      <c r="H25" s="6" t="s">
        <v>45</v>
      </c>
      <c r="I25" s="513" t="s">
        <v>30</v>
      </c>
      <c r="J25" s="513"/>
    </row>
    <row r="26" spans="1:10" x14ac:dyDescent="0.35">
      <c r="A26" s="508" t="s">
        <v>313</v>
      </c>
      <c r="B26" s="508"/>
      <c r="C26" s="508"/>
      <c r="D26" s="8" t="s">
        <v>338</v>
      </c>
      <c r="E26" s="18">
        <f>I20*60/500</f>
        <v>576</v>
      </c>
      <c r="H26" s="6" t="s">
        <v>41</v>
      </c>
      <c r="I26" s="11">
        <v>10000</v>
      </c>
      <c r="J26" s="8" t="s">
        <v>53</v>
      </c>
    </row>
    <row r="27" spans="1:10" x14ac:dyDescent="0.35">
      <c r="A27" s="512" t="s">
        <v>17</v>
      </c>
      <c r="B27" s="512"/>
      <c r="C27" s="512"/>
      <c r="D27" s="8"/>
      <c r="E27" s="8"/>
      <c r="H27" s="6" t="s">
        <v>42</v>
      </c>
      <c r="I27" s="18">
        <v>22000</v>
      </c>
      <c r="J27" s="8" t="s">
        <v>49</v>
      </c>
    </row>
    <row r="28" spans="1:10" x14ac:dyDescent="0.35">
      <c r="A28" s="508" t="s">
        <v>41</v>
      </c>
      <c r="B28" s="508"/>
      <c r="C28" s="508"/>
      <c r="D28" s="8">
        <v>1</v>
      </c>
      <c r="E28" s="10">
        <f>I26/100*D28</f>
        <v>100</v>
      </c>
      <c r="H28" s="6" t="s">
        <v>46</v>
      </c>
      <c r="I28" s="10">
        <f>2200</f>
        <v>2200</v>
      </c>
      <c r="J28" s="8" t="s">
        <v>50</v>
      </c>
    </row>
    <row r="29" spans="1:10" x14ac:dyDescent="0.35">
      <c r="A29" s="508" t="s">
        <v>42</v>
      </c>
      <c r="B29" s="508"/>
      <c r="C29" s="508"/>
      <c r="D29" s="8" t="s">
        <v>54</v>
      </c>
      <c r="E29" s="80">
        <f>I27/10000*3</f>
        <v>6.6000000000000005</v>
      </c>
      <c r="H29" s="6" t="s">
        <v>47</v>
      </c>
      <c r="I29" s="15">
        <v>3500</v>
      </c>
      <c r="J29" s="8" t="s">
        <v>51</v>
      </c>
    </row>
    <row r="30" spans="1:10" x14ac:dyDescent="0.35">
      <c r="A30" s="508" t="s">
        <v>46</v>
      </c>
      <c r="B30" s="508"/>
      <c r="C30" s="508"/>
      <c r="D30" s="8">
        <v>1</v>
      </c>
      <c r="E30" s="68">
        <f>I28/90*1</f>
        <v>24.444444444444443</v>
      </c>
      <c r="H30" s="6" t="s">
        <v>48</v>
      </c>
      <c r="I30" s="15">
        <f>15000</f>
        <v>15000</v>
      </c>
      <c r="J30" s="8"/>
    </row>
    <row r="31" spans="1:10" x14ac:dyDescent="0.35">
      <c r="A31" s="508" t="s">
        <v>47</v>
      </c>
      <c r="B31" s="508"/>
      <c r="C31" s="508"/>
      <c r="D31" s="8">
        <v>1</v>
      </c>
      <c r="E31" s="80">
        <f>I29/200*D31</f>
        <v>17.5</v>
      </c>
      <c r="H31" s="6" t="s">
        <v>52</v>
      </c>
      <c r="I31" s="11">
        <v>4500</v>
      </c>
      <c r="J31" s="8" t="s">
        <v>55</v>
      </c>
    </row>
    <row r="32" spans="1:10" x14ac:dyDescent="0.35">
      <c r="A32" s="508" t="s">
        <v>52</v>
      </c>
      <c r="B32" s="508"/>
      <c r="C32" s="508"/>
      <c r="D32" s="8">
        <v>1</v>
      </c>
      <c r="E32" s="18">
        <f>I31/100*D32</f>
        <v>45</v>
      </c>
    </row>
    <row r="33" spans="1:10" x14ac:dyDescent="0.35">
      <c r="A33" s="508" t="s">
        <v>48</v>
      </c>
      <c r="B33" s="508"/>
      <c r="C33" s="508"/>
      <c r="D33" s="8">
        <v>1</v>
      </c>
      <c r="E33" s="80">
        <f>I30/1000</f>
        <v>15</v>
      </c>
    </row>
    <row r="34" spans="1:10" ht="15" x14ac:dyDescent="0.35">
      <c r="A34" s="541" t="s">
        <v>56</v>
      </c>
      <c r="B34" s="542"/>
      <c r="C34" s="543"/>
      <c r="D34" s="73"/>
      <c r="E34" s="154">
        <f>SUM(E17:E33)</f>
        <v>5729.1202996825405</v>
      </c>
      <c r="H34" s="554" t="s">
        <v>318</v>
      </c>
      <c r="I34" s="555"/>
      <c r="J34" s="69" t="s">
        <v>319</v>
      </c>
    </row>
    <row r="35" spans="1:10" ht="17.5" x14ac:dyDescent="0.35">
      <c r="A35" s="504" t="s">
        <v>57</v>
      </c>
      <c r="B35" s="504"/>
      <c r="C35" s="504"/>
      <c r="D35" s="505">
        <f>E34+D13</f>
        <v>7148.1720003628125</v>
      </c>
      <c r="E35" s="505"/>
      <c r="G35" s="3"/>
      <c r="H35" s="556"/>
      <c r="I35" s="557"/>
      <c r="J35" s="558"/>
    </row>
    <row r="36" spans="1:10" ht="15" x14ac:dyDescent="0.35">
      <c r="A36" s="385" t="s">
        <v>63</v>
      </c>
      <c r="B36" s="385"/>
      <c r="C36" s="385"/>
      <c r="D36" s="506">
        <f>D35/(1-67%)</f>
        <v>21661.127273826707</v>
      </c>
      <c r="E36" s="507"/>
      <c r="G36" s="3"/>
      <c r="H36" s="68" t="s">
        <v>327</v>
      </c>
      <c r="I36" s="18">
        <v>1890</v>
      </c>
      <c r="J36" s="8" t="s">
        <v>265</v>
      </c>
    </row>
    <row r="37" spans="1:10" ht="15" x14ac:dyDescent="0.35">
      <c r="A37" s="515" t="s">
        <v>305</v>
      </c>
      <c r="B37" s="515"/>
      <c r="C37" s="515"/>
      <c r="D37" s="153">
        <v>22000</v>
      </c>
      <c r="E37" s="153"/>
      <c r="G37" s="3"/>
      <c r="H37" s="68" t="s">
        <v>328</v>
      </c>
      <c r="I37" s="18">
        <v>3590</v>
      </c>
      <c r="J37" s="8" t="s">
        <v>39</v>
      </c>
    </row>
    <row r="38" spans="1:10" ht="15.5" x14ac:dyDescent="0.35">
      <c r="A38" s="500" t="s">
        <v>527</v>
      </c>
      <c r="B38" s="500"/>
      <c r="C38" s="500"/>
      <c r="D38" s="536">
        <v>25000</v>
      </c>
      <c r="E38" s="536"/>
      <c r="H38" s="68" t="s">
        <v>329</v>
      </c>
      <c r="I38" s="18">
        <v>6850</v>
      </c>
      <c r="J38" s="8" t="s">
        <v>323</v>
      </c>
    </row>
    <row r="39" spans="1:10" x14ac:dyDescent="0.35">
      <c r="H39" s="68" t="s">
        <v>320</v>
      </c>
      <c r="I39" s="18">
        <v>1550</v>
      </c>
      <c r="J39" s="8" t="s">
        <v>324</v>
      </c>
    </row>
    <row r="40" spans="1:10" ht="15" x14ac:dyDescent="0.35">
      <c r="A40" s="502" t="s">
        <v>307</v>
      </c>
      <c r="B40" s="502"/>
      <c r="C40" s="502"/>
      <c r="D40" s="50"/>
      <c r="H40" s="68" t="s">
        <v>321</v>
      </c>
      <c r="I40" s="18">
        <v>733</v>
      </c>
      <c r="J40" s="8" t="s">
        <v>265</v>
      </c>
    </row>
    <row r="41" spans="1:10" ht="15.5" x14ac:dyDescent="0.35">
      <c r="A41" s="387" t="s">
        <v>308</v>
      </c>
      <c r="B41" s="387"/>
      <c r="C41" s="71">
        <f>D36*(1+0.17)</f>
        <v>25343.518910377246</v>
      </c>
      <c r="D41" s="397"/>
      <c r="E41" s="3"/>
      <c r="H41" s="68" t="s">
        <v>322</v>
      </c>
      <c r="I41" s="18">
        <v>5200</v>
      </c>
      <c r="J41" s="8" t="s">
        <v>325</v>
      </c>
    </row>
    <row r="42" spans="1:10" ht="15.5" x14ac:dyDescent="0.35">
      <c r="A42" s="387" t="s">
        <v>309</v>
      </c>
      <c r="B42" s="387"/>
      <c r="C42" s="71">
        <f>D36*(1+0.1)</f>
        <v>23827.240001209379</v>
      </c>
      <c r="D42" s="397"/>
      <c r="H42" s="559" t="s">
        <v>326</v>
      </c>
      <c r="I42" s="559"/>
      <c r="J42" s="559"/>
    </row>
    <row r="43" spans="1:10" ht="15.5" x14ac:dyDescent="0.35">
      <c r="A43" s="358" t="s">
        <v>310</v>
      </c>
      <c r="B43" s="358"/>
      <c r="C43" s="72">
        <v>25000</v>
      </c>
      <c r="H43" s="68" t="s">
        <v>330</v>
      </c>
      <c r="I43" s="550">
        <f>125*I36/500</f>
        <v>472.5</v>
      </c>
      <c r="J43" s="551"/>
    </row>
    <row r="44" spans="1:10" x14ac:dyDescent="0.35">
      <c r="H44" s="68" t="s">
        <v>331</v>
      </c>
      <c r="I44" s="550">
        <f>I37</f>
        <v>3590</v>
      </c>
      <c r="J44" s="551"/>
    </row>
    <row r="45" spans="1:10" x14ac:dyDescent="0.35">
      <c r="H45" s="68" t="s">
        <v>332</v>
      </c>
      <c r="I45" s="550">
        <f>I38</f>
        <v>6850</v>
      </c>
      <c r="J45" s="551"/>
    </row>
    <row r="46" spans="1:10" x14ac:dyDescent="0.35">
      <c r="H46" s="68" t="s">
        <v>333</v>
      </c>
      <c r="I46" s="550">
        <f>30*I39/1000</f>
        <v>46.5</v>
      </c>
      <c r="J46" s="551"/>
    </row>
    <row r="47" spans="1:10" x14ac:dyDescent="0.35">
      <c r="F47" s="75"/>
      <c r="H47" s="68" t="s">
        <v>334</v>
      </c>
      <c r="I47" s="550">
        <f>4*I40/500</f>
        <v>5.8639999999999999</v>
      </c>
      <c r="J47" s="551"/>
    </row>
    <row r="48" spans="1:10" x14ac:dyDescent="0.35">
      <c r="H48" s="68" t="s">
        <v>335</v>
      </c>
      <c r="I48" s="522">
        <f>10*I41/40</f>
        <v>1300</v>
      </c>
      <c r="J48" s="523"/>
    </row>
    <row r="49" spans="6:10" x14ac:dyDescent="0.35">
      <c r="H49" s="76" t="s">
        <v>336</v>
      </c>
      <c r="I49" s="552">
        <f>SUM(I43:I48)</f>
        <v>12264.864</v>
      </c>
      <c r="J49" s="553"/>
    </row>
    <row r="50" spans="6:10" x14ac:dyDescent="0.35">
      <c r="F50" s="75"/>
      <c r="H50" s="77" t="s">
        <v>337</v>
      </c>
      <c r="I50" s="548">
        <f>I49/(1000/90)</f>
        <v>1103.8377599999999</v>
      </c>
      <c r="J50" s="549"/>
    </row>
  </sheetData>
  <mergeCells count="70">
    <mergeCell ref="A8:C8"/>
    <mergeCell ref="D8:E8"/>
    <mergeCell ref="A5:C5"/>
    <mergeCell ref="D5:E5"/>
    <mergeCell ref="A6:C6"/>
    <mergeCell ref="D6:E6"/>
    <mergeCell ref="A7:C7"/>
    <mergeCell ref="D7:E7"/>
    <mergeCell ref="A1:E1"/>
    <mergeCell ref="A2:C2"/>
    <mergeCell ref="D2:E2"/>
    <mergeCell ref="A3:E3"/>
    <mergeCell ref="A4:C4"/>
    <mergeCell ref="D4:E4"/>
    <mergeCell ref="A9:C9"/>
    <mergeCell ref="D9:E9"/>
    <mergeCell ref="A10:C10"/>
    <mergeCell ref="D10:E10"/>
    <mergeCell ref="A18:C18"/>
    <mergeCell ref="A12:C12"/>
    <mergeCell ref="A13:C13"/>
    <mergeCell ref="D13:E13"/>
    <mergeCell ref="A14:E14"/>
    <mergeCell ref="A15:C15"/>
    <mergeCell ref="D15:E15"/>
    <mergeCell ref="A11:C11"/>
    <mergeCell ref="D11:E11"/>
    <mergeCell ref="I15:J15"/>
    <mergeCell ref="A16:C16"/>
    <mergeCell ref="A17:C17"/>
    <mergeCell ref="A19:C19"/>
    <mergeCell ref="A20:C20"/>
    <mergeCell ref="A21:C21"/>
    <mergeCell ref="A22:C22"/>
    <mergeCell ref="A23:C23"/>
    <mergeCell ref="A25:C25"/>
    <mergeCell ref="A24:C24"/>
    <mergeCell ref="I25:J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H34:I34"/>
    <mergeCell ref="H35:J35"/>
    <mergeCell ref="H42:J42"/>
    <mergeCell ref="I43:J43"/>
    <mergeCell ref="A40:C40"/>
    <mergeCell ref="A41:B41"/>
    <mergeCell ref="D41:D42"/>
    <mergeCell ref="A42:B42"/>
    <mergeCell ref="A43:B43"/>
    <mergeCell ref="A37:C37"/>
    <mergeCell ref="A35:C35"/>
    <mergeCell ref="D35:E35"/>
    <mergeCell ref="A36:C36"/>
    <mergeCell ref="D36:E36"/>
    <mergeCell ref="A38:C38"/>
    <mergeCell ref="D38:E38"/>
    <mergeCell ref="I50:J50"/>
    <mergeCell ref="I44:J44"/>
    <mergeCell ref="I45:J45"/>
    <mergeCell ref="I46:J46"/>
    <mergeCell ref="I47:J47"/>
    <mergeCell ref="I48:J48"/>
    <mergeCell ref="I49:J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24"/>
  <sheetViews>
    <sheetView zoomScale="80" zoomScaleNormal="80" workbookViewId="0">
      <selection activeCell="F3" sqref="F3"/>
    </sheetView>
  </sheetViews>
  <sheetFormatPr baseColWidth="10" defaultRowHeight="14.5" x14ac:dyDescent="0.35"/>
  <cols>
    <col min="2" max="2" width="17.7265625" customWidth="1"/>
    <col min="5" max="5" width="26.7265625" customWidth="1"/>
    <col min="6" max="6" width="19.81640625" customWidth="1"/>
  </cols>
  <sheetData>
    <row r="1" spans="1:6" ht="15.5" x14ac:dyDescent="0.35">
      <c r="A1" s="358" t="s">
        <v>116</v>
      </c>
      <c r="B1" s="358"/>
      <c r="C1" s="358" t="s">
        <v>128</v>
      </c>
      <c r="D1" s="358"/>
      <c r="E1" s="358"/>
      <c r="F1" s="94" t="s">
        <v>129</v>
      </c>
    </row>
    <row r="2" spans="1:6" ht="46.9" customHeight="1" x14ac:dyDescent="0.35">
      <c r="A2" s="359" t="s">
        <v>117</v>
      </c>
      <c r="B2" s="359"/>
      <c r="C2" s="363" t="s">
        <v>147</v>
      </c>
      <c r="D2" s="363"/>
      <c r="E2" s="363"/>
      <c r="F2" s="57">
        <f>'MAQUINARIA Y EQUIPO'!D16</f>
        <v>29039000</v>
      </c>
    </row>
    <row r="3" spans="1:6" ht="36" customHeight="1" x14ac:dyDescent="0.35">
      <c r="A3" s="360" t="s">
        <v>118</v>
      </c>
      <c r="B3" s="360"/>
      <c r="C3" s="372" t="s">
        <v>388</v>
      </c>
      <c r="D3" s="372"/>
      <c r="E3" s="372"/>
      <c r="F3" s="26">
        <v>2000000</v>
      </c>
    </row>
    <row r="4" spans="1:6" ht="31.9" customHeight="1" x14ac:dyDescent="0.35">
      <c r="A4" s="360" t="s">
        <v>122</v>
      </c>
      <c r="B4" s="360"/>
      <c r="C4" s="363" t="s">
        <v>130</v>
      </c>
      <c r="D4" s="363"/>
      <c r="E4" s="363"/>
      <c r="F4" s="26">
        <v>2000000</v>
      </c>
    </row>
    <row r="5" spans="1:6" ht="59.15" customHeight="1" x14ac:dyDescent="0.35">
      <c r="A5" s="367" t="s">
        <v>389</v>
      </c>
      <c r="B5" s="368"/>
      <c r="C5" s="369" t="s">
        <v>390</v>
      </c>
      <c r="D5" s="370"/>
      <c r="E5" s="371"/>
      <c r="F5" s="26">
        <v>5000000</v>
      </c>
    </row>
    <row r="6" spans="1:6" ht="29.5" customHeight="1" x14ac:dyDescent="0.35">
      <c r="A6" s="360" t="s">
        <v>123</v>
      </c>
      <c r="B6" s="360"/>
      <c r="C6" s="361" t="s">
        <v>126</v>
      </c>
      <c r="D6" s="361"/>
      <c r="E6" s="361"/>
      <c r="F6" s="26">
        <v>400000</v>
      </c>
    </row>
    <row r="7" spans="1:6" ht="29.5" customHeight="1" x14ac:dyDescent="0.35">
      <c r="A7" s="360" t="s">
        <v>132</v>
      </c>
      <c r="B7" s="360"/>
      <c r="C7" s="363" t="s">
        <v>148</v>
      </c>
      <c r="D7" s="363"/>
      <c r="E7" s="363"/>
      <c r="F7" s="26">
        <v>2000000</v>
      </c>
    </row>
    <row r="8" spans="1:6" ht="24.65" customHeight="1" x14ac:dyDescent="0.35">
      <c r="A8" s="360" t="s">
        <v>124</v>
      </c>
      <c r="B8" s="360"/>
      <c r="C8" s="363" t="s">
        <v>127</v>
      </c>
      <c r="D8" s="363"/>
      <c r="E8" s="363"/>
      <c r="F8" s="26">
        <v>700000</v>
      </c>
    </row>
    <row r="9" spans="1:6" ht="26.5" customHeight="1" x14ac:dyDescent="0.35">
      <c r="A9" s="360" t="s">
        <v>125</v>
      </c>
      <c r="B9" s="360"/>
      <c r="C9" s="361" t="s">
        <v>133</v>
      </c>
      <c r="D9" s="361"/>
      <c r="E9" s="361"/>
      <c r="F9" s="26">
        <v>2000000</v>
      </c>
    </row>
    <row r="10" spans="1:6" ht="14.5" customHeight="1" x14ac:dyDescent="0.35">
      <c r="A10" s="366" t="s">
        <v>131</v>
      </c>
      <c r="B10" s="366"/>
      <c r="C10" s="366"/>
      <c r="D10" s="366"/>
      <c r="E10" s="366"/>
      <c r="F10" s="48">
        <f>SUM(F2:F9)</f>
        <v>43139000</v>
      </c>
    </row>
    <row r="11" spans="1:6" x14ac:dyDescent="0.35">
      <c r="A11" s="362"/>
      <c r="B11" s="362"/>
    </row>
    <row r="12" spans="1:6" x14ac:dyDescent="0.35">
      <c r="A12" s="362"/>
      <c r="B12" s="362"/>
    </row>
    <row r="13" spans="1:6" x14ac:dyDescent="0.35">
      <c r="A13" s="362"/>
      <c r="B13" s="362"/>
    </row>
    <row r="14" spans="1:6" ht="14.5" customHeight="1" x14ac:dyDescent="0.35">
      <c r="A14" s="364" t="s">
        <v>491</v>
      </c>
      <c r="B14" s="364"/>
      <c r="C14" s="364"/>
      <c r="D14" s="150"/>
      <c r="E14" s="150"/>
      <c r="F14" s="150"/>
    </row>
    <row r="15" spans="1:6" ht="15.5" x14ac:dyDescent="0.35">
      <c r="A15" s="365">
        <f>+F5+F6+F7+F8+F9</f>
        <v>10100000</v>
      </c>
      <c r="B15" s="365"/>
      <c r="C15" s="365"/>
      <c r="D15" s="151"/>
      <c r="E15" s="151"/>
      <c r="F15" s="151"/>
    </row>
    <row r="18" spans="1:6" ht="15.5" x14ac:dyDescent="0.35">
      <c r="A18" s="358" t="s">
        <v>491</v>
      </c>
      <c r="B18" s="358"/>
      <c r="C18" s="358"/>
      <c r="D18" s="358"/>
      <c r="E18" s="358"/>
      <c r="F18" s="358"/>
    </row>
    <row r="19" spans="1:6" ht="58.5" customHeight="1" x14ac:dyDescent="0.35">
      <c r="A19" s="367" t="s">
        <v>389</v>
      </c>
      <c r="B19" s="368"/>
      <c r="C19" s="369" t="s">
        <v>390</v>
      </c>
      <c r="D19" s="370"/>
      <c r="E19" s="371"/>
      <c r="F19" s="26">
        <v>5000000</v>
      </c>
    </row>
    <row r="20" spans="1:6" ht="30.65" customHeight="1" x14ac:dyDescent="0.35">
      <c r="A20" s="360" t="s">
        <v>123</v>
      </c>
      <c r="B20" s="360"/>
      <c r="C20" s="361" t="s">
        <v>126</v>
      </c>
      <c r="D20" s="361"/>
      <c r="E20" s="361"/>
      <c r="F20" s="26">
        <v>400000</v>
      </c>
    </row>
    <row r="21" spans="1:6" ht="36.65" customHeight="1" x14ac:dyDescent="0.35">
      <c r="A21" s="360" t="s">
        <v>132</v>
      </c>
      <c r="B21" s="360"/>
      <c r="C21" s="363" t="s">
        <v>148</v>
      </c>
      <c r="D21" s="363"/>
      <c r="E21" s="363"/>
      <c r="F21" s="26">
        <v>2000000</v>
      </c>
    </row>
    <row r="22" spans="1:6" ht="23.5" customHeight="1" x14ac:dyDescent="0.35">
      <c r="A22" s="360" t="s">
        <v>124</v>
      </c>
      <c r="B22" s="360"/>
      <c r="C22" s="363" t="s">
        <v>127</v>
      </c>
      <c r="D22" s="363"/>
      <c r="E22" s="363"/>
      <c r="F22" s="26">
        <v>700000</v>
      </c>
    </row>
    <row r="23" spans="1:6" ht="34" customHeight="1" x14ac:dyDescent="0.35">
      <c r="A23" s="360" t="s">
        <v>125</v>
      </c>
      <c r="B23" s="360"/>
      <c r="C23" s="361" t="s">
        <v>133</v>
      </c>
      <c r="D23" s="361"/>
      <c r="E23" s="361"/>
      <c r="F23" s="26">
        <v>2000000</v>
      </c>
    </row>
    <row r="24" spans="1:6" ht="15.5" x14ac:dyDescent="0.35">
      <c r="A24" s="373" t="s">
        <v>507</v>
      </c>
      <c r="B24" s="373"/>
      <c r="C24" s="373"/>
      <c r="D24" s="373"/>
      <c r="E24" s="373"/>
      <c r="F24" s="48">
        <f>SUM(F19:F23)</f>
        <v>10100000</v>
      </c>
    </row>
  </sheetData>
  <mergeCells count="36">
    <mergeCell ref="A24:E24"/>
    <mergeCell ref="A22:B22"/>
    <mergeCell ref="C22:E22"/>
    <mergeCell ref="A23:B23"/>
    <mergeCell ref="C23:E23"/>
    <mergeCell ref="A18:F18"/>
    <mergeCell ref="A19:B19"/>
    <mergeCell ref="C19:E19"/>
    <mergeCell ref="A20:B20"/>
    <mergeCell ref="C20:E20"/>
    <mergeCell ref="A21:B21"/>
    <mergeCell ref="C21:E21"/>
    <mergeCell ref="A14:C14"/>
    <mergeCell ref="A15:C15"/>
    <mergeCell ref="C1:E1"/>
    <mergeCell ref="A7:B7"/>
    <mergeCell ref="C7:E7"/>
    <mergeCell ref="A10:E10"/>
    <mergeCell ref="A1:B1"/>
    <mergeCell ref="A5:B5"/>
    <mergeCell ref="C5:E5"/>
    <mergeCell ref="C2:E2"/>
    <mergeCell ref="C3:E3"/>
    <mergeCell ref="C4:E4"/>
    <mergeCell ref="C6:E6"/>
    <mergeCell ref="C8:E8"/>
    <mergeCell ref="C9:E9"/>
    <mergeCell ref="A9:B9"/>
    <mergeCell ref="A11:B11"/>
    <mergeCell ref="A12:B12"/>
    <mergeCell ref="A13:B13"/>
    <mergeCell ref="A2:B2"/>
    <mergeCell ref="A3:B3"/>
    <mergeCell ref="A4:B4"/>
    <mergeCell ref="A6:B6"/>
    <mergeCell ref="A8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6"/>
  <sheetViews>
    <sheetView workbookViewId="0">
      <selection activeCell="A3" sqref="A3:XFD3"/>
    </sheetView>
  </sheetViews>
  <sheetFormatPr baseColWidth="10" defaultRowHeight="14.5" x14ac:dyDescent="0.35"/>
  <cols>
    <col min="2" max="2" width="8.54296875" customWidth="1"/>
    <col min="5" max="5" width="8.7265625" customWidth="1"/>
    <col min="6" max="6" width="3.26953125" hidden="1" customWidth="1"/>
    <col min="7" max="7" width="2.453125" customWidth="1"/>
    <col min="8" max="8" width="41.81640625" customWidth="1"/>
    <col min="9" max="9" width="17.54296875" customWidth="1"/>
  </cols>
  <sheetData>
    <row r="1" spans="1:9" ht="15" x14ac:dyDescent="0.35">
      <c r="A1" s="374" t="s">
        <v>154</v>
      </c>
      <c r="B1" s="374"/>
      <c r="C1" s="374"/>
      <c r="D1" s="374"/>
      <c r="E1" s="374"/>
      <c r="F1" s="374"/>
      <c r="G1" s="374"/>
      <c r="H1" s="374"/>
      <c r="I1" s="374"/>
    </row>
    <row r="2" spans="1:9" ht="42" x14ac:dyDescent="0.35">
      <c r="A2" s="359" t="s">
        <v>155</v>
      </c>
      <c r="B2" s="359"/>
      <c r="C2" s="359" t="s">
        <v>128</v>
      </c>
      <c r="D2" s="359"/>
      <c r="E2" s="359"/>
      <c r="F2" s="359"/>
      <c r="G2" s="359"/>
      <c r="H2" s="51" t="s">
        <v>347</v>
      </c>
      <c r="I2" s="79" t="s">
        <v>342</v>
      </c>
    </row>
    <row r="3" spans="1:9" ht="86.5" customHeight="1" x14ac:dyDescent="0.35">
      <c r="A3" s="363" t="s">
        <v>343</v>
      </c>
      <c r="B3" s="363"/>
      <c r="C3" s="363" t="s">
        <v>349</v>
      </c>
      <c r="D3" s="363"/>
      <c r="E3" s="363"/>
      <c r="F3" s="363"/>
      <c r="G3" s="363"/>
      <c r="H3" s="43" t="s">
        <v>348</v>
      </c>
      <c r="I3" s="44" t="s">
        <v>351</v>
      </c>
    </row>
    <row r="4" spans="1:9" ht="79.5" customHeight="1" x14ac:dyDescent="0.35">
      <c r="A4" s="363" t="s">
        <v>344</v>
      </c>
      <c r="B4" s="363"/>
      <c r="C4" s="363" t="s">
        <v>354</v>
      </c>
      <c r="D4" s="363"/>
      <c r="E4" s="363"/>
      <c r="F4" s="363"/>
      <c r="G4" s="363"/>
      <c r="H4" s="43" t="s">
        <v>350</v>
      </c>
      <c r="I4" s="44" t="s">
        <v>351</v>
      </c>
    </row>
    <row r="5" spans="1:9" ht="75.650000000000006" customHeight="1" x14ac:dyDescent="0.35">
      <c r="A5" s="363" t="s">
        <v>345</v>
      </c>
      <c r="B5" s="363"/>
      <c r="C5" s="363" t="s">
        <v>346</v>
      </c>
      <c r="D5" s="363"/>
      <c r="E5" s="363"/>
      <c r="F5" s="363"/>
      <c r="G5" s="363"/>
      <c r="H5" s="78" t="s">
        <v>355</v>
      </c>
      <c r="I5" s="44" t="s">
        <v>351</v>
      </c>
    </row>
    <row r="6" spans="1:9" ht="53.5" customHeight="1" x14ac:dyDescent="0.35">
      <c r="A6" s="372" t="s">
        <v>341</v>
      </c>
      <c r="B6" s="372"/>
      <c r="C6" s="369" t="s">
        <v>353</v>
      </c>
      <c r="D6" s="370"/>
      <c r="E6" s="370"/>
      <c r="F6" s="370"/>
      <c r="G6" s="371"/>
      <c r="H6" s="43" t="s">
        <v>352</v>
      </c>
      <c r="I6" s="44" t="s">
        <v>351</v>
      </c>
    </row>
  </sheetData>
  <mergeCells count="11">
    <mergeCell ref="A1:I1"/>
    <mergeCell ref="C5:G5"/>
    <mergeCell ref="C6:G6"/>
    <mergeCell ref="A4:B4"/>
    <mergeCell ref="A5:B5"/>
    <mergeCell ref="A6:B6"/>
    <mergeCell ref="C2:G2"/>
    <mergeCell ref="C3:G3"/>
    <mergeCell ref="C4:G4"/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D23"/>
  <sheetViews>
    <sheetView topLeftCell="A3" workbookViewId="0">
      <selection activeCell="E30" sqref="E30"/>
    </sheetView>
  </sheetViews>
  <sheetFormatPr baseColWidth="10" defaultRowHeight="14.5" x14ac:dyDescent="0.35"/>
  <cols>
    <col min="1" max="1" width="42.7265625" customWidth="1"/>
    <col min="2" max="2" width="18.7265625" customWidth="1"/>
    <col min="3" max="3" width="17.7265625" customWidth="1"/>
    <col min="4" max="4" width="13.7265625" customWidth="1"/>
    <col min="5" max="14" width="11.54296875"/>
  </cols>
  <sheetData>
    <row r="1" spans="1:4" ht="15.5" x14ac:dyDescent="0.35">
      <c r="A1" s="358" t="s">
        <v>135</v>
      </c>
      <c r="B1" s="358"/>
      <c r="C1" s="358"/>
      <c r="D1" s="358"/>
    </row>
    <row r="2" spans="1:4" ht="45" x14ac:dyDescent="0.35">
      <c r="A2" s="5" t="s">
        <v>134</v>
      </c>
      <c r="B2" s="51" t="s">
        <v>149</v>
      </c>
      <c r="C2" s="51" t="s">
        <v>151</v>
      </c>
      <c r="D2" s="51" t="s">
        <v>150</v>
      </c>
    </row>
    <row r="3" spans="1:4" ht="15.5" x14ac:dyDescent="0.35">
      <c r="A3" s="52" t="s">
        <v>137</v>
      </c>
      <c r="B3" s="53"/>
      <c r="C3" s="44"/>
      <c r="D3" s="44"/>
    </row>
    <row r="4" spans="1:4" ht="15.5" x14ac:dyDescent="0.35">
      <c r="A4" s="4" t="s">
        <v>91</v>
      </c>
      <c r="B4" s="54">
        <v>0.1</v>
      </c>
      <c r="C4" s="44">
        <v>10</v>
      </c>
      <c r="D4" s="44">
        <f>C4*12</f>
        <v>120</v>
      </c>
    </row>
    <row r="5" spans="1:4" ht="15.5" x14ac:dyDescent="0.35">
      <c r="A5" s="4" t="s">
        <v>92</v>
      </c>
      <c r="B5" s="54">
        <v>0.1</v>
      </c>
      <c r="C5" s="44">
        <v>10</v>
      </c>
      <c r="D5" s="44">
        <f t="shared" ref="D5:D8" si="0">C5*12</f>
        <v>120</v>
      </c>
    </row>
    <row r="6" spans="1:4" ht="15.5" x14ac:dyDescent="0.35">
      <c r="A6" s="4" t="s">
        <v>136</v>
      </c>
      <c r="B6" s="54">
        <v>0.1</v>
      </c>
      <c r="C6" s="44">
        <v>10</v>
      </c>
      <c r="D6" s="44">
        <f t="shared" si="0"/>
        <v>120</v>
      </c>
    </row>
    <row r="7" spans="1:4" ht="15.5" x14ac:dyDescent="0.35">
      <c r="A7" s="4" t="s">
        <v>146</v>
      </c>
      <c r="B7" s="54">
        <v>0.1</v>
      </c>
      <c r="C7" s="44">
        <v>10</v>
      </c>
      <c r="D7" s="44">
        <f t="shared" si="0"/>
        <v>120</v>
      </c>
    </row>
    <row r="8" spans="1:4" ht="15.5" x14ac:dyDescent="0.35">
      <c r="A8" s="4" t="s">
        <v>119</v>
      </c>
      <c r="B8" s="54">
        <v>0.1</v>
      </c>
      <c r="C8" s="44">
        <v>10</v>
      </c>
      <c r="D8" s="44">
        <f t="shared" si="0"/>
        <v>120</v>
      </c>
    </row>
    <row r="9" spans="1:4" ht="15.5" x14ac:dyDescent="0.35">
      <c r="A9" s="52" t="s">
        <v>138</v>
      </c>
      <c r="B9" s="375"/>
      <c r="C9" s="375"/>
      <c r="D9" s="375"/>
    </row>
    <row r="10" spans="1:4" ht="15.5" x14ac:dyDescent="0.35">
      <c r="A10" s="4" t="s">
        <v>95</v>
      </c>
      <c r="B10" s="54">
        <v>0.1</v>
      </c>
      <c r="C10" s="44">
        <v>10</v>
      </c>
      <c r="D10" s="44">
        <f>C10*12</f>
        <v>120</v>
      </c>
    </row>
    <row r="11" spans="1:4" ht="15.5" x14ac:dyDescent="0.35">
      <c r="A11" s="4" t="s">
        <v>96</v>
      </c>
      <c r="B11" s="54">
        <v>0.1</v>
      </c>
      <c r="C11" s="44">
        <v>10</v>
      </c>
      <c r="D11" s="44">
        <f t="shared" ref="D11:D12" si="1">C11*12</f>
        <v>120</v>
      </c>
    </row>
    <row r="12" spans="1:4" ht="15.5" x14ac:dyDescent="0.35">
      <c r="A12" s="4" t="s">
        <v>120</v>
      </c>
      <c r="B12" s="54">
        <v>0.1</v>
      </c>
      <c r="C12" s="44">
        <v>10</v>
      </c>
      <c r="D12" s="44">
        <f t="shared" si="1"/>
        <v>120</v>
      </c>
    </row>
    <row r="13" spans="1:4" ht="15.5" x14ac:dyDescent="0.35">
      <c r="A13" s="4" t="s">
        <v>98</v>
      </c>
      <c r="B13" s="54">
        <v>0.1</v>
      </c>
      <c r="C13" s="44">
        <v>10</v>
      </c>
      <c r="D13" s="44">
        <f>C13*12</f>
        <v>120</v>
      </c>
    </row>
    <row r="14" spans="1:4" ht="15.5" x14ac:dyDescent="0.35">
      <c r="A14" s="52" t="s">
        <v>141</v>
      </c>
      <c r="B14" s="55"/>
      <c r="C14" s="4"/>
      <c r="D14" s="4"/>
    </row>
    <row r="15" spans="1:4" ht="15.5" x14ac:dyDescent="0.35">
      <c r="A15" s="4" t="s">
        <v>142</v>
      </c>
      <c r="B15" s="55">
        <v>0.05</v>
      </c>
      <c r="C15" s="44">
        <v>10</v>
      </c>
      <c r="D15" s="4">
        <f>C15*12</f>
        <v>120</v>
      </c>
    </row>
    <row r="16" spans="1:4" ht="15.5" x14ac:dyDescent="0.35">
      <c r="A16" s="4" t="s">
        <v>143</v>
      </c>
      <c r="B16" s="55">
        <v>0.15</v>
      </c>
      <c r="C16" s="44">
        <v>10</v>
      </c>
      <c r="D16" s="4">
        <f t="shared" ref="D16:D19" si="2">C16*12</f>
        <v>120</v>
      </c>
    </row>
    <row r="17" spans="1:4" ht="15.5" x14ac:dyDescent="0.35">
      <c r="A17" s="4" t="s">
        <v>144</v>
      </c>
      <c r="B17" s="55">
        <v>0.15</v>
      </c>
      <c r="C17" s="44">
        <v>10</v>
      </c>
      <c r="D17" s="4">
        <f t="shared" si="2"/>
        <v>120</v>
      </c>
    </row>
    <row r="18" spans="1:4" ht="15.5" x14ac:dyDescent="0.35">
      <c r="A18" s="4" t="s">
        <v>145</v>
      </c>
      <c r="B18" s="55">
        <v>0.15</v>
      </c>
      <c r="C18" s="44">
        <v>10</v>
      </c>
      <c r="D18" s="4">
        <f t="shared" si="2"/>
        <v>120</v>
      </c>
    </row>
    <row r="19" spans="1:4" ht="15.5" x14ac:dyDescent="0.35">
      <c r="A19" s="4" t="s">
        <v>153</v>
      </c>
      <c r="B19" s="55">
        <v>0.05</v>
      </c>
      <c r="C19" s="44">
        <v>10</v>
      </c>
      <c r="D19" s="4">
        <f t="shared" si="2"/>
        <v>120</v>
      </c>
    </row>
    <row r="20" spans="1:4" ht="15.5" x14ac:dyDescent="0.35">
      <c r="A20" s="4" t="s">
        <v>152</v>
      </c>
      <c r="B20" s="55">
        <v>0.05</v>
      </c>
      <c r="C20" s="44">
        <v>10</v>
      </c>
      <c r="D20" s="4">
        <f>C20*12</f>
        <v>120</v>
      </c>
    </row>
    <row r="21" spans="1:4" ht="15.5" x14ac:dyDescent="0.35">
      <c r="A21" s="52" t="s">
        <v>139</v>
      </c>
      <c r="B21" s="4"/>
      <c r="C21" s="4"/>
      <c r="D21" s="4"/>
    </row>
    <row r="22" spans="1:4" ht="15.5" x14ac:dyDescent="0.35">
      <c r="A22" s="4" t="s">
        <v>97</v>
      </c>
      <c r="B22" s="54">
        <v>0.2</v>
      </c>
      <c r="C22" s="44">
        <v>5</v>
      </c>
      <c r="D22" s="44">
        <f>C22*12</f>
        <v>60</v>
      </c>
    </row>
    <row r="23" spans="1:4" ht="15.5" x14ac:dyDescent="0.35">
      <c r="A23" s="4" t="s">
        <v>140</v>
      </c>
      <c r="B23" s="54">
        <v>0.2</v>
      </c>
      <c r="C23" s="44">
        <v>5</v>
      </c>
      <c r="D23" s="44">
        <f t="shared" ref="D23" si="3">C23*12</f>
        <v>60</v>
      </c>
    </row>
  </sheetData>
  <mergeCells count="2">
    <mergeCell ref="A1:D1"/>
    <mergeCell ref="B9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F27"/>
  <sheetViews>
    <sheetView topLeftCell="A11" workbookViewId="0">
      <selection activeCell="C11" sqref="C11"/>
    </sheetView>
  </sheetViews>
  <sheetFormatPr baseColWidth="10" defaultRowHeight="14.5" x14ac:dyDescent="0.35"/>
  <cols>
    <col min="2" max="2" width="24.81640625" customWidth="1"/>
    <col min="3" max="3" width="48.1796875" customWidth="1"/>
    <col min="5" max="5" width="14.26953125" customWidth="1"/>
    <col min="6" max="6" width="14.54296875" customWidth="1"/>
  </cols>
  <sheetData>
    <row r="1" spans="1:6" ht="15.5" x14ac:dyDescent="0.35">
      <c r="A1" s="358" t="s">
        <v>237</v>
      </c>
      <c r="B1" s="358"/>
      <c r="C1" s="358"/>
      <c r="D1" s="358"/>
      <c r="E1" s="358"/>
      <c r="F1" s="358"/>
    </row>
    <row r="2" spans="1:6" ht="30" x14ac:dyDescent="0.35">
      <c r="A2" s="360" t="s">
        <v>238</v>
      </c>
      <c r="B2" s="360"/>
      <c r="C2" s="5" t="s">
        <v>240</v>
      </c>
      <c r="D2" s="359" t="s">
        <v>239</v>
      </c>
      <c r="E2" s="359"/>
      <c r="F2" s="51" t="s">
        <v>241</v>
      </c>
    </row>
    <row r="3" spans="1:6" ht="15.5" x14ac:dyDescent="0.35">
      <c r="A3" s="376" t="s">
        <v>242</v>
      </c>
      <c r="B3" s="376"/>
      <c r="C3" s="4" t="s">
        <v>243</v>
      </c>
      <c r="D3" s="376" t="s">
        <v>244</v>
      </c>
      <c r="E3" s="376"/>
      <c r="F3" s="4">
        <v>1500</v>
      </c>
    </row>
    <row r="4" spans="1:6" ht="15.5" x14ac:dyDescent="0.35">
      <c r="A4" s="376" t="s">
        <v>245</v>
      </c>
      <c r="B4" s="376"/>
      <c r="C4" s="4" t="s">
        <v>254</v>
      </c>
      <c r="D4" s="376" t="s">
        <v>265</v>
      </c>
      <c r="E4" s="376"/>
      <c r="F4" s="4">
        <v>10</v>
      </c>
    </row>
    <row r="5" spans="1:6" ht="15.5" x14ac:dyDescent="0.35">
      <c r="A5" s="376" t="s">
        <v>246</v>
      </c>
      <c r="B5" s="376"/>
      <c r="C5" s="4" t="s">
        <v>254</v>
      </c>
      <c r="D5" s="376" t="s">
        <v>265</v>
      </c>
      <c r="E5" s="376"/>
      <c r="F5" s="4">
        <v>40</v>
      </c>
    </row>
    <row r="6" spans="1:6" ht="15.5" x14ac:dyDescent="0.35">
      <c r="A6" s="376" t="s">
        <v>248</v>
      </c>
      <c r="B6" s="376"/>
      <c r="C6" s="4" t="s">
        <v>254</v>
      </c>
      <c r="D6" s="376" t="s">
        <v>265</v>
      </c>
      <c r="E6" s="376"/>
      <c r="F6" s="4">
        <v>15</v>
      </c>
    </row>
    <row r="7" spans="1:6" ht="15.5" x14ac:dyDescent="0.35">
      <c r="A7" s="376" t="s">
        <v>247</v>
      </c>
      <c r="B7" s="376"/>
      <c r="C7" s="4" t="s">
        <v>253</v>
      </c>
      <c r="D7" s="376" t="s">
        <v>265</v>
      </c>
      <c r="E7" s="376"/>
      <c r="F7" s="4">
        <v>10</v>
      </c>
    </row>
    <row r="8" spans="1:6" ht="15.5" x14ac:dyDescent="0.35">
      <c r="A8" s="376" t="s">
        <v>249</v>
      </c>
      <c r="B8" s="376"/>
      <c r="C8" s="4" t="s">
        <v>251</v>
      </c>
      <c r="D8" s="376" t="s">
        <v>265</v>
      </c>
      <c r="E8" s="376"/>
      <c r="F8" s="4">
        <v>60</v>
      </c>
    </row>
    <row r="9" spans="1:6" ht="15.5" x14ac:dyDescent="0.35">
      <c r="A9" s="376" t="s">
        <v>250</v>
      </c>
      <c r="B9" s="376"/>
      <c r="C9" s="4" t="s">
        <v>252</v>
      </c>
      <c r="D9" s="376" t="s">
        <v>265</v>
      </c>
      <c r="E9" s="376"/>
      <c r="F9" s="4">
        <v>15</v>
      </c>
    </row>
    <row r="10" spans="1:6" ht="15.5" x14ac:dyDescent="0.35">
      <c r="A10" s="376" t="s">
        <v>255</v>
      </c>
      <c r="B10" s="376"/>
      <c r="C10" s="4" t="s">
        <v>254</v>
      </c>
      <c r="D10" s="376" t="s">
        <v>244</v>
      </c>
      <c r="E10" s="376"/>
      <c r="F10" s="4">
        <v>6</v>
      </c>
    </row>
    <row r="11" spans="1:6" ht="15.5" x14ac:dyDescent="0.35">
      <c r="A11" s="376" t="s">
        <v>256</v>
      </c>
      <c r="B11" s="376"/>
      <c r="C11" s="4" t="s">
        <v>254</v>
      </c>
      <c r="D11" s="376" t="s">
        <v>265</v>
      </c>
      <c r="E11" s="376"/>
      <c r="F11" s="4">
        <v>3</v>
      </c>
    </row>
    <row r="12" spans="1:6" ht="15.5" x14ac:dyDescent="0.35">
      <c r="A12" s="376" t="s">
        <v>257</v>
      </c>
      <c r="B12" s="376"/>
      <c r="C12" s="4" t="s">
        <v>254</v>
      </c>
      <c r="D12" s="376" t="s">
        <v>265</v>
      </c>
      <c r="E12" s="376"/>
      <c r="F12" s="4">
        <v>3</v>
      </c>
    </row>
    <row r="13" spans="1:6" ht="15.5" x14ac:dyDescent="0.35">
      <c r="A13" s="376" t="s">
        <v>275</v>
      </c>
      <c r="B13" s="376"/>
      <c r="C13" s="4" t="s">
        <v>254</v>
      </c>
      <c r="D13" s="376" t="s">
        <v>274</v>
      </c>
      <c r="E13" s="376"/>
      <c r="F13" s="4">
        <v>10</v>
      </c>
    </row>
    <row r="14" spans="1:6" ht="15.5" x14ac:dyDescent="0.35">
      <c r="A14" s="376" t="s">
        <v>258</v>
      </c>
      <c r="B14" s="376"/>
      <c r="C14" s="4" t="s">
        <v>259</v>
      </c>
      <c r="D14" s="376" t="s">
        <v>244</v>
      </c>
      <c r="E14" s="376"/>
      <c r="F14" s="4">
        <v>20</v>
      </c>
    </row>
    <row r="15" spans="1:6" ht="15.5" x14ac:dyDescent="0.35">
      <c r="A15" s="376" t="s">
        <v>59</v>
      </c>
      <c r="B15" s="376"/>
      <c r="C15" s="4" t="s">
        <v>259</v>
      </c>
      <c r="D15" s="376" t="s">
        <v>244</v>
      </c>
      <c r="E15" s="376"/>
      <c r="F15" s="4">
        <v>15</v>
      </c>
    </row>
    <row r="16" spans="1:6" ht="15.5" x14ac:dyDescent="0.35">
      <c r="A16" s="376" t="s">
        <v>260</v>
      </c>
      <c r="B16" s="376"/>
      <c r="C16" s="4" t="s">
        <v>261</v>
      </c>
      <c r="D16" s="376" t="s">
        <v>265</v>
      </c>
      <c r="E16" s="376"/>
      <c r="F16" s="4">
        <v>3</v>
      </c>
    </row>
    <row r="17" spans="1:6" ht="15.5" x14ac:dyDescent="0.35">
      <c r="A17" s="376" t="s">
        <v>262</v>
      </c>
      <c r="B17" s="376"/>
      <c r="C17" s="4" t="s">
        <v>263</v>
      </c>
      <c r="D17" s="376" t="s">
        <v>265</v>
      </c>
      <c r="E17" s="376"/>
      <c r="F17" s="4">
        <v>3</v>
      </c>
    </row>
    <row r="18" spans="1:6" ht="15.5" x14ac:dyDescent="0.35">
      <c r="A18" s="376" t="s">
        <v>264</v>
      </c>
      <c r="B18" s="376"/>
      <c r="C18" s="4" t="s">
        <v>263</v>
      </c>
      <c r="D18" s="376" t="s">
        <v>244</v>
      </c>
      <c r="E18" s="376"/>
      <c r="F18" s="4">
        <v>2</v>
      </c>
    </row>
    <row r="19" spans="1:6" ht="15.5" x14ac:dyDescent="0.35">
      <c r="A19" s="376" t="s">
        <v>266</v>
      </c>
      <c r="B19" s="376"/>
      <c r="C19" s="4" t="s">
        <v>270</v>
      </c>
      <c r="D19" s="376" t="s">
        <v>265</v>
      </c>
      <c r="E19" s="376"/>
      <c r="F19" s="4">
        <v>15</v>
      </c>
    </row>
    <row r="20" spans="1:6" ht="15.5" x14ac:dyDescent="0.35">
      <c r="A20" s="376" t="s">
        <v>267</v>
      </c>
      <c r="B20" s="376"/>
      <c r="C20" s="4" t="s">
        <v>270</v>
      </c>
      <c r="D20" s="376" t="s">
        <v>265</v>
      </c>
      <c r="E20" s="376"/>
      <c r="F20" s="4">
        <v>20</v>
      </c>
    </row>
    <row r="21" spans="1:6" ht="15.5" x14ac:dyDescent="0.35">
      <c r="A21" s="376" t="s">
        <v>28</v>
      </c>
      <c r="B21" s="376"/>
      <c r="C21" s="4" t="s">
        <v>263</v>
      </c>
      <c r="D21" s="376" t="s">
        <v>244</v>
      </c>
      <c r="E21" s="376"/>
      <c r="F21" s="4">
        <v>30</v>
      </c>
    </row>
    <row r="22" spans="1:6" ht="15.5" x14ac:dyDescent="0.35">
      <c r="A22" s="376" t="s">
        <v>268</v>
      </c>
      <c r="B22" s="376"/>
      <c r="C22" s="4" t="s">
        <v>263</v>
      </c>
      <c r="D22" s="376" t="s">
        <v>265</v>
      </c>
      <c r="E22" s="376"/>
      <c r="F22" s="4">
        <v>3</v>
      </c>
    </row>
    <row r="23" spans="1:6" ht="15.5" x14ac:dyDescent="0.35">
      <c r="A23" s="376" t="s">
        <v>269</v>
      </c>
      <c r="B23" s="376"/>
      <c r="C23" s="4" t="s">
        <v>263</v>
      </c>
      <c r="D23" s="376" t="s">
        <v>244</v>
      </c>
      <c r="E23" s="376"/>
      <c r="F23" s="4">
        <v>3</v>
      </c>
    </row>
    <row r="24" spans="1:6" ht="15.5" x14ac:dyDescent="0.35">
      <c r="A24" s="376" t="s">
        <v>271</v>
      </c>
      <c r="B24" s="376"/>
      <c r="C24" s="4" t="s">
        <v>276</v>
      </c>
      <c r="D24" s="376" t="s">
        <v>244</v>
      </c>
      <c r="E24" s="376"/>
      <c r="F24" s="4">
        <v>300</v>
      </c>
    </row>
    <row r="25" spans="1:6" ht="15.5" x14ac:dyDescent="0.35">
      <c r="A25" s="376" t="s">
        <v>272</v>
      </c>
      <c r="B25" s="376"/>
      <c r="C25" s="4" t="s">
        <v>277</v>
      </c>
      <c r="D25" s="376" t="s">
        <v>244</v>
      </c>
      <c r="E25" s="376"/>
      <c r="F25" s="4">
        <v>1000</v>
      </c>
    </row>
    <row r="26" spans="1:6" ht="15.5" x14ac:dyDescent="0.35">
      <c r="A26" s="376" t="s">
        <v>273</v>
      </c>
      <c r="B26" s="376"/>
      <c r="C26" s="4" t="s">
        <v>278</v>
      </c>
      <c r="D26" s="376" t="s">
        <v>244</v>
      </c>
      <c r="E26" s="376"/>
      <c r="F26" s="4">
        <v>400</v>
      </c>
    </row>
    <row r="27" spans="1:6" ht="15.5" x14ac:dyDescent="0.35">
      <c r="A27" s="376" t="s">
        <v>279</v>
      </c>
      <c r="B27" s="376"/>
      <c r="C27" s="4" t="s">
        <v>254</v>
      </c>
      <c r="D27" s="376" t="s">
        <v>244</v>
      </c>
      <c r="E27" s="376"/>
      <c r="F27" s="4">
        <v>4</v>
      </c>
    </row>
  </sheetData>
  <mergeCells count="53">
    <mergeCell ref="A27:B27"/>
    <mergeCell ref="D25:E25"/>
    <mergeCell ref="D26:E26"/>
    <mergeCell ref="D27:E27"/>
    <mergeCell ref="D23:E23"/>
    <mergeCell ref="A25:B25"/>
    <mergeCell ref="A26:B26"/>
    <mergeCell ref="A13:B13"/>
    <mergeCell ref="D13:E13"/>
    <mergeCell ref="D24:E24"/>
    <mergeCell ref="D18:E18"/>
    <mergeCell ref="A20:B20"/>
    <mergeCell ref="A21:B21"/>
    <mergeCell ref="A22:B22"/>
    <mergeCell ref="A23:B23"/>
    <mergeCell ref="A24:B24"/>
    <mergeCell ref="D19:E19"/>
    <mergeCell ref="D20:E20"/>
    <mergeCell ref="D21:E21"/>
    <mergeCell ref="D22:E22"/>
    <mergeCell ref="D17:E17"/>
    <mergeCell ref="A17:B17"/>
    <mergeCell ref="A18:B18"/>
    <mergeCell ref="D11:E11"/>
    <mergeCell ref="D12:E12"/>
    <mergeCell ref="D14:E14"/>
    <mergeCell ref="D15:E15"/>
    <mergeCell ref="D16:E16"/>
    <mergeCell ref="A19:B19"/>
    <mergeCell ref="D4:E4"/>
    <mergeCell ref="D5:E5"/>
    <mergeCell ref="D6:E6"/>
    <mergeCell ref="D7:E7"/>
    <mergeCell ref="D8:E8"/>
    <mergeCell ref="D9:E9"/>
    <mergeCell ref="D10:E10"/>
    <mergeCell ref="A10:B10"/>
    <mergeCell ref="A11:B11"/>
    <mergeCell ref="A12:B12"/>
    <mergeCell ref="A14:B14"/>
    <mergeCell ref="A15:B15"/>
    <mergeCell ref="A16:B16"/>
    <mergeCell ref="A4:B4"/>
    <mergeCell ref="A5:B5"/>
    <mergeCell ref="A6:B6"/>
    <mergeCell ref="A7:B7"/>
    <mergeCell ref="A8:B8"/>
    <mergeCell ref="A9:B9"/>
    <mergeCell ref="A1:F1"/>
    <mergeCell ref="A2:B2"/>
    <mergeCell ref="D2:E2"/>
    <mergeCell ref="A3:B3"/>
    <mergeCell ref="D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2:I28"/>
  <sheetViews>
    <sheetView zoomScale="110" zoomScaleNormal="110" workbookViewId="0">
      <selection activeCell="G22" sqref="G22"/>
    </sheetView>
  </sheetViews>
  <sheetFormatPr baseColWidth="10" defaultRowHeight="14.5" x14ac:dyDescent="0.35"/>
  <cols>
    <col min="2" max="2" width="23.81640625" customWidth="1"/>
    <col min="3" max="3" width="18.81640625" customWidth="1"/>
    <col min="4" max="4" width="16.90625" customWidth="1"/>
    <col min="5" max="5" width="19.81640625" customWidth="1"/>
    <col min="6" max="6" width="20.7265625" bestFit="1" customWidth="1"/>
    <col min="7" max="7" width="16.54296875" customWidth="1"/>
    <col min="8" max="8" width="14.453125" customWidth="1"/>
    <col min="9" max="10" width="18.453125" customWidth="1"/>
  </cols>
  <sheetData>
    <row r="2" spans="1:9" ht="15.5" x14ac:dyDescent="0.35">
      <c r="A2" s="374" t="s">
        <v>236</v>
      </c>
      <c r="B2" s="374"/>
      <c r="C2" s="374"/>
      <c r="D2" s="374"/>
      <c r="E2" s="12"/>
      <c r="G2" s="66"/>
    </row>
    <row r="3" spans="1:9" ht="15.5" x14ac:dyDescent="0.35">
      <c r="A3" s="14" t="s">
        <v>280</v>
      </c>
      <c r="B3" s="14" t="s">
        <v>281</v>
      </c>
      <c r="C3" s="194" t="s">
        <v>282</v>
      </c>
      <c r="D3" s="14" t="s">
        <v>283</v>
      </c>
      <c r="E3" s="196"/>
      <c r="F3" s="90" t="s">
        <v>386</v>
      </c>
    </row>
    <row r="4" spans="1:9" ht="15.5" x14ac:dyDescent="0.35">
      <c r="A4" s="4" t="s">
        <v>284</v>
      </c>
      <c r="B4" s="4">
        <f>18250-(18250*40%)</f>
        <v>10950</v>
      </c>
      <c r="C4" s="195">
        <v>23500</v>
      </c>
      <c r="D4" s="4">
        <f>F4*50%</f>
        <v>71540</v>
      </c>
      <c r="F4" s="91">
        <f>392*365</f>
        <v>143080</v>
      </c>
    </row>
    <row r="5" spans="1:9" ht="15.5" x14ac:dyDescent="0.35">
      <c r="A5" s="4" t="s">
        <v>285</v>
      </c>
      <c r="B5" s="4">
        <f>B4-(B4*40%)</f>
        <v>6570</v>
      </c>
      <c r="C5" s="195">
        <f>C4*38%+C4</f>
        <v>32430</v>
      </c>
      <c r="D5" s="67">
        <f>F4*0.6</f>
        <v>85848</v>
      </c>
      <c r="I5" s="66"/>
    </row>
    <row r="6" spans="1:9" ht="15.5" x14ac:dyDescent="0.35">
      <c r="A6" s="4" t="s">
        <v>286</v>
      </c>
      <c r="B6" s="4">
        <f>B5-(B5*40%)</f>
        <v>3942</v>
      </c>
      <c r="C6" s="195">
        <f>C5*38%+C5</f>
        <v>44753.4</v>
      </c>
      <c r="D6" s="67">
        <f>F4*0.7</f>
        <v>100156</v>
      </c>
    </row>
    <row r="7" spans="1:9" ht="15.5" x14ac:dyDescent="0.35">
      <c r="A7" s="4" t="s">
        <v>288</v>
      </c>
      <c r="B7" s="4">
        <f>B6-(B6*40%)</f>
        <v>2365.1999999999998</v>
      </c>
      <c r="C7" s="195">
        <f>C6*38%+C6</f>
        <v>61759.692000000003</v>
      </c>
      <c r="D7" s="67">
        <f>F4</f>
        <v>143080</v>
      </c>
    </row>
    <row r="8" spans="1:9" ht="15.5" x14ac:dyDescent="0.35">
      <c r="A8" s="4" t="s">
        <v>287</v>
      </c>
      <c r="B8" s="4">
        <f>B7-(B7*40%)</f>
        <v>1419.12</v>
      </c>
      <c r="C8" s="195">
        <f>C7*38%+C7</f>
        <v>85228.374960000001</v>
      </c>
      <c r="D8" s="67">
        <f>F4</f>
        <v>143080</v>
      </c>
    </row>
    <row r="9" spans="1:9" x14ac:dyDescent="0.35">
      <c r="I9" s="325"/>
    </row>
    <row r="10" spans="1:9" ht="15.5" x14ac:dyDescent="0.35">
      <c r="A10" s="377"/>
      <c r="B10" s="377"/>
      <c r="C10" s="377"/>
      <c r="D10" s="377"/>
    </row>
    <row r="11" spans="1:9" ht="15.5" x14ac:dyDescent="0.35">
      <c r="A11" s="92"/>
      <c r="B11" s="384" t="s">
        <v>532</v>
      </c>
      <c r="C11" s="384"/>
      <c r="D11" s="92"/>
      <c r="E11" s="382" t="s">
        <v>530</v>
      </c>
      <c r="F11" s="382"/>
      <c r="H11" s="378" t="s">
        <v>535</v>
      </c>
      <c r="I11" s="378"/>
    </row>
    <row r="12" spans="1:9" ht="15.5" x14ac:dyDescent="0.35">
      <c r="A12" s="92"/>
      <c r="B12" s="385" t="s">
        <v>386</v>
      </c>
      <c r="C12" s="385"/>
      <c r="D12" s="92"/>
      <c r="E12" s="381" t="s">
        <v>386</v>
      </c>
      <c r="F12" s="381"/>
      <c r="H12" s="379" t="s">
        <v>386</v>
      </c>
      <c r="I12" s="379"/>
    </row>
    <row r="13" spans="1:9" ht="15.5" x14ac:dyDescent="0.35">
      <c r="B13" s="386" t="s">
        <v>387</v>
      </c>
      <c r="C13" s="386"/>
      <c r="E13" s="383" t="str">
        <f>B13</f>
        <v>143.080 Unidades/año</v>
      </c>
      <c r="F13" s="383"/>
      <c r="H13" s="380" t="str">
        <f>E13</f>
        <v>143.080 Unidades/año</v>
      </c>
      <c r="I13" s="380"/>
    </row>
    <row r="14" spans="1:9" ht="15.5" x14ac:dyDescent="0.35">
      <c r="B14" s="374" t="s">
        <v>382</v>
      </c>
      <c r="C14" s="374"/>
      <c r="E14" s="381" t="s">
        <v>382</v>
      </c>
      <c r="F14" s="381"/>
      <c r="H14" s="379" t="s">
        <v>382</v>
      </c>
      <c r="I14" s="379"/>
    </row>
    <row r="15" spans="1:9" ht="15.5" x14ac:dyDescent="0.35">
      <c r="B15" s="14" t="s">
        <v>384</v>
      </c>
      <c r="C15" s="14" t="s">
        <v>385</v>
      </c>
      <c r="E15" s="14" t="s">
        <v>384</v>
      </c>
      <c r="F15" s="14" t="s">
        <v>531</v>
      </c>
      <c r="H15" s="14" t="s">
        <v>384</v>
      </c>
      <c r="I15" s="14" t="s">
        <v>531</v>
      </c>
    </row>
    <row r="16" spans="1:9" ht="15.5" x14ac:dyDescent="0.35">
      <c r="B16" s="44" t="s">
        <v>284</v>
      </c>
      <c r="C16" s="93">
        <f>D4/F$4*100%</f>
        <v>0.5</v>
      </c>
      <c r="E16" s="8" t="s">
        <v>284</v>
      </c>
      <c r="F16" s="301">
        <f>(C4/F$4)*100%</f>
        <v>0.16424377970366227</v>
      </c>
      <c r="H16" s="4" t="s">
        <v>284</v>
      </c>
      <c r="I16" s="200">
        <f>B4/F$4*100%</f>
        <v>7.6530612244897961E-2</v>
      </c>
    </row>
    <row r="17" spans="2:9" ht="15.5" x14ac:dyDescent="0.35">
      <c r="B17" s="44" t="s">
        <v>285</v>
      </c>
      <c r="C17" s="93">
        <f>D5/F$4*100%</f>
        <v>0.6</v>
      </c>
      <c r="E17" s="8" t="s">
        <v>285</v>
      </c>
      <c r="F17" s="301">
        <f t="shared" ref="F17:F20" si="0">C5/F$4*100%</f>
        <v>0.22665641599105396</v>
      </c>
      <c r="H17" s="4" t="s">
        <v>285</v>
      </c>
      <c r="I17" s="200">
        <f t="shared" ref="I17:I20" si="1">B5/F$4*100%</f>
        <v>4.5918367346938778E-2</v>
      </c>
    </row>
    <row r="18" spans="2:9" ht="15.5" x14ac:dyDescent="0.35">
      <c r="B18" s="44" t="s">
        <v>286</v>
      </c>
      <c r="C18" s="93">
        <f>D6/F$4*100%</f>
        <v>0.7</v>
      </c>
      <c r="E18" s="8" t="s">
        <v>286</v>
      </c>
      <c r="F18" s="301">
        <f t="shared" si="0"/>
        <v>0.31278585406765447</v>
      </c>
      <c r="H18" s="4" t="s">
        <v>286</v>
      </c>
      <c r="I18" s="200">
        <f t="shared" si="1"/>
        <v>2.7551020408163266E-2</v>
      </c>
    </row>
    <row r="19" spans="2:9" ht="15.5" x14ac:dyDescent="0.35">
      <c r="B19" s="44" t="s">
        <v>383</v>
      </c>
      <c r="C19" s="197">
        <f>D7/F$4*100%</f>
        <v>1</v>
      </c>
      <c r="D19" s="181"/>
      <c r="E19" s="8" t="s">
        <v>383</v>
      </c>
      <c r="F19" s="301">
        <f t="shared" si="0"/>
        <v>0.43164447861336319</v>
      </c>
      <c r="H19" s="4" t="s">
        <v>383</v>
      </c>
      <c r="I19" s="200">
        <f t="shared" si="1"/>
        <v>1.653061224489796E-2</v>
      </c>
    </row>
    <row r="20" spans="2:9" ht="15.5" x14ac:dyDescent="0.35">
      <c r="B20" s="44" t="s">
        <v>287</v>
      </c>
      <c r="C20" s="197">
        <f>D8/F$4*100%</f>
        <v>1</v>
      </c>
      <c r="E20" s="8" t="s">
        <v>287</v>
      </c>
      <c r="F20" s="302">
        <f t="shared" si="0"/>
        <v>0.59566938048644114</v>
      </c>
      <c r="H20" s="4" t="s">
        <v>287</v>
      </c>
      <c r="I20" s="200">
        <f t="shared" si="1"/>
        <v>9.9183673469387754E-3</v>
      </c>
    </row>
    <row r="22" spans="2:9" ht="15" x14ac:dyDescent="0.35">
      <c r="B22" s="374" t="s">
        <v>236</v>
      </c>
      <c r="C22" s="374"/>
      <c r="D22" s="374"/>
      <c r="E22" s="374"/>
    </row>
    <row r="23" spans="2:9" ht="15" x14ac:dyDescent="0.35">
      <c r="B23" s="5" t="s">
        <v>280</v>
      </c>
      <c r="C23" s="5" t="s">
        <v>281</v>
      </c>
      <c r="D23" s="303" t="s">
        <v>282</v>
      </c>
      <c r="E23" s="5" t="s">
        <v>283</v>
      </c>
    </row>
    <row r="24" spans="2:9" ht="15.5" x14ac:dyDescent="0.35">
      <c r="B24" s="44" t="s">
        <v>284</v>
      </c>
      <c r="C24" s="54">
        <f>I16</f>
        <v>7.6530612244897961E-2</v>
      </c>
      <c r="D24" s="304">
        <f>F16</f>
        <v>0.16424377970366227</v>
      </c>
      <c r="E24" s="54">
        <f>C16</f>
        <v>0.5</v>
      </c>
    </row>
    <row r="25" spans="2:9" ht="15.5" x14ac:dyDescent="0.35">
      <c r="B25" s="44" t="s">
        <v>285</v>
      </c>
      <c r="C25" s="54">
        <f t="shared" ref="C25:C28" si="2">I17</f>
        <v>4.5918367346938778E-2</v>
      </c>
      <c r="D25" s="304">
        <f t="shared" ref="D25:D28" si="3">F17</f>
        <v>0.22665641599105396</v>
      </c>
      <c r="E25" s="54">
        <f t="shared" ref="E25:E28" si="4">C17</f>
        <v>0.6</v>
      </c>
    </row>
    <row r="26" spans="2:9" ht="15.5" x14ac:dyDescent="0.35">
      <c r="B26" s="44" t="s">
        <v>286</v>
      </c>
      <c r="C26" s="54">
        <f t="shared" si="2"/>
        <v>2.7551020408163266E-2</v>
      </c>
      <c r="D26" s="304">
        <f t="shared" si="3"/>
        <v>0.31278585406765447</v>
      </c>
      <c r="E26" s="54">
        <f t="shared" si="4"/>
        <v>0.7</v>
      </c>
    </row>
    <row r="27" spans="2:9" ht="15.5" x14ac:dyDescent="0.35">
      <c r="B27" s="44" t="s">
        <v>288</v>
      </c>
      <c r="C27" s="54">
        <f t="shared" si="2"/>
        <v>1.653061224489796E-2</v>
      </c>
      <c r="D27" s="304">
        <f t="shared" si="3"/>
        <v>0.43164447861336319</v>
      </c>
      <c r="E27" s="54">
        <f t="shared" si="4"/>
        <v>1</v>
      </c>
    </row>
    <row r="28" spans="2:9" ht="15.5" x14ac:dyDescent="0.35">
      <c r="B28" s="44" t="s">
        <v>287</v>
      </c>
      <c r="C28" s="54">
        <f t="shared" si="2"/>
        <v>9.9183673469387754E-3</v>
      </c>
      <c r="D28" s="304">
        <f t="shared" si="3"/>
        <v>0.59566938048644114</v>
      </c>
      <c r="E28" s="54">
        <f t="shared" si="4"/>
        <v>1</v>
      </c>
    </row>
  </sheetData>
  <mergeCells count="15">
    <mergeCell ref="H14:I14"/>
    <mergeCell ref="B22:E22"/>
    <mergeCell ref="E12:F12"/>
    <mergeCell ref="E11:F11"/>
    <mergeCell ref="E13:F13"/>
    <mergeCell ref="E14:F14"/>
    <mergeCell ref="B11:C11"/>
    <mergeCell ref="B14:C14"/>
    <mergeCell ref="B12:C12"/>
    <mergeCell ref="B13:C13"/>
    <mergeCell ref="A10:D10"/>
    <mergeCell ref="A2:D2"/>
    <mergeCell ref="H11:I11"/>
    <mergeCell ref="H12:I12"/>
    <mergeCell ref="H13:I13"/>
  </mergeCells>
  <phoneticPr fontId="3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13"/>
  <sheetViews>
    <sheetView topLeftCell="F1" workbookViewId="0">
      <selection activeCell="H14" sqref="H14"/>
    </sheetView>
  </sheetViews>
  <sheetFormatPr baseColWidth="10" defaultRowHeight="14.5" x14ac:dyDescent="0.35"/>
  <cols>
    <col min="3" max="3" width="17.81640625" customWidth="1"/>
    <col min="4" max="4" width="13.7265625" bestFit="1" customWidth="1"/>
    <col min="6" max="6" width="21.54296875" customWidth="1"/>
  </cols>
  <sheetData>
    <row r="1" spans="1:6" ht="15.5" x14ac:dyDescent="0.35">
      <c r="A1" s="358" t="s">
        <v>157</v>
      </c>
      <c r="B1" s="358"/>
      <c r="C1" s="358"/>
      <c r="D1" s="358"/>
      <c r="E1" s="358"/>
      <c r="F1" s="358"/>
    </row>
    <row r="2" spans="1:6" ht="15.5" x14ac:dyDescent="0.35">
      <c r="A2" s="373" t="s">
        <v>158</v>
      </c>
      <c r="B2" s="373"/>
      <c r="C2" s="373"/>
      <c r="D2" s="373" t="s">
        <v>159</v>
      </c>
      <c r="E2" s="373"/>
      <c r="F2" s="373"/>
    </row>
    <row r="3" spans="1:6" ht="15.5" x14ac:dyDescent="0.35">
      <c r="A3" s="376" t="s">
        <v>160</v>
      </c>
      <c r="B3" s="376"/>
      <c r="C3" s="376"/>
      <c r="D3" s="389">
        <v>10500000</v>
      </c>
      <c r="E3" s="389"/>
      <c r="F3" s="389"/>
    </row>
    <row r="4" spans="1:6" ht="15.5" x14ac:dyDescent="0.35">
      <c r="A4" s="376" t="s">
        <v>161</v>
      </c>
      <c r="B4" s="376"/>
      <c r="C4" s="376"/>
      <c r="D4" s="389">
        <v>2500000</v>
      </c>
      <c r="E4" s="389"/>
      <c r="F4" s="389"/>
    </row>
    <row r="5" spans="1:6" ht="15.5" x14ac:dyDescent="0.35">
      <c r="A5" s="376" t="s">
        <v>340</v>
      </c>
      <c r="B5" s="376"/>
      <c r="C5" s="376"/>
      <c r="D5" s="389">
        <v>4300000</v>
      </c>
      <c r="E5" s="389"/>
      <c r="F5" s="389"/>
    </row>
    <row r="6" spans="1:6" ht="15.5" x14ac:dyDescent="0.35">
      <c r="A6" s="387" t="s">
        <v>162</v>
      </c>
      <c r="B6" s="387"/>
      <c r="C6" s="387"/>
      <c r="D6" s="390">
        <f>SUM(D3:F5)</f>
        <v>17300000</v>
      </c>
      <c r="E6" s="390"/>
      <c r="F6" s="390"/>
    </row>
    <row r="7" spans="1:6" x14ac:dyDescent="0.35">
      <c r="A7" s="393"/>
      <c r="B7" s="393"/>
      <c r="C7" s="393"/>
      <c r="D7" s="393"/>
      <c r="E7" s="393"/>
      <c r="F7" s="393"/>
    </row>
    <row r="8" spans="1:6" ht="15" x14ac:dyDescent="0.35">
      <c r="A8" s="388" t="s">
        <v>164</v>
      </c>
      <c r="B8" s="388"/>
      <c r="C8" s="388"/>
      <c r="D8" s="388" t="s">
        <v>163</v>
      </c>
      <c r="E8" s="388"/>
      <c r="F8" s="388"/>
    </row>
    <row r="9" spans="1:6" ht="15.5" x14ac:dyDescent="0.35">
      <c r="A9" s="376"/>
      <c r="B9" s="376"/>
      <c r="C9" s="376"/>
      <c r="D9" s="389">
        <v>0</v>
      </c>
      <c r="E9" s="389"/>
      <c r="F9" s="389"/>
    </row>
    <row r="10" spans="1:6" ht="15.5" x14ac:dyDescent="0.35">
      <c r="A10" s="387" t="s">
        <v>165</v>
      </c>
      <c r="B10" s="387"/>
      <c r="C10" s="387"/>
      <c r="D10" s="394">
        <f>D9</f>
        <v>0</v>
      </c>
      <c r="E10" s="387"/>
      <c r="F10" s="387"/>
    </row>
    <row r="11" spans="1:6" x14ac:dyDescent="0.35">
      <c r="A11" s="393"/>
      <c r="B11" s="393"/>
      <c r="C11" s="393"/>
      <c r="D11" s="393"/>
      <c r="E11" s="393"/>
      <c r="F11" s="393"/>
    </row>
    <row r="12" spans="1:6" ht="60.65" customHeight="1" x14ac:dyDescent="0.35">
      <c r="A12" s="391" t="s">
        <v>166</v>
      </c>
      <c r="B12" s="391"/>
      <c r="C12" s="391"/>
      <c r="D12" s="89">
        <f>D6-D10</f>
        <v>17300000</v>
      </c>
      <c r="E12" s="395"/>
      <c r="F12" s="396"/>
    </row>
    <row r="13" spans="1:6" ht="15.5" x14ac:dyDescent="0.35">
      <c r="A13" s="392"/>
      <c r="B13" s="392"/>
      <c r="C13" s="392"/>
      <c r="D13" s="392"/>
      <c r="E13" s="392"/>
      <c r="F13" s="392"/>
    </row>
  </sheetData>
  <mergeCells count="22">
    <mergeCell ref="A12:C12"/>
    <mergeCell ref="A13:F13"/>
    <mergeCell ref="A7:F7"/>
    <mergeCell ref="A9:C9"/>
    <mergeCell ref="A10:C10"/>
    <mergeCell ref="D9:F9"/>
    <mergeCell ref="D10:F10"/>
    <mergeCell ref="A11:F11"/>
    <mergeCell ref="E12:F12"/>
    <mergeCell ref="A5:C5"/>
    <mergeCell ref="A6:C6"/>
    <mergeCell ref="A8:C8"/>
    <mergeCell ref="D3:F3"/>
    <mergeCell ref="D4:F4"/>
    <mergeCell ref="D5:F5"/>
    <mergeCell ref="D6:F6"/>
    <mergeCell ref="D8:F8"/>
    <mergeCell ref="A2:C2"/>
    <mergeCell ref="A1:F1"/>
    <mergeCell ref="D2:F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E14"/>
  <sheetViews>
    <sheetView workbookViewId="0">
      <selection activeCell="A12" sqref="A12"/>
    </sheetView>
  </sheetViews>
  <sheetFormatPr baseColWidth="10" defaultRowHeight="14.5" x14ac:dyDescent="0.35"/>
  <cols>
    <col min="1" max="1" width="23" customWidth="1"/>
    <col min="2" max="2" width="19.7265625" customWidth="1"/>
    <col min="3" max="3" width="13.81640625" bestFit="1" customWidth="1"/>
    <col min="5" max="5" width="29.54296875" customWidth="1"/>
  </cols>
  <sheetData>
    <row r="1" spans="1:5" ht="15" x14ac:dyDescent="0.35">
      <c r="A1" s="69" t="s">
        <v>359</v>
      </c>
      <c r="B1" s="69" t="s">
        <v>360</v>
      </c>
      <c r="C1" s="69" t="s">
        <v>361</v>
      </c>
      <c r="D1" s="374" t="s">
        <v>365</v>
      </c>
      <c r="E1" s="374"/>
    </row>
    <row r="2" spans="1:5" ht="52" customHeight="1" x14ac:dyDescent="0.35">
      <c r="A2" s="44" t="s">
        <v>362</v>
      </c>
      <c r="B2" s="43" t="s">
        <v>375</v>
      </c>
      <c r="C2" s="82">
        <v>0</v>
      </c>
      <c r="D2" s="363" t="s">
        <v>377</v>
      </c>
      <c r="E2" s="363"/>
    </row>
    <row r="3" spans="1:5" ht="50.5" customHeight="1" x14ac:dyDescent="0.35">
      <c r="A3" s="44" t="s">
        <v>363</v>
      </c>
      <c r="B3" s="43" t="s">
        <v>375</v>
      </c>
      <c r="C3" s="82">
        <v>0</v>
      </c>
      <c r="D3" s="363" t="s">
        <v>372</v>
      </c>
      <c r="E3" s="363"/>
    </row>
    <row r="4" spans="1:5" ht="47.5" customHeight="1" x14ac:dyDescent="0.35">
      <c r="A4" s="44" t="s">
        <v>364</v>
      </c>
      <c r="B4" s="43" t="s">
        <v>375</v>
      </c>
      <c r="C4" s="82">
        <v>517000</v>
      </c>
      <c r="D4" s="363" t="s">
        <v>381</v>
      </c>
      <c r="E4" s="363"/>
    </row>
    <row r="5" spans="1:5" ht="46.5" customHeight="1" x14ac:dyDescent="0.35">
      <c r="A5" s="44" t="s">
        <v>371</v>
      </c>
      <c r="B5" s="44" t="s">
        <v>366</v>
      </c>
      <c r="C5" s="83">
        <v>191000</v>
      </c>
      <c r="D5" s="363" t="s">
        <v>373</v>
      </c>
      <c r="E5" s="363"/>
    </row>
    <row r="6" spans="1:5" ht="54" customHeight="1" x14ac:dyDescent="0.35">
      <c r="A6" s="44" t="s">
        <v>368</v>
      </c>
      <c r="B6" s="44" t="s">
        <v>367</v>
      </c>
      <c r="C6" s="82">
        <v>250000</v>
      </c>
      <c r="D6" s="363" t="s">
        <v>376</v>
      </c>
      <c r="E6" s="363"/>
    </row>
    <row r="7" spans="1:5" ht="79" customHeight="1" x14ac:dyDescent="0.35">
      <c r="A7" s="44" t="s">
        <v>369</v>
      </c>
      <c r="B7" s="44" t="s">
        <v>370</v>
      </c>
      <c r="C7" s="44" t="s">
        <v>99</v>
      </c>
      <c r="D7" s="363" t="s">
        <v>374</v>
      </c>
      <c r="E7" s="363"/>
    </row>
    <row r="8" spans="1:5" ht="15" x14ac:dyDescent="0.35">
      <c r="A8" s="374" t="s">
        <v>69</v>
      </c>
      <c r="B8" s="374"/>
      <c r="C8" s="84">
        <f>SUM(C2:C6)</f>
        <v>958000</v>
      </c>
      <c r="D8" s="393"/>
      <c r="E8" s="393"/>
    </row>
    <row r="10" spans="1:5" x14ac:dyDescent="0.35">
      <c r="A10" s="397"/>
      <c r="B10" s="397"/>
    </row>
    <row r="11" spans="1:5" ht="35.15" customHeight="1" x14ac:dyDescent="0.35">
      <c r="A11" s="5" t="s">
        <v>379</v>
      </c>
      <c r="B11" s="51" t="s">
        <v>380</v>
      </c>
    </row>
    <row r="12" spans="1:5" ht="15.5" x14ac:dyDescent="0.35">
      <c r="A12" s="85" t="s">
        <v>284</v>
      </c>
      <c r="B12" s="86">
        <v>517000</v>
      </c>
    </row>
    <row r="13" spans="1:5" ht="15.5" x14ac:dyDescent="0.35">
      <c r="A13" s="87" t="s">
        <v>285</v>
      </c>
      <c r="B13" s="88">
        <v>504000</v>
      </c>
    </row>
    <row r="14" spans="1:5" ht="15.5" x14ac:dyDescent="0.35">
      <c r="A14" s="87" t="s">
        <v>378</v>
      </c>
      <c r="B14" s="88">
        <v>504500</v>
      </c>
    </row>
  </sheetData>
  <mergeCells count="10">
    <mergeCell ref="A8:B8"/>
    <mergeCell ref="D8:E8"/>
    <mergeCell ref="A10:B10"/>
    <mergeCell ref="D1:E1"/>
    <mergeCell ref="D2:E2"/>
    <mergeCell ref="D3:E3"/>
    <mergeCell ref="D6:E6"/>
    <mergeCell ref="D7:E7"/>
    <mergeCell ref="D4:E4"/>
    <mergeCell ref="D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T Y 3 2 V l j Q R R e i A A A A 9 g A A A B I A H A B D b 2 5 m a W c v U G F j a 2 F n Z S 5 4 b W w g o h g A K K A U A A A A A A A A A A A A A A A A A A A A A A A A A A A A h Y + 9 D o I w G E V f h X S n f y 6 E f J S B V a K J i X F t S o V G K I Y W y 7 s 5 + E i + g h h F 3 R z v u W e 4 9 3 6 9 Q T 5 1 b X T R g z O 9 z R D D F E X a q r 4 y t s 7 Q 6 I 9 x g n I B W 6 l O s t b R L F u X T q 7 K U O P 9 O S U k h I D D C v d D T T i l j B z K 9 U 4 1 u p P o I 5 v / c m y s 8 9 I q j Q T s X 2 M E x 4 w l m F O O K Z A F Q m n s V + D z 3 m f 7 A 6 E Y W z 8 O W m g X F x s g S w T y / i A e U E s D B B Q A A g A I A E 2 N 9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j f Z W K I p H u A 4 A A A A R A A A A E w A c A E Z v c m 1 1 b G F z L 1 N l Y 3 R p b 2 4 x L m 0 g o h g A K K A U A A A A A A A A A A A A A A A A A A A A A A A A A A A A K 0 5 N L s n M z 1 M I h t C G 1 g B Q S w E C L Q A U A A I A C A B N j f Z W W N B F F 6 I A A A D 2 A A A A E g A A A A A A A A A A A A A A A A A A A A A A Q 2 9 u Z m l n L 1 B h Y 2 t h Z 2 U u e G 1 s U E s B A i 0 A F A A C A A g A T Y 3 2 V g / K 6 a u k A A A A 6 Q A A A B M A A A A A A A A A A A A A A A A A 7 g A A A F t D b 2 5 0 Z W 5 0 X 1 R 5 c G V z X S 5 4 b W x Q S w E C L Q A U A A I A C A B N j f Z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M N U E u S / t 0 C S 8 t g 8 m s b a f g A A A A A C A A A A A A A Q Z g A A A A E A A C A A A A B y U Z S 3 Y o D 8 Z E G k w Y 2 U m n T l m l 1 C 5 Q 8 t V + 6 K O R 1 A T I v W P Q A A A A A O g A A A A A I A A C A A A A C 1 8 g 7 f M V q i k p U q L Q I J m n v o Q B p p 0 y f 7 F Y 3 F p W M Y t w 7 S J 1 A A A A C A F P q n i C K 5 b s X y z M L P 2 x w w 2 p 4 + b x E c s B 3 v w l i 3 S G t g i t j z n w j E 5 d O M 3 9 z r A p u F b d j O 7 0 / i F 0 Y 6 M T E h m g K + y 1 R H z j e 8 v 2 C l C p U f h V p u b o e / L k A A A A A w D + + H 3 6 V 9 D R f / K W v G e 2 / n u S 0 0 4 d l Q l F S t d P B H l 9 N c 5 a S i Z Q q 3 l E g m 6 M l b A 6 l w s t 9 F t P I X T Q K 8 G 1 i G 3 B d M 3 V R 3 < / D a t a M a s h u p > 
</file>

<file path=customXml/itemProps1.xml><?xml version="1.0" encoding="utf-8"?>
<ds:datastoreItem xmlns:ds="http://schemas.openxmlformats.org/officeDocument/2006/customXml" ds:itemID="{3192C45A-993A-408D-9774-23EFB6C74A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MAQUINARIA Y EQUIPO</vt:lpstr>
      <vt:lpstr>COSTOS FIJO-NOMINA</vt:lpstr>
      <vt:lpstr>TOTAL INVERSIONES</vt:lpstr>
      <vt:lpstr>ACTIVOS INTANGIBLES</vt:lpstr>
      <vt:lpstr>ACTIVOS DEPRECIABLES</vt:lpstr>
      <vt:lpstr>PROVEEDORES</vt:lpstr>
      <vt:lpstr>PROYECCIÓN DE DEMANDA Y % CAPAC</vt:lpstr>
      <vt:lpstr>CAPITAL DE TRABAJO</vt:lpstr>
      <vt:lpstr>GASTOS LEGALES</vt:lpstr>
      <vt:lpstr>PARÁMETROS DEL MODELO</vt:lpstr>
      <vt:lpstr>An. Sensibilidad-Precio Venta</vt:lpstr>
      <vt:lpstr>An. Sensibilidad % Capacidad</vt:lpstr>
      <vt:lpstr>Ana. Sensibilidad CV</vt:lpstr>
      <vt:lpstr>An. Sensibilidad CF</vt:lpstr>
      <vt:lpstr>ESTUDIO FINANCIERO CONSTANTE</vt:lpstr>
      <vt:lpstr>VALOR DE RESCATE</vt:lpstr>
      <vt:lpstr>SUBPROCESO DE COMPRAS</vt:lpstr>
      <vt:lpstr>PREPA. DE INGREDIENTES</vt:lpstr>
      <vt:lpstr>MISE EN PLACE-BÁCON BECHAMEL</vt:lpstr>
      <vt:lpstr> PREPARACIÓN SALSA BECHAMEL</vt:lpstr>
      <vt:lpstr>BÁCON BECHAMEL-COCCIÓN PECHUGA</vt:lpstr>
      <vt:lpstr>COSTO DE PRODUCCIÓN SIMPLY</vt:lpstr>
      <vt:lpstr>COSTO DE PRODUCCIÓN PORC 20 CM</vt:lpstr>
      <vt:lpstr>COSTO DE PRODUCCIÓN BÁCON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Rodríguez Sierra</dc:creator>
  <cp:lastModifiedBy>José Hernán Medina Olivera</cp:lastModifiedBy>
  <dcterms:created xsi:type="dcterms:W3CDTF">2023-01-16T22:44:58Z</dcterms:created>
  <dcterms:modified xsi:type="dcterms:W3CDTF">2023-10-05T21:44:34Z</dcterms:modified>
</cp:coreProperties>
</file>