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esktop\SRS\Practica-UdeA- Trabajo de grado\"/>
    </mc:Choice>
  </mc:AlternateContent>
  <xr:revisionPtr revIDLastSave="0" documentId="8_{64497F7E-F050-46F2-9B8D-21A6FE8D41E5}" xr6:coauthVersionLast="47" xr6:coauthVersionMax="47" xr10:uidLastSave="{00000000-0000-0000-0000-000000000000}"/>
  <bookViews>
    <workbookView xWindow="-120" yWindow="-120" windowWidth="29040" windowHeight="15720" firstSheet="6" activeTab="9" xr2:uid="{DD215A46-DAE3-496A-8BD3-8A7EA518E724}"/>
  </bookViews>
  <sheets>
    <sheet name="INDICE" sheetId="11" r:id="rId1"/>
    <sheet name="Nomenclatura" sheetId="6" r:id="rId2"/>
    <sheet name="Input" sheetId="1" r:id="rId3"/>
    <sheet name="Dimensiones Muro" sheetId="5" r:id="rId4"/>
    <sheet name="Cálculo de Pa y Pp" sheetId="7" r:id="rId5"/>
    <sheet name="Fuerzas" sheetId="8" r:id="rId6"/>
    <sheet name="Tabla resumen de fuerzas" sheetId="9" r:id="rId7"/>
    <sheet name="LFRD" sheetId="10" r:id="rId8"/>
    <sheet name="Capacidad de Carga" sheetId="12" r:id="rId9"/>
    <sheet name="Verificación de resultados" sheetId="14" r:id="rId10"/>
    <sheet name="Diseño de acero" sheetId="13" state="hidden" r:id="rId11"/>
    <sheet name="Resumen de refuerzo" sheetId="15" state="hidden" r:id="rId12"/>
    <sheet name="Diseño Final de muro" sheetId="16" state="hidden"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10" l="1"/>
  <c r="F73" i="10"/>
  <c r="F19" i="10"/>
  <c r="F20" i="10"/>
  <c r="F64" i="8"/>
  <c r="K9" i="8"/>
  <c r="P41" i="10"/>
  <c r="A22" i="8"/>
  <c r="L21" i="10"/>
  <c r="F47" i="12"/>
  <c r="G19" i="12"/>
  <c r="G17" i="10"/>
  <c r="F17" i="10"/>
  <c r="E58" i="7"/>
  <c r="G101" i="7" l="1"/>
  <c r="G13" i="5" l="1"/>
  <c r="G15" i="5" s="1"/>
  <c r="E71" i="13" l="1"/>
  <c r="E72" i="13"/>
  <c r="G71" i="13"/>
  <c r="H71" i="13"/>
  <c r="G72" i="13"/>
  <c r="H72" i="13"/>
  <c r="D102" i="1" l="1"/>
  <c r="E81" i="12" s="1"/>
  <c r="F53" i="12" l="1"/>
  <c r="F52" i="12"/>
  <c r="F51" i="12"/>
  <c r="AU19" i="10"/>
  <c r="H22" i="12"/>
  <c r="I20" i="12"/>
  <c r="I21" i="12"/>
  <c r="H23" i="12"/>
  <c r="H24" i="12"/>
  <c r="I25" i="12"/>
  <c r="I26" i="12"/>
  <c r="D9" i="10"/>
  <c r="D11" i="12"/>
  <c r="D10" i="12"/>
  <c r="D8" i="10" s="1"/>
  <c r="D9" i="12"/>
  <c r="D7" i="10" s="1"/>
  <c r="E108" i="1"/>
  <c r="D13" i="9"/>
  <c r="F55" i="8"/>
  <c r="F59" i="12" l="1"/>
  <c r="F58" i="12"/>
  <c r="F57" i="12"/>
  <c r="E86" i="12"/>
  <c r="F74" i="8"/>
  <c r="E40" i="7"/>
  <c r="E26" i="7"/>
  <c r="K10" i="7"/>
  <c r="F31" i="1"/>
  <c r="F18" i="1"/>
  <c r="E63" i="7"/>
  <c r="E9" i="7" l="1"/>
  <c r="E65" i="7" s="1"/>
  <c r="G26" i="7"/>
  <c r="G40" i="7"/>
  <c r="E38" i="7"/>
  <c r="D43" i="1"/>
  <c r="G55" i="1" s="1"/>
  <c r="G12" i="5"/>
  <c r="D12" i="5" s="1"/>
  <c r="D12" i="9" s="1"/>
  <c r="E62" i="13"/>
  <c r="G62" i="13" s="1"/>
  <c r="E130" i="13"/>
  <c r="E131" i="13" s="1"/>
  <c r="G131" i="13" s="1"/>
  <c r="D17" i="15" s="1"/>
  <c r="E188" i="13"/>
  <c r="E189" i="13" s="1"/>
  <c r="G189" i="13" s="1"/>
  <c r="D13" i="15" s="1"/>
  <c r="E248" i="13"/>
  <c r="G248" i="13" s="1"/>
  <c r="E266" i="13"/>
  <c r="E214" i="13"/>
  <c r="E215" i="13" s="1"/>
  <c r="E240" i="13"/>
  <c r="E241" i="13" s="1"/>
  <c r="G241" i="13" s="1"/>
  <c r="C18" i="15" s="1"/>
  <c r="G18" i="15"/>
  <c r="H18" i="15" s="1"/>
  <c r="F18" i="15"/>
  <c r="H15" i="16" s="1"/>
  <c r="F14" i="15"/>
  <c r="G8" i="15"/>
  <c r="H8" i="15" s="1"/>
  <c r="F8" i="15"/>
  <c r="G7" i="16" s="1"/>
  <c r="G17" i="15"/>
  <c r="H17" i="15" s="1"/>
  <c r="F17" i="15"/>
  <c r="F13" i="15"/>
  <c r="G7" i="15"/>
  <c r="H7" i="15" s="1"/>
  <c r="F7" i="15"/>
  <c r="E222" i="13"/>
  <c r="G222" i="13" s="1"/>
  <c r="E165" i="13"/>
  <c r="E160" i="13"/>
  <c r="E99" i="13"/>
  <c r="E157" i="13" s="1"/>
  <c r="E173" i="13" s="1"/>
  <c r="E98" i="13"/>
  <c r="E156" i="13" s="1"/>
  <c r="G171" i="13"/>
  <c r="E149" i="13"/>
  <c r="E141" i="13"/>
  <c r="E107" i="13"/>
  <c r="G113" i="13"/>
  <c r="E102" i="13"/>
  <c r="E75" i="13"/>
  <c r="E85" i="13" s="1"/>
  <c r="E144" i="13" s="1"/>
  <c r="E34" i="13"/>
  <c r="E33" i="13"/>
  <c r="E39" i="13"/>
  <c r="E23" i="13"/>
  <c r="E105" i="13" s="1"/>
  <c r="G31" i="13"/>
  <c r="E18" i="13"/>
  <c r="E161" i="13" s="1"/>
  <c r="E27" i="5"/>
  <c r="C18" i="16" s="1"/>
  <c r="I32" i="5"/>
  <c r="H23" i="16" s="1"/>
  <c r="G33" i="5"/>
  <c r="F26" i="16" s="1"/>
  <c r="D75" i="1"/>
  <c r="E82" i="12"/>
  <c r="E88" i="12" s="1"/>
  <c r="E111" i="12"/>
  <c r="F10" i="12"/>
  <c r="E83" i="12"/>
  <c r="D13" i="5"/>
  <c r="G17" i="5"/>
  <c r="E8" i="12"/>
  <c r="E7" i="12"/>
  <c r="G16" i="5"/>
  <c r="D9" i="9"/>
  <c r="I24" i="10"/>
  <c r="D12" i="10"/>
  <c r="I17" i="10" s="1"/>
  <c r="D5" i="10"/>
  <c r="J15" i="10"/>
  <c r="K15" i="10"/>
  <c r="L15" i="10"/>
  <c r="I15" i="10"/>
  <c r="F15" i="10"/>
  <c r="G15" i="10"/>
  <c r="H15" i="10"/>
  <c r="F127" i="8"/>
  <c r="G127" i="8"/>
  <c r="E127" i="8"/>
  <c r="F125" i="8"/>
  <c r="D74" i="1"/>
  <c r="F124" i="8" s="1"/>
  <c r="I126" i="8"/>
  <c r="E125" i="8"/>
  <c r="G125" i="8"/>
  <c r="F126" i="8"/>
  <c r="G126" i="8"/>
  <c r="G124" i="8"/>
  <c r="E124" i="8"/>
  <c r="F76" i="1"/>
  <c r="H126" i="8" s="1"/>
  <c r="D11" i="9"/>
  <c r="I18" i="9" s="1"/>
  <c r="D8" i="9"/>
  <c r="F8" i="10" s="1"/>
  <c r="D7" i="9"/>
  <c r="D10" i="10"/>
  <c r="G119" i="8"/>
  <c r="E119" i="8"/>
  <c r="G53" i="1"/>
  <c r="L12" i="8"/>
  <c r="K11" i="8"/>
  <c r="L11" i="8"/>
  <c r="R14" i="8"/>
  <c r="R15" i="8"/>
  <c r="E15" i="8"/>
  <c r="F22" i="1"/>
  <c r="G7" i="7" s="1"/>
  <c r="E80" i="7"/>
  <c r="I25" i="9" s="1"/>
  <c r="E66" i="7"/>
  <c r="J45" i="7"/>
  <c r="J46" i="7" s="1"/>
  <c r="J30" i="7"/>
  <c r="J31" i="7" s="1"/>
  <c r="K10" i="8"/>
  <c r="M10" i="8" s="1"/>
  <c r="L10" i="7"/>
  <c r="F24" i="7" s="1"/>
  <c r="N10" i="7"/>
  <c r="H24" i="7" s="1"/>
  <c r="L9" i="7"/>
  <c r="K8" i="7"/>
  <c r="K8" i="8" s="1"/>
  <c r="L8" i="7"/>
  <c r="J8" i="7"/>
  <c r="K7" i="7"/>
  <c r="K7" i="8" s="1"/>
  <c r="D7" i="12" s="1"/>
  <c r="F54" i="12" s="1"/>
  <c r="L7" i="7"/>
  <c r="J7" i="7"/>
  <c r="H7" i="7"/>
  <c r="H27" i="7" s="1"/>
  <c r="H13" i="7"/>
  <c r="F12" i="7"/>
  <c r="F13" i="7"/>
  <c r="F14" i="7"/>
  <c r="F15" i="7"/>
  <c r="E13" i="7"/>
  <c r="E42" i="7" s="1"/>
  <c r="G42" i="7" s="1"/>
  <c r="E14" i="7"/>
  <c r="E14" i="8" s="1"/>
  <c r="E12" i="7"/>
  <c r="E7" i="8"/>
  <c r="G7" i="8" s="1"/>
  <c r="F7" i="7"/>
  <c r="E8" i="7"/>
  <c r="E64" i="7" s="1"/>
  <c r="F8" i="7"/>
  <c r="F9" i="7"/>
  <c r="E6" i="7"/>
  <c r="E6" i="8" s="1"/>
  <c r="F6" i="7"/>
  <c r="R13" i="8"/>
  <c r="G14" i="5"/>
  <c r="F28" i="1"/>
  <c r="G13" i="7" s="1"/>
  <c r="F12" i="1"/>
  <c r="K14" i="8"/>
  <c r="F18" i="9"/>
  <c r="R8" i="8"/>
  <c r="J18" i="10" l="1"/>
  <c r="F39" i="12"/>
  <c r="F132" i="8"/>
  <c r="G73" i="10"/>
  <c r="F23" i="14" s="1"/>
  <c r="G70" i="10"/>
  <c r="F20" i="14" s="1"/>
  <c r="G71" i="10"/>
  <c r="F21" i="14" s="1"/>
  <c r="J16" i="10"/>
  <c r="D8" i="12"/>
  <c r="G25" i="8"/>
  <c r="G22" i="8"/>
  <c r="E85" i="12"/>
  <c r="G72" i="10"/>
  <c r="M10" i="7"/>
  <c r="F73" i="8" s="1"/>
  <c r="E25" i="8"/>
  <c r="F25" i="8" s="1"/>
  <c r="E44" i="7"/>
  <c r="F8" i="9"/>
  <c r="E18" i="15"/>
  <c r="R10" i="8"/>
  <c r="J17" i="9"/>
  <c r="D5" i="9"/>
  <c r="E24" i="7"/>
  <c r="E27" i="7"/>
  <c r="G27" i="7" s="1"/>
  <c r="E29" i="7" s="1"/>
  <c r="E8" i="8"/>
  <c r="E39" i="7"/>
  <c r="G39" i="7" s="1"/>
  <c r="E41" i="7"/>
  <c r="G41" i="7" s="1"/>
  <c r="E45" i="7" s="1"/>
  <c r="E9" i="8"/>
  <c r="E92" i="7"/>
  <c r="E89" i="7"/>
  <c r="E13" i="8"/>
  <c r="G13" i="8" s="1"/>
  <c r="E88" i="7"/>
  <c r="E75" i="7"/>
  <c r="E85" i="7" s="1"/>
  <c r="E94" i="7" s="1"/>
  <c r="E100" i="7" s="1"/>
  <c r="X17" i="10"/>
  <c r="Q17" i="10"/>
  <c r="AS17" i="10"/>
  <c r="G20" i="12" s="1"/>
  <c r="AL17" i="10"/>
  <c r="AE17" i="10"/>
  <c r="F76" i="8"/>
  <c r="G9" i="5"/>
  <c r="D9" i="5" s="1"/>
  <c r="R7" i="8" s="1"/>
  <c r="E195" i="13"/>
  <c r="G195" i="13" s="1"/>
  <c r="R11" i="8"/>
  <c r="G27" i="5"/>
  <c r="E14" i="16" s="1"/>
  <c r="G56" i="1"/>
  <c r="D44" i="1" s="1"/>
  <c r="F83" i="8" s="1"/>
  <c r="F82" i="8"/>
  <c r="E12" i="8"/>
  <c r="F133" i="8"/>
  <c r="F24" i="9" s="1"/>
  <c r="G24" i="9" s="1"/>
  <c r="I24" i="9"/>
  <c r="H10" i="13" s="1"/>
  <c r="E14" i="15"/>
  <c r="G31" i="5"/>
  <c r="R6" i="8"/>
  <c r="E247" i="13"/>
  <c r="G247" i="13" s="1"/>
  <c r="E251" i="13" s="1"/>
  <c r="E196" i="13"/>
  <c r="G196" i="13" s="1"/>
  <c r="E16" i="13"/>
  <c r="E26" i="13" s="1"/>
  <c r="E108" i="13" s="1"/>
  <c r="E112" i="13" s="1"/>
  <c r="E221" i="13"/>
  <c r="G221" i="13" s="1"/>
  <c r="E225" i="13" s="1"/>
  <c r="F23" i="5"/>
  <c r="D6" i="16" s="1"/>
  <c r="D18" i="15"/>
  <c r="D19" i="5"/>
  <c r="R12" i="8"/>
  <c r="G8" i="5"/>
  <c r="G10" i="5" s="1"/>
  <c r="K9" i="7"/>
  <c r="E62" i="7" s="1"/>
  <c r="G9" i="16"/>
  <c r="H17" i="16"/>
  <c r="E197" i="13"/>
  <c r="G197" i="13" s="1"/>
  <c r="E223" i="13"/>
  <c r="E249" i="13"/>
  <c r="G249" i="13" s="1"/>
  <c r="G266" i="13"/>
  <c r="G215" i="13"/>
  <c r="D8" i="15" s="1"/>
  <c r="G214" i="13"/>
  <c r="E163" i="13"/>
  <c r="G130" i="13"/>
  <c r="G188" i="13"/>
  <c r="E116" i="13"/>
  <c r="E63" i="13"/>
  <c r="G63" i="13" s="1"/>
  <c r="D7" i="15" s="1"/>
  <c r="E103" i="13"/>
  <c r="E115" i="13"/>
  <c r="E36" i="13"/>
  <c r="E121" i="13"/>
  <c r="E174" i="13"/>
  <c r="E176" i="13" s="1"/>
  <c r="E179" i="13"/>
  <c r="G240" i="13"/>
  <c r="E87" i="12" l="1"/>
  <c r="G11" i="5"/>
  <c r="R9" i="8" s="1"/>
  <c r="E22" i="8" s="1"/>
  <c r="F22" i="8" s="1"/>
  <c r="H22" i="8" s="1"/>
  <c r="G21" i="8"/>
  <c r="J20" i="9" s="1"/>
  <c r="G24" i="8"/>
  <c r="G23" i="8"/>
  <c r="E21" i="8"/>
  <c r="F21" i="8" s="1"/>
  <c r="F22" i="14"/>
  <c r="E8" i="15"/>
  <c r="E46" i="7"/>
  <c r="E23" i="8"/>
  <c r="F23" i="8" s="1"/>
  <c r="F31" i="5"/>
  <c r="E199" i="13"/>
  <c r="E159" i="13"/>
  <c r="E25" i="7"/>
  <c r="G25" i="7" s="1"/>
  <c r="E31" i="7" s="1"/>
  <c r="E101" i="13"/>
  <c r="G199" i="13"/>
  <c r="E204" i="13" s="1"/>
  <c r="F210" i="13" s="1"/>
  <c r="F88" i="8"/>
  <c r="F89" i="8" s="1"/>
  <c r="F91" i="8" s="1"/>
  <c r="H25" i="8"/>
  <c r="F25" i="9"/>
  <c r="F119" i="8"/>
  <c r="K24" i="9"/>
  <c r="G37" i="9" s="1"/>
  <c r="F23" i="10"/>
  <c r="Q22" i="10" s="1"/>
  <c r="G50" i="9"/>
  <c r="E166" i="13"/>
  <c r="E180" i="13" s="1"/>
  <c r="G180" i="13" s="1"/>
  <c r="E232" i="13"/>
  <c r="G251" i="13"/>
  <c r="E256" i="13" s="1"/>
  <c r="G256" i="13" s="1"/>
  <c r="E37" i="13"/>
  <c r="E258" i="13"/>
  <c r="E206" i="13"/>
  <c r="F20" i="16"/>
  <c r="E24" i="8"/>
  <c r="F24" i="8" s="1"/>
  <c r="E79" i="7"/>
  <c r="F60" i="8"/>
  <c r="F57" i="8" s="1"/>
  <c r="G200" i="13"/>
  <c r="E40" i="13"/>
  <c r="G40" i="13" s="1"/>
  <c r="E122" i="13"/>
  <c r="G122" i="13" s="1"/>
  <c r="E30" i="13"/>
  <c r="G223" i="13"/>
  <c r="G225" i="13" s="1"/>
  <c r="E118" i="13"/>
  <c r="E119" i="13" s="1"/>
  <c r="E124" i="13" s="1"/>
  <c r="G124" i="13" s="1"/>
  <c r="F30" i="8" l="1"/>
  <c r="J19" i="10"/>
  <c r="F29" i="8"/>
  <c r="L20" i="9" s="1"/>
  <c r="H21" i="8"/>
  <c r="F31" i="8" s="1"/>
  <c r="L22" i="9" s="1"/>
  <c r="G37" i="13"/>
  <c r="E42" i="13"/>
  <c r="G42" i="13" s="1"/>
  <c r="G43" i="13" s="1"/>
  <c r="F23" i="9"/>
  <c r="F107" i="8"/>
  <c r="F94" i="8"/>
  <c r="H23" i="8"/>
  <c r="G204" i="13"/>
  <c r="E208" i="13" s="1"/>
  <c r="G208" i="13" s="1"/>
  <c r="AS22" i="10"/>
  <c r="G25" i="12" s="1"/>
  <c r="F105" i="8"/>
  <c r="F75" i="8"/>
  <c r="F96" i="8" s="1"/>
  <c r="E30" i="7"/>
  <c r="E33" i="7" s="1"/>
  <c r="E177" i="13"/>
  <c r="G177" i="13" s="1"/>
  <c r="D6" i="9"/>
  <c r="D6" i="10" s="1"/>
  <c r="E170" i="13"/>
  <c r="H199" i="13"/>
  <c r="F24" i="10"/>
  <c r="G25" i="9"/>
  <c r="G49" i="10"/>
  <c r="P48" i="10" s="1"/>
  <c r="E48" i="7"/>
  <c r="AL22" i="10"/>
  <c r="X22" i="10"/>
  <c r="AE22" i="10"/>
  <c r="G23" i="10"/>
  <c r="G10" i="13" s="1"/>
  <c r="I10" i="13" s="1"/>
  <c r="H251" i="13"/>
  <c r="E260" i="13"/>
  <c r="G260" i="13" s="1"/>
  <c r="F106" i="8"/>
  <c r="H24" i="8"/>
  <c r="F26" i="8"/>
  <c r="D10" i="9"/>
  <c r="D11" i="10"/>
  <c r="I23" i="10"/>
  <c r="F58" i="8"/>
  <c r="F62" i="8" s="1"/>
  <c r="F68" i="8" s="1"/>
  <c r="F20" i="9" s="1"/>
  <c r="E87" i="7"/>
  <c r="C17" i="15"/>
  <c r="G125" i="13"/>
  <c r="H225" i="13"/>
  <c r="F133" i="13"/>
  <c r="G119" i="13"/>
  <c r="F126" i="13"/>
  <c r="K13" i="8" l="1"/>
  <c r="F79" i="8" s="1"/>
  <c r="F22" i="9"/>
  <c r="H22" i="9" s="1"/>
  <c r="F21" i="10" s="1"/>
  <c r="AS20" i="10" s="1"/>
  <c r="G23" i="12" s="1"/>
  <c r="H26" i="8"/>
  <c r="I18" i="10"/>
  <c r="H8" i="13" s="1"/>
  <c r="I16" i="10"/>
  <c r="H7" i="13" s="1"/>
  <c r="I20" i="10"/>
  <c r="H9" i="13" s="1"/>
  <c r="H20" i="9"/>
  <c r="AG20" i="10"/>
  <c r="AN20" i="10"/>
  <c r="S20" i="10"/>
  <c r="Z20" i="10"/>
  <c r="AU20" i="10"/>
  <c r="I23" i="12" s="1"/>
  <c r="F32" i="8"/>
  <c r="AL20" i="10"/>
  <c r="F22" i="10"/>
  <c r="F95" i="8"/>
  <c r="F97" i="8" s="1"/>
  <c r="F99" i="8" s="1"/>
  <c r="F65" i="13"/>
  <c r="F44" i="13"/>
  <c r="E267" i="13"/>
  <c r="F269" i="13" s="1"/>
  <c r="C7" i="15"/>
  <c r="K23" i="10"/>
  <c r="AF22" i="10" s="1"/>
  <c r="AD35" i="10" s="1"/>
  <c r="G18" i="9"/>
  <c r="K18" i="9" s="1"/>
  <c r="G29" i="9" s="1"/>
  <c r="F217" i="13"/>
  <c r="AD48" i="10"/>
  <c r="W48" i="10"/>
  <c r="E96" i="7"/>
  <c r="E76" i="7"/>
  <c r="E82" i="7" s="1"/>
  <c r="E77" i="7"/>
  <c r="E57" i="7"/>
  <c r="AK48" i="10"/>
  <c r="F61" i="8"/>
  <c r="F63" i="8" s="1"/>
  <c r="G51" i="9"/>
  <c r="K25" i="9"/>
  <c r="G38" i="9" s="1"/>
  <c r="AS23" i="10"/>
  <c r="G26" i="12" s="1"/>
  <c r="X23" i="10"/>
  <c r="AL23" i="10"/>
  <c r="AE23" i="10"/>
  <c r="G24" i="10"/>
  <c r="Q23" i="10"/>
  <c r="K15" i="8"/>
  <c r="C8" i="15"/>
  <c r="F262" i="13"/>
  <c r="F109" i="8"/>
  <c r="H23" i="9"/>
  <c r="I21" i="9"/>
  <c r="I17" i="9"/>
  <c r="I19" i="9"/>
  <c r="E230" i="13"/>
  <c r="G230" i="13" s="1"/>
  <c r="E234" i="13" s="1"/>
  <c r="K17" i="10" l="1"/>
  <c r="H101" i="7"/>
  <c r="G104" i="7" s="1"/>
  <c r="H19" i="10"/>
  <c r="L19" i="10" s="1"/>
  <c r="AS19" i="10"/>
  <c r="G22" i="12" s="1"/>
  <c r="H21" i="10"/>
  <c r="X20" i="10"/>
  <c r="Q20" i="10"/>
  <c r="AE20" i="10"/>
  <c r="L23" i="9"/>
  <c r="G31" i="9" s="1"/>
  <c r="Q21" i="10"/>
  <c r="F112" i="8"/>
  <c r="F111" i="8"/>
  <c r="G44" i="9"/>
  <c r="Y22" i="10"/>
  <c r="W35" i="10" s="1"/>
  <c r="X21" i="10"/>
  <c r="AE21" i="10"/>
  <c r="AS21" i="10"/>
  <c r="G24" i="12" s="1"/>
  <c r="H22" i="10"/>
  <c r="G43" i="10" s="1"/>
  <c r="AL21" i="10"/>
  <c r="AK42" i="10" s="1"/>
  <c r="AM22" i="10"/>
  <c r="AK35" i="10" s="1"/>
  <c r="R22" i="10"/>
  <c r="P35" i="10" s="1"/>
  <c r="G36" i="10"/>
  <c r="AT22" i="10"/>
  <c r="H25" i="12" s="1"/>
  <c r="G267" i="13"/>
  <c r="C14" i="15" s="1"/>
  <c r="G43" i="9"/>
  <c r="E78" i="7"/>
  <c r="E84" i="7" s="1"/>
  <c r="E83" i="7"/>
  <c r="F21" i="9"/>
  <c r="G50" i="10"/>
  <c r="K24" i="10"/>
  <c r="F101" i="8"/>
  <c r="F243" i="13"/>
  <c r="G234" i="13"/>
  <c r="F236" i="13"/>
  <c r="G21" i="9" l="1"/>
  <c r="I22" i="12"/>
  <c r="F36" i="12"/>
  <c r="P42" i="10"/>
  <c r="F114" i="8"/>
  <c r="F18" i="10" s="1"/>
  <c r="AE18" i="10" s="1"/>
  <c r="AF17" i="10"/>
  <c r="AD27" i="10" s="1"/>
  <c r="R17" i="10"/>
  <c r="P27" i="10" s="1"/>
  <c r="Y17" i="10"/>
  <c r="W27" i="10" s="1"/>
  <c r="AT17" i="10"/>
  <c r="H20" i="12" s="1"/>
  <c r="G28" i="10"/>
  <c r="AM17" i="10"/>
  <c r="AK27" i="10" s="1"/>
  <c r="W42" i="10"/>
  <c r="AD42" i="10"/>
  <c r="L22" i="10"/>
  <c r="S21" i="10" s="1"/>
  <c r="P29" i="10" s="1"/>
  <c r="D14" i="15"/>
  <c r="G45" i="9"/>
  <c r="G49" i="9"/>
  <c r="E95" i="7"/>
  <c r="E101" i="7" s="1"/>
  <c r="K12" i="8" s="1"/>
  <c r="G37" i="10"/>
  <c r="R23" i="10"/>
  <c r="P36" i="10" s="1"/>
  <c r="AT23" i="10"/>
  <c r="H26" i="12" s="1"/>
  <c r="Y23" i="10"/>
  <c r="W36" i="10" s="1"/>
  <c r="AM23" i="10"/>
  <c r="AK36" i="10" s="1"/>
  <c r="AF23" i="10"/>
  <c r="AD36" i="10" s="1"/>
  <c r="W49" i="10"/>
  <c r="AD49" i="10"/>
  <c r="AK49" i="10"/>
  <c r="P49" i="10"/>
  <c r="G18" i="10" l="1"/>
  <c r="AD46" i="10" s="1"/>
  <c r="H18" i="10"/>
  <c r="AD41" i="10" s="1"/>
  <c r="Z21" i="10"/>
  <c r="W29" i="10" s="1"/>
  <c r="AU21" i="10"/>
  <c r="I24" i="12" s="1"/>
  <c r="AN21" i="10"/>
  <c r="AK29" i="10" s="1"/>
  <c r="AK30" i="10" s="1"/>
  <c r="G30" i="10"/>
  <c r="AG21" i="10"/>
  <c r="AD29" i="10" s="1"/>
  <c r="AL18" i="10"/>
  <c r="Q19" i="10"/>
  <c r="K21" i="9"/>
  <c r="G36" i="9" s="1"/>
  <c r="F17" i="9"/>
  <c r="AL19" i="10"/>
  <c r="AE19" i="10"/>
  <c r="X19" i="10"/>
  <c r="G20" i="10"/>
  <c r="E91" i="7"/>
  <c r="F19" i="9"/>
  <c r="G19" i="9" s="1"/>
  <c r="K19" i="9" s="1"/>
  <c r="L18" i="10" l="1"/>
  <c r="AG18" i="10" s="1"/>
  <c r="G8" i="13"/>
  <c r="I8" i="13" s="1"/>
  <c r="X18" i="10"/>
  <c r="AS18" i="10"/>
  <c r="G21" i="12" s="1"/>
  <c r="Q18" i="10"/>
  <c r="G35" i="9"/>
  <c r="K20" i="10"/>
  <c r="G35" i="10" s="1"/>
  <c r="G9" i="13"/>
  <c r="I9" i="13" s="1"/>
  <c r="F60" i="10"/>
  <c r="E10" i="14" s="1"/>
  <c r="H17" i="9"/>
  <c r="L17" i="9" s="1"/>
  <c r="G17" i="9"/>
  <c r="K17" i="9" s="1"/>
  <c r="G34" i="9" s="1"/>
  <c r="F16" i="10"/>
  <c r="G48" i="10"/>
  <c r="P47" i="10" s="1"/>
  <c r="G48" i="9"/>
  <c r="Q16" i="10" l="1"/>
  <c r="G16" i="10"/>
  <c r="H16" i="10"/>
  <c r="AM19" i="10"/>
  <c r="AK34" i="10" s="1"/>
  <c r="G47" i="9"/>
  <c r="R19" i="10"/>
  <c r="P34" i="10" s="1"/>
  <c r="G47" i="10"/>
  <c r="P46" i="10" s="1"/>
  <c r="Y19" i="10"/>
  <c r="W34" i="10" s="1"/>
  <c r="K18" i="10"/>
  <c r="AF18" i="10" s="1"/>
  <c r="AF19" i="10"/>
  <c r="AD34" i="10" s="1"/>
  <c r="G39" i="9"/>
  <c r="G30" i="9"/>
  <c r="G32" i="9" s="1"/>
  <c r="AK47" i="10"/>
  <c r="AS16" i="10"/>
  <c r="AL16" i="10"/>
  <c r="AE16" i="10"/>
  <c r="X16" i="10"/>
  <c r="F43" i="12"/>
  <c r="F71" i="13" s="1"/>
  <c r="E74" i="13" s="1"/>
  <c r="W47" i="10"/>
  <c r="AD47" i="10"/>
  <c r="G52" i="9"/>
  <c r="AK46" i="10" l="1"/>
  <c r="AD33" i="10"/>
  <c r="AM18" i="10"/>
  <c r="AK33" i="10" s="1"/>
  <c r="G34" i="10"/>
  <c r="AT18" i="10"/>
  <c r="H21" i="12" s="1"/>
  <c r="Y18" i="10"/>
  <c r="W33" i="10" s="1"/>
  <c r="R18" i="10"/>
  <c r="P33" i="10" s="1"/>
  <c r="W46" i="10"/>
  <c r="G7" i="13"/>
  <c r="I7" i="13" s="1"/>
  <c r="E24" i="13" s="1"/>
  <c r="E28" i="13" s="1"/>
  <c r="G46" i="10"/>
  <c r="G51" i="10" s="1"/>
  <c r="G42" i="10"/>
  <c r="L16" i="10"/>
  <c r="S16" i="10" s="1"/>
  <c r="P28" i="10" s="1"/>
  <c r="P30" i="10" s="1"/>
  <c r="K16" i="10"/>
  <c r="G33" i="10" l="1"/>
  <c r="G38" i="10" s="1"/>
  <c r="AT16" i="10"/>
  <c r="H19" i="12" s="1"/>
  <c r="F35" i="12" s="1"/>
  <c r="AN16" i="10"/>
  <c r="AG16" i="10"/>
  <c r="AD28" i="10" s="1"/>
  <c r="AK41" i="10"/>
  <c r="AK43" i="10" s="1"/>
  <c r="AU16" i="10"/>
  <c r="I19" i="12" s="1"/>
  <c r="G29" i="10"/>
  <c r="Z16" i="10"/>
  <c r="W28" i="10" s="1"/>
  <c r="W30" i="10" s="1"/>
  <c r="F58" i="10" s="1"/>
  <c r="P43" i="10"/>
  <c r="F64" i="10" s="1"/>
  <c r="W41" i="10"/>
  <c r="W43" i="10" s="1"/>
  <c r="AD43" i="10"/>
  <c r="F57" i="10"/>
  <c r="E7" i="14" s="1"/>
  <c r="AD45" i="10"/>
  <c r="AD50" i="10" s="1"/>
  <c r="R16" i="10"/>
  <c r="AK45" i="10"/>
  <c r="AK50" i="10" s="1"/>
  <c r="G67" i="10" s="1"/>
  <c r="P45" i="10"/>
  <c r="P50" i="10" s="1"/>
  <c r="W45" i="10"/>
  <c r="W50" i="10" s="1"/>
  <c r="AF16" i="10"/>
  <c r="AD32" i="10" s="1"/>
  <c r="AD37" i="10" s="1"/>
  <c r="G59" i="10" s="1"/>
  <c r="AM16" i="10"/>
  <c r="AK32" i="10" s="1"/>
  <c r="AK37" i="10" s="1"/>
  <c r="Y16" i="10"/>
  <c r="W32" i="10" s="1"/>
  <c r="F38" i="12" l="1"/>
  <c r="F37" i="12" s="1"/>
  <c r="F40" i="12" s="1"/>
  <c r="AD53" i="10"/>
  <c r="F66" i="10"/>
  <c r="W53" i="10"/>
  <c r="F65" i="10"/>
  <c r="E15" i="14" s="1"/>
  <c r="AK53" i="10"/>
  <c r="F67" i="10"/>
  <c r="H67" i="10" s="1"/>
  <c r="P53" i="10"/>
  <c r="E14" i="14"/>
  <c r="G66" i="10"/>
  <c r="G65" i="10"/>
  <c r="W37" i="10"/>
  <c r="G58" i="10" s="1"/>
  <c r="AD30" i="10"/>
  <c r="G31" i="10"/>
  <c r="F44" i="12" s="1"/>
  <c r="F45" i="12" s="1"/>
  <c r="G60" i="10"/>
  <c r="H60" i="10" s="1"/>
  <c r="AK52" i="10"/>
  <c r="E8" i="14"/>
  <c r="G64" i="10"/>
  <c r="F14" i="14" s="1"/>
  <c r="E16" i="14"/>
  <c r="P32" i="10"/>
  <c r="P37" i="10" s="1"/>
  <c r="P52" i="10" s="1"/>
  <c r="P54" i="10" s="1"/>
  <c r="P55" i="10" s="1"/>
  <c r="F17" i="14"/>
  <c r="F9" i="14"/>
  <c r="F46" i="12" l="1"/>
  <c r="AK54" i="10"/>
  <c r="F16" i="14"/>
  <c r="D40" i="14" s="1"/>
  <c r="F40" i="14" s="1"/>
  <c r="F15" i="14"/>
  <c r="F55" i="12"/>
  <c r="F59" i="10"/>
  <c r="E9" i="14" s="1"/>
  <c r="AD52" i="10"/>
  <c r="AD54" i="10" s="1"/>
  <c r="W52" i="10"/>
  <c r="W54" i="10" s="1"/>
  <c r="F8" i="14"/>
  <c r="D34" i="14" s="1"/>
  <c r="F10" i="14"/>
  <c r="F70" i="10"/>
  <c r="F72" i="13"/>
  <c r="E76" i="13" s="1"/>
  <c r="E79" i="13" s="1"/>
  <c r="G14" i="14"/>
  <c r="H65" i="10"/>
  <c r="H64" i="10"/>
  <c r="E17" i="14"/>
  <c r="G17" i="14" s="1"/>
  <c r="H66" i="10"/>
  <c r="G57" i="10"/>
  <c r="D35" i="14" l="1"/>
  <c r="F35" i="14" s="1"/>
  <c r="F34" i="14"/>
  <c r="D39" i="14"/>
  <c r="F39" i="14" s="1"/>
  <c r="W55" i="10"/>
  <c r="F71" i="10" s="1"/>
  <c r="AD55" i="10"/>
  <c r="F72" i="10" s="1"/>
  <c r="AK55" i="10"/>
  <c r="F56" i="12"/>
  <c r="F68" i="12" s="1"/>
  <c r="F67" i="12" s="1"/>
  <c r="F65" i="12" s="1"/>
  <c r="G15" i="14"/>
  <c r="G16" i="14"/>
  <c r="G8" i="14"/>
  <c r="H58" i="10"/>
  <c r="H59" i="10"/>
  <c r="G10" i="14"/>
  <c r="F76" i="12"/>
  <c r="I112" i="12" s="1"/>
  <c r="F27" i="14" s="1"/>
  <c r="E138" i="13"/>
  <c r="H70" i="10"/>
  <c r="E20" i="14"/>
  <c r="G20" i="14" s="1"/>
  <c r="E86" i="13"/>
  <c r="E145" i="13" s="1"/>
  <c r="E78" i="13"/>
  <c r="F7" i="14"/>
  <c r="H57" i="10"/>
  <c r="F61" i="12" l="1"/>
  <c r="F60" i="12"/>
  <c r="F62" i="12"/>
  <c r="H73" i="10"/>
  <c r="E23" i="14"/>
  <c r="G23" i="14" s="1"/>
  <c r="H72" i="10"/>
  <c r="E22" i="14"/>
  <c r="G22" i="14" s="1"/>
  <c r="H71" i="10"/>
  <c r="E21" i="14"/>
  <c r="G21" i="14" s="1"/>
  <c r="G9" i="14"/>
  <c r="G7" i="14"/>
  <c r="F66" i="12"/>
  <c r="F70" i="12" s="1"/>
  <c r="E76" i="12" s="1"/>
  <c r="E137" i="13"/>
  <c r="E83" i="13"/>
  <c r="E93" i="13"/>
  <c r="H112" i="12" l="1"/>
  <c r="E27" i="14"/>
  <c r="G76" i="12"/>
  <c r="E142" i="13"/>
  <c r="E147" i="13" s="1"/>
  <c r="E150" i="13" s="1"/>
  <c r="E152" i="13" s="1"/>
  <c r="E154" i="13" s="1"/>
  <c r="E88" i="13"/>
  <c r="E90" i="13" s="1"/>
  <c r="E94" i="13" s="1"/>
  <c r="E96" i="13" s="1"/>
  <c r="G27" i="14" l="1"/>
  <c r="J112" i="12"/>
  <c r="E106" i="13"/>
  <c r="E110" i="13"/>
  <c r="E168" i="13"/>
  <c r="E164" i="13"/>
  <c r="E182" i="13" s="1"/>
  <c r="G182" i="13" l="1"/>
  <c r="F184" i="13"/>
  <c r="G183" i="13" l="1"/>
  <c r="F191" i="13"/>
  <c r="C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5" authorId="0" shapeId="0" xr:uid="{54FA3876-C484-4512-9E5A-13E9EB9D7834}">
      <text>
        <r>
          <rPr>
            <b/>
            <sz val="9"/>
            <color indexed="81"/>
            <rFont val="Tahoma"/>
            <family val="2"/>
          </rPr>
          <t>b= base
h= altura
i = Número de la figura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89" authorId="0" shapeId="0" xr:uid="{ED47FB49-62CA-4254-ADF6-9065C522547D}">
      <text>
        <r>
          <rPr>
            <b/>
            <sz val="9"/>
            <color indexed="81"/>
            <rFont val="Tahoma"/>
            <family val="2"/>
          </rPr>
          <t>Usuario:</t>
        </r>
        <r>
          <rPr>
            <sz val="9"/>
            <color indexed="81"/>
            <rFont val="Tahoma"/>
            <family val="2"/>
          </rPr>
          <t xml:space="preserve">
Se usa para aceptar deformaciones de una pulgada
</t>
        </r>
      </text>
    </comment>
    <comment ref="F91" authorId="0" shapeId="0" xr:uid="{53538A78-6288-44E9-9D94-8CDFDC49C4AA}">
      <text>
        <r>
          <rPr>
            <b/>
            <sz val="9"/>
            <color indexed="81"/>
            <rFont val="Tahoma"/>
            <family val="2"/>
          </rPr>
          <t>Usuario:</t>
        </r>
        <r>
          <rPr>
            <sz val="9"/>
            <color indexed="81"/>
            <rFont val="Tahoma"/>
            <family val="2"/>
          </rPr>
          <t xml:space="preserve">
Revisar si se usa kh o kh modificado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57" authorId="0" shapeId="0" xr:uid="{4C64A53E-295B-4B45-A37C-DCC57EF54867}">
      <text>
        <r>
          <rPr>
            <b/>
            <sz val="9"/>
            <color indexed="81"/>
            <rFont val="Tahoma"/>
            <family val="2"/>
          </rPr>
          <t>Usuario:</t>
        </r>
        <r>
          <rPr>
            <sz val="9"/>
            <color indexed="81"/>
            <rFont val="Tahoma"/>
            <family val="2"/>
          </rPr>
          <t xml:space="preserve">
mirar tabla 16.2
a la derecha</t>
        </r>
      </text>
    </comment>
    <comment ref="E58" authorId="0" shapeId="0" xr:uid="{150CAE1F-D5B0-4FEC-889F-126F7505B0A7}">
      <text>
        <r>
          <rPr>
            <b/>
            <sz val="9"/>
            <color indexed="81"/>
            <rFont val="Tahoma"/>
            <family val="2"/>
          </rPr>
          <t>Usuario:</t>
        </r>
        <r>
          <rPr>
            <sz val="9"/>
            <color indexed="81"/>
            <rFont val="Tahoma"/>
            <family val="2"/>
          </rPr>
          <t xml:space="preserve">
mirar tabla 16.2
a la derecha</t>
        </r>
      </text>
    </comment>
    <comment ref="E59" authorId="0" shapeId="0" xr:uid="{DECCF1AD-661D-4125-A8E0-15C2CE00C773}">
      <text>
        <r>
          <rPr>
            <b/>
            <sz val="9"/>
            <color indexed="81"/>
            <rFont val="Tahoma"/>
            <family val="2"/>
          </rPr>
          <t>Usuario:</t>
        </r>
        <r>
          <rPr>
            <sz val="9"/>
            <color indexed="81"/>
            <rFont val="Tahoma"/>
            <family val="2"/>
          </rPr>
          <t xml:space="preserve">
mirar tabla 16.2
a la derecha</t>
        </r>
      </text>
    </comment>
  </commentList>
</comments>
</file>

<file path=xl/sharedStrings.xml><?xml version="1.0" encoding="utf-8"?>
<sst xmlns="http://schemas.openxmlformats.org/spreadsheetml/2006/main" count="1735" uniqueCount="675">
  <si>
    <t>Ka</t>
  </si>
  <si>
    <t>Pp</t>
  </si>
  <si>
    <t>Pa</t>
  </si>
  <si>
    <t>[m]</t>
  </si>
  <si>
    <t>[°]</t>
  </si>
  <si>
    <t>[rad]</t>
  </si>
  <si>
    <t>[kPa]</t>
  </si>
  <si>
    <t>D</t>
  </si>
  <si>
    <t>H</t>
  </si>
  <si>
    <t>[kN/m3]</t>
  </si>
  <si>
    <t>[adi]</t>
  </si>
  <si>
    <t>Factor pendiente</t>
  </si>
  <si>
    <t>Corona</t>
  </si>
  <si>
    <t>Dimensiones calculadas con parámetros iniciales</t>
  </si>
  <si>
    <t>Factor Base</t>
  </si>
  <si>
    <t>pendiente del talud</t>
  </si>
  <si>
    <t>Kp</t>
  </si>
  <si>
    <t>Comentarios</t>
  </si>
  <si>
    <t>Nomenclatura</t>
  </si>
  <si>
    <t>1. Parámetros Condición del terreno</t>
  </si>
  <si>
    <t>4. Parámetros del concreto</t>
  </si>
  <si>
    <r>
      <rPr>
        <b/>
        <sz val="11"/>
        <color theme="1"/>
        <rFont val="Calibri"/>
        <family val="2"/>
        <scheme val="minor"/>
      </rPr>
      <t>1.1</t>
    </r>
    <r>
      <rPr>
        <sz val="11"/>
        <color theme="1"/>
        <rFont val="Calibri"/>
        <family val="2"/>
        <scheme val="minor"/>
      </rPr>
      <t xml:space="preserve"> Inclinación del terreno contenido</t>
    </r>
  </si>
  <si>
    <r>
      <rPr>
        <b/>
        <sz val="11"/>
        <color theme="1"/>
        <rFont val="Calibri"/>
        <family val="2"/>
        <scheme val="minor"/>
      </rPr>
      <t>1.3</t>
    </r>
    <r>
      <rPr>
        <sz val="11"/>
        <color theme="1"/>
        <rFont val="Calibri"/>
        <family val="2"/>
        <scheme val="minor"/>
      </rPr>
      <t xml:space="preserve"> Altura medida desde la base del muro hasta la corona del muro</t>
    </r>
  </si>
  <si>
    <r>
      <rPr>
        <b/>
        <sz val="11"/>
        <color theme="1"/>
        <rFont val="Calibri"/>
        <family val="2"/>
        <scheme val="minor"/>
      </rPr>
      <t>2.1</t>
    </r>
    <r>
      <rPr>
        <sz val="11"/>
        <color theme="1"/>
        <rFont val="Calibri"/>
        <family val="2"/>
        <scheme val="minor"/>
      </rPr>
      <t xml:space="preserve"> Parámetro de cohesión del suelo contenido</t>
    </r>
  </si>
  <si>
    <r>
      <rPr>
        <b/>
        <sz val="11"/>
        <color theme="1"/>
        <rFont val="Calibri"/>
        <family val="2"/>
        <scheme val="minor"/>
      </rPr>
      <t>2.2</t>
    </r>
    <r>
      <rPr>
        <sz val="11"/>
        <color theme="1"/>
        <rFont val="Calibri"/>
        <family val="2"/>
        <scheme val="minor"/>
      </rPr>
      <t xml:space="preserve"> Parámetro de fricción del suelo contenido</t>
    </r>
  </si>
  <si>
    <r>
      <rPr>
        <b/>
        <sz val="11"/>
        <color theme="1"/>
        <rFont val="Calibri"/>
        <family val="2"/>
        <scheme val="minor"/>
      </rPr>
      <t>2.3</t>
    </r>
    <r>
      <rPr>
        <sz val="11"/>
        <color theme="1"/>
        <rFont val="Calibri"/>
        <family val="2"/>
        <scheme val="minor"/>
      </rPr>
      <t xml:space="preserve"> Gamma del suelo contenido</t>
    </r>
  </si>
  <si>
    <r>
      <rPr>
        <b/>
        <sz val="11"/>
        <color theme="1"/>
        <rFont val="Calibri"/>
        <family val="2"/>
        <scheme val="minor"/>
      </rPr>
      <t>3.1</t>
    </r>
    <r>
      <rPr>
        <sz val="11"/>
        <color theme="1"/>
        <rFont val="Calibri"/>
        <family val="2"/>
        <scheme val="minor"/>
      </rPr>
      <t xml:space="preserve"> Parámetro de cohesión del suelo encima de la punta</t>
    </r>
  </si>
  <si>
    <r>
      <rPr>
        <b/>
        <sz val="11"/>
        <color theme="1"/>
        <rFont val="Calibri"/>
        <family val="2"/>
        <scheme val="minor"/>
      </rPr>
      <t>3.2</t>
    </r>
    <r>
      <rPr>
        <sz val="11"/>
        <color theme="1"/>
        <rFont val="Calibri"/>
        <family val="2"/>
        <scheme val="minor"/>
      </rPr>
      <t xml:space="preserve"> Parámetro de fricción del suelo encima de la punta</t>
    </r>
  </si>
  <si>
    <r>
      <rPr>
        <b/>
        <sz val="11"/>
        <color theme="1"/>
        <rFont val="Calibri"/>
        <family val="2"/>
        <scheme val="minor"/>
      </rPr>
      <t>3.3</t>
    </r>
    <r>
      <rPr>
        <sz val="11"/>
        <color theme="1"/>
        <rFont val="Calibri"/>
        <family val="2"/>
        <scheme val="minor"/>
      </rPr>
      <t xml:space="preserve"> Gamma del suelo encima de la punta</t>
    </r>
  </si>
  <si>
    <t xml:space="preserve"> 2. Parámetros del suelo contenido [Suelo 1]</t>
  </si>
  <si>
    <t>3. Parámetros del suelo encima de la punta [Suelo 2]</t>
  </si>
  <si>
    <t>Comentarios generales:</t>
  </si>
  <si>
    <t>Datos de entrada</t>
  </si>
  <si>
    <r>
      <rPr>
        <b/>
        <sz val="11"/>
        <color theme="1"/>
        <rFont val="Calibri"/>
        <family val="2"/>
        <scheme val="minor"/>
      </rPr>
      <t>4.1</t>
    </r>
    <r>
      <rPr>
        <sz val="11"/>
        <color theme="1"/>
        <rFont val="Calibri"/>
        <family val="2"/>
        <scheme val="minor"/>
      </rPr>
      <t xml:space="preserve"> Parámetro que define el gamma de concreto usado para construcción del muro</t>
    </r>
  </si>
  <si>
    <r>
      <t xml:space="preserve">- Valores en color </t>
    </r>
    <r>
      <rPr>
        <b/>
        <sz val="11"/>
        <color theme="1"/>
        <rFont val="Calibri"/>
        <family val="2"/>
        <scheme val="minor"/>
      </rPr>
      <t>negro</t>
    </r>
    <r>
      <rPr>
        <sz val="11"/>
        <color theme="1"/>
        <rFont val="Calibri"/>
        <family val="2"/>
        <scheme val="minor"/>
      </rPr>
      <t xml:space="preserve"> no modificar, esto se debe a que son conversiones del dato ingresado</t>
    </r>
  </si>
  <si>
    <r>
      <t xml:space="preserve">-Valores en </t>
    </r>
    <r>
      <rPr>
        <b/>
        <sz val="11"/>
        <color rgb="FFC00000"/>
        <rFont val="Calibri"/>
        <family val="2"/>
        <scheme val="minor"/>
      </rPr>
      <t>rojo</t>
    </r>
    <r>
      <rPr>
        <sz val="11"/>
        <color theme="1"/>
        <rFont val="Calibri"/>
        <family val="2"/>
        <scheme val="minor"/>
      </rPr>
      <t xml:space="preserve"> modificables, son aquellos datos que se recomienda al usuario no modificar y en caso de modificación realizar con criterio</t>
    </r>
  </si>
  <si>
    <r>
      <t xml:space="preserve">-Valores en color </t>
    </r>
    <r>
      <rPr>
        <b/>
        <sz val="11"/>
        <color rgb="FF00B0F0"/>
        <rFont val="Calibri"/>
        <family val="2"/>
        <scheme val="minor"/>
      </rPr>
      <t>azul</t>
    </r>
    <r>
      <rPr>
        <sz val="11"/>
        <color theme="1"/>
        <rFont val="Calibri"/>
        <family val="2"/>
        <scheme val="minor"/>
      </rPr>
      <t xml:space="preserve"> modificables, dependiendo de las condiciones de diseño cambiar</t>
    </r>
  </si>
  <si>
    <t>Explicación de nomenclatura:</t>
  </si>
  <si>
    <t>Imagen 1</t>
  </si>
  <si>
    <r>
      <t xml:space="preserve">-Antes de iniciar con el ingreso de datos, revisar la </t>
    </r>
    <r>
      <rPr>
        <b/>
        <i/>
        <sz val="11"/>
        <color theme="1"/>
        <rFont val="Calibri"/>
        <family val="2"/>
        <scheme val="minor"/>
      </rPr>
      <t>Hoja Nomenclatura</t>
    </r>
    <r>
      <rPr>
        <sz val="11"/>
        <color theme="1"/>
        <rFont val="Calibri"/>
        <family val="2"/>
        <scheme val="minor"/>
      </rPr>
      <t xml:space="preserve"> para entender cual es el valor a reemplazar</t>
    </r>
  </si>
  <si>
    <r>
      <t xml:space="preserve">-Cuando se ingresen los datos, verificar las </t>
    </r>
    <r>
      <rPr>
        <b/>
        <i/>
        <sz val="11"/>
        <color theme="1"/>
        <rFont val="Calibri"/>
        <family val="2"/>
        <scheme val="minor"/>
      </rPr>
      <t>unidades</t>
    </r>
    <r>
      <rPr>
        <sz val="11"/>
        <color theme="1"/>
        <rFont val="Calibri"/>
        <family val="2"/>
        <scheme val="minor"/>
      </rPr>
      <t xml:space="preserve"> de cada casilla</t>
    </r>
  </si>
  <si>
    <r>
      <t>H</t>
    </r>
    <r>
      <rPr>
        <vertAlign val="subscript"/>
        <sz val="11"/>
        <color theme="1"/>
        <rFont val="Calibri"/>
        <family val="2"/>
        <scheme val="minor"/>
      </rPr>
      <t>w</t>
    </r>
  </si>
  <si>
    <t>Imagen 2</t>
  </si>
  <si>
    <r>
      <rPr>
        <b/>
        <sz val="11"/>
        <color theme="1"/>
        <rFont val="Calibri"/>
        <family val="2"/>
        <scheme val="minor"/>
      </rPr>
      <t>1.6</t>
    </r>
    <r>
      <rPr>
        <sz val="11"/>
        <color theme="1"/>
        <rFont val="Calibri"/>
        <family val="2"/>
        <scheme val="minor"/>
      </rPr>
      <t xml:space="preserve"> Ancho de parte superior del muro de contención, se recomienda una longitud minima de 0.3 [m]; </t>
    </r>
    <r>
      <rPr>
        <i/>
        <sz val="11"/>
        <color theme="1"/>
        <rFont val="Calibri"/>
        <family val="2"/>
        <scheme val="minor"/>
      </rPr>
      <t xml:space="preserve">Ver </t>
    </r>
    <r>
      <rPr>
        <b/>
        <i/>
        <sz val="11"/>
        <color theme="1"/>
        <rFont val="Calibri"/>
        <family val="2"/>
        <scheme val="minor"/>
      </rPr>
      <t>Imagen 1</t>
    </r>
    <r>
      <rPr>
        <i/>
        <sz val="11"/>
        <color theme="1"/>
        <rFont val="Calibri"/>
        <family val="2"/>
        <scheme val="minor"/>
      </rPr>
      <t xml:space="preserve"> a la derecha</t>
    </r>
  </si>
  <si>
    <r>
      <rPr>
        <b/>
        <sz val="11"/>
        <color theme="1"/>
        <rFont val="Calibri"/>
        <family val="2"/>
        <scheme val="minor"/>
      </rPr>
      <t>1.4</t>
    </r>
    <r>
      <rPr>
        <sz val="11"/>
        <color theme="1"/>
        <rFont val="Calibri"/>
        <family val="2"/>
        <scheme val="minor"/>
      </rPr>
      <t xml:space="preserve"> Factor recomendado para estimar el ancho de la base con respecto a la altura de muro, Recomendación entre (0.5 H a 0.7 H) ; </t>
    </r>
    <r>
      <rPr>
        <i/>
        <sz val="11"/>
        <color theme="1"/>
        <rFont val="Calibri"/>
        <family val="2"/>
        <scheme val="minor"/>
      </rPr>
      <t>Ver</t>
    </r>
    <r>
      <rPr>
        <b/>
        <i/>
        <sz val="11"/>
        <color theme="1"/>
        <rFont val="Calibri"/>
        <family val="2"/>
        <scheme val="minor"/>
      </rPr>
      <t xml:space="preserve"> Imagen 1</t>
    </r>
    <r>
      <rPr>
        <i/>
        <sz val="11"/>
        <color theme="1"/>
        <rFont val="Calibri"/>
        <family val="2"/>
        <scheme val="minor"/>
      </rPr>
      <t xml:space="preserve"> a la derecha</t>
    </r>
  </si>
  <si>
    <r>
      <rPr>
        <b/>
        <sz val="11"/>
        <color theme="1"/>
        <rFont val="Calibri"/>
        <family val="2"/>
        <scheme val="minor"/>
      </rPr>
      <t>-</t>
    </r>
    <r>
      <rPr>
        <sz val="11"/>
        <color theme="1"/>
        <rFont val="Calibri"/>
        <family val="2"/>
        <scheme val="minor"/>
      </rPr>
      <t xml:space="preserve">Cuando se define </t>
    </r>
    <r>
      <rPr>
        <b/>
        <sz val="11"/>
        <color theme="1"/>
        <rFont val="Calibri"/>
        <family val="2"/>
        <scheme val="minor"/>
      </rPr>
      <t>"b"</t>
    </r>
    <r>
      <rPr>
        <sz val="11"/>
        <color theme="1"/>
        <rFont val="Calibri"/>
        <family val="2"/>
        <scheme val="minor"/>
      </rPr>
      <t xml:space="preserve"> se refiere a la base de la figura dibujada en </t>
    </r>
    <r>
      <rPr>
        <b/>
        <i/>
        <sz val="11"/>
        <color theme="1"/>
        <rFont val="Calibri"/>
        <family val="2"/>
        <scheme val="minor"/>
      </rPr>
      <t>Imagen 2</t>
    </r>
  </si>
  <si>
    <r>
      <t xml:space="preserve">-Cuando se define </t>
    </r>
    <r>
      <rPr>
        <b/>
        <sz val="11"/>
        <color theme="1"/>
        <rFont val="Calibri"/>
        <family val="2"/>
        <scheme val="minor"/>
      </rPr>
      <t xml:space="preserve">"h" </t>
    </r>
    <r>
      <rPr>
        <sz val="11"/>
        <color theme="1"/>
        <rFont val="Calibri"/>
        <family val="2"/>
        <scheme val="minor"/>
      </rPr>
      <t xml:space="preserve">se refiere a la altura de la figura dibujada en </t>
    </r>
    <r>
      <rPr>
        <b/>
        <i/>
        <sz val="11"/>
        <color theme="1"/>
        <rFont val="Calibri"/>
        <family val="2"/>
        <scheme val="minor"/>
      </rPr>
      <t>Imagen 2</t>
    </r>
  </si>
  <si>
    <r>
      <t>- Cada subindice se refiere al número de figura representada en</t>
    </r>
    <r>
      <rPr>
        <b/>
        <i/>
        <sz val="11"/>
        <color theme="1"/>
        <rFont val="Calibri"/>
        <family val="2"/>
        <scheme val="minor"/>
      </rPr>
      <t xml:space="preserve"> Imagen 2</t>
    </r>
  </si>
  <si>
    <r>
      <rPr>
        <b/>
        <sz val="11"/>
        <color theme="1"/>
        <rFont val="Calibri"/>
        <family val="2"/>
        <scheme val="minor"/>
      </rPr>
      <t xml:space="preserve">1.5 </t>
    </r>
    <r>
      <rPr>
        <sz val="11"/>
        <color theme="1"/>
        <rFont val="Calibri"/>
        <family val="2"/>
        <scheme val="minor"/>
      </rPr>
      <t>Factor recomendado para definir la pendiente de la cara externa del muro de contención, se recomienda un valor minimo de 0.02; en caso de tener una cara sin pendiente, tomar valor de 0;</t>
    </r>
    <r>
      <rPr>
        <b/>
        <sz val="11"/>
        <color theme="1"/>
        <rFont val="Calibri"/>
        <family val="2"/>
        <scheme val="minor"/>
      </rPr>
      <t xml:space="preserve"> </t>
    </r>
    <r>
      <rPr>
        <i/>
        <sz val="11"/>
        <color theme="1"/>
        <rFont val="Calibri"/>
        <family val="2"/>
        <scheme val="minor"/>
      </rPr>
      <t>Ver</t>
    </r>
    <r>
      <rPr>
        <b/>
        <i/>
        <sz val="11"/>
        <color theme="1"/>
        <rFont val="Calibri"/>
        <family val="2"/>
        <scheme val="minor"/>
      </rPr>
      <t xml:space="preserve"> Imagen 1</t>
    </r>
    <r>
      <rPr>
        <i/>
        <sz val="11"/>
        <color theme="1"/>
        <rFont val="Calibri"/>
        <family val="2"/>
        <scheme val="minor"/>
      </rPr>
      <t xml:space="preserve"> a la derecha</t>
    </r>
  </si>
  <si>
    <r>
      <rPr>
        <b/>
        <sz val="11"/>
        <color theme="1"/>
        <rFont val="Calibri"/>
        <family val="2"/>
        <scheme val="minor"/>
      </rPr>
      <t>2.4</t>
    </r>
    <r>
      <rPr>
        <sz val="11"/>
        <color theme="1"/>
        <rFont val="Calibri"/>
        <family val="2"/>
        <scheme val="minor"/>
      </rPr>
      <t xml:space="preserve"> Gamma saturado del suelo contenido, si no tendrá condiciones con nivel freatico se puede dejar en cero</t>
    </r>
  </si>
  <si>
    <r>
      <rPr>
        <b/>
        <sz val="11"/>
        <color theme="1"/>
        <rFont val="Calibri"/>
        <family val="2"/>
        <scheme val="minor"/>
      </rPr>
      <t>3.4</t>
    </r>
    <r>
      <rPr>
        <sz val="11"/>
        <color theme="1"/>
        <rFont val="Calibri"/>
        <family val="2"/>
        <scheme val="minor"/>
      </rPr>
      <t xml:space="preserve"> Gamma saturado del suelo encima de la punta, si no tendrá condiciones con nivel freatico se puede dejar en cero</t>
    </r>
  </si>
  <si>
    <t>Cálculo de Empuje Activo [Pa] y Empuje Pasivo [Pp]</t>
  </si>
  <si>
    <t>Cálculo de Ka y Kp</t>
  </si>
  <si>
    <t>H'</t>
  </si>
  <si>
    <t>-Es la suma de H con la altura de la figura h2</t>
  </si>
  <si>
    <t>Fórmula Kp</t>
  </si>
  <si>
    <t xml:space="preserve">Metodología Coulomb </t>
  </si>
  <si>
    <t>Numerado Ka</t>
  </si>
  <si>
    <t>Denominador Ka1</t>
  </si>
  <si>
    <t>Fórmula Ka</t>
  </si>
  <si>
    <t>Numerado Kp</t>
  </si>
  <si>
    <t>Denominador Kp1</t>
  </si>
  <si>
    <t>Factor</t>
  </si>
  <si>
    <t>Denominador Kp2</t>
  </si>
  <si>
    <r>
      <t xml:space="preserve">- Se refiere a la pendiente en formato "1 : pendiente" de la </t>
    </r>
    <r>
      <rPr>
        <b/>
        <i/>
        <sz val="11"/>
        <color theme="1"/>
        <rFont val="Calibri"/>
        <family val="2"/>
        <scheme val="minor"/>
      </rPr>
      <t>figura 4</t>
    </r>
  </si>
  <si>
    <r>
      <t xml:space="preserve">-Es la Fricción generada entre el suelo y muro, calculado a partir de un </t>
    </r>
    <r>
      <rPr>
        <b/>
        <i/>
        <sz val="11"/>
        <color theme="1"/>
        <rFont val="Calibri"/>
        <family val="2"/>
        <scheme val="minor"/>
      </rPr>
      <t>factor delta</t>
    </r>
    <r>
      <rPr>
        <sz val="11"/>
        <color theme="1"/>
        <rFont val="Calibri"/>
        <family val="2"/>
        <scheme val="minor"/>
      </rPr>
      <t xml:space="preserve"> por la fricción del </t>
    </r>
    <r>
      <rPr>
        <b/>
        <i/>
        <sz val="11"/>
        <color theme="1"/>
        <rFont val="Calibri"/>
        <family val="2"/>
        <scheme val="minor"/>
      </rPr>
      <t>suelo 1</t>
    </r>
  </si>
  <si>
    <r>
      <t xml:space="preserve">-Grado de inclinación del </t>
    </r>
    <r>
      <rPr>
        <b/>
        <i/>
        <sz val="11"/>
        <color theme="1"/>
        <rFont val="Calibri"/>
        <family val="2"/>
        <scheme val="minor"/>
      </rPr>
      <t>suelo 1</t>
    </r>
  </si>
  <si>
    <r>
      <t xml:space="preserve">-Es el angulo formado por la cara interna del muro, </t>
    </r>
    <r>
      <rPr>
        <b/>
        <i/>
        <sz val="11"/>
        <color theme="1"/>
        <rFont val="Calibri"/>
        <family val="2"/>
        <scheme val="minor"/>
      </rPr>
      <t>ver hoja de Nomenclatura</t>
    </r>
  </si>
  <si>
    <r>
      <t xml:space="preserve">-Ángulo de fricción del </t>
    </r>
    <r>
      <rPr>
        <b/>
        <i/>
        <sz val="11"/>
        <color theme="1"/>
        <rFont val="Calibri"/>
        <family val="2"/>
        <scheme val="minor"/>
      </rPr>
      <t>suelo 1</t>
    </r>
  </si>
  <si>
    <t>-Términos de la ecuación de Ka</t>
  </si>
  <si>
    <r>
      <t xml:space="preserve">- Coeficiente para el Empuje Activo </t>
    </r>
    <r>
      <rPr>
        <b/>
        <i/>
        <sz val="11"/>
        <color theme="1"/>
        <rFont val="Calibri"/>
        <family val="2"/>
        <scheme val="minor"/>
      </rPr>
      <t>por Coulomb</t>
    </r>
  </si>
  <si>
    <r>
      <t xml:space="preserve">-Fórmula para cálculo de coeficiente de Empuje Pasivo </t>
    </r>
    <r>
      <rPr>
        <b/>
        <i/>
        <sz val="11"/>
        <color theme="1"/>
        <rFont val="Calibri"/>
        <family val="2"/>
        <scheme val="minor"/>
      </rPr>
      <t>por Coulomb</t>
    </r>
  </si>
  <si>
    <r>
      <t xml:space="preserve">-Fórmula para cálculo de coeficiente de Empuje Activo  </t>
    </r>
    <r>
      <rPr>
        <b/>
        <i/>
        <sz val="11"/>
        <color theme="1"/>
        <rFont val="Calibri"/>
        <family val="2"/>
        <scheme val="minor"/>
      </rPr>
      <t>por Coulomb</t>
    </r>
  </si>
  <si>
    <r>
      <t xml:space="preserve">-Es la Fricción generada entre el suelo y muro, calculado a partir de un </t>
    </r>
    <r>
      <rPr>
        <b/>
        <i/>
        <sz val="11"/>
        <color theme="1"/>
        <rFont val="Calibri"/>
        <family val="2"/>
        <scheme val="minor"/>
      </rPr>
      <t>factor delta</t>
    </r>
    <r>
      <rPr>
        <sz val="11"/>
        <color theme="1"/>
        <rFont val="Calibri"/>
        <family val="2"/>
        <scheme val="minor"/>
      </rPr>
      <t xml:space="preserve"> por la fricción del </t>
    </r>
    <r>
      <rPr>
        <b/>
        <i/>
        <sz val="11"/>
        <color theme="1"/>
        <rFont val="Calibri"/>
        <family val="2"/>
        <scheme val="minor"/>
      </rPr>
      <t>suelo 2</t>
    </r>
  </si>
  <si>
    <r>
      <t xml:space="preserve">-Es el angulo formado por la cara externa del muro, </t>
    </r>
    <r>
      <rPr>
        <b/>
        <i/>
        <sz val="11"/>
        <color theme="1"/>
        <rFont val="Calibri"/>
        <family val="2"/>
        <scheme val="minor"/>
      </rPr>
      <t>ver hoja de Nomenclatura</t>
    </r>
  </si>
  <si>
    <r>
      <t xml:space="preserve">-Ángulo de fricción del </t>
    </r>
    <r>
      <rPr>
        <b/>
        <i/>
        <sz val="11"/>
        <color theme="1"/>
        <rFont val="Calibri"/>
        <family val="2"/>
        <scheme val="minor"/>
      </rPr>
      <t>suelo 2</t>
    </r>
  </si>
  <si>
    <t>-Términos de la ecuación de Kp</t>
  </si>
  <si>
    <r>
      <t xml:space="preserve">- Coeficiente para el Empuje Pasivo </t>
    </r>
    <r>
      <rPr>
        <b/>
        <i/>
        <sz val="11"/>
        <color theme="1"/>
        <rFont val="Calibri"/>
        <family val="2"/>
        <scheme val="minor"/>
      </rPr>
      <t>por Coulomb</t>
    </r>
  </si>
  <si>
    <t>Si no hay nivel freático</t>
  </si>
  <si>
    <t>Si hay nivel freático</t>
  </si>
  <si>
    <t>JK</t>
  </si>
  <si>
    <t>BF = CE</t>
  </si>
  <si>
    <t>BG</t>
  </si>
  <si>
    <t>FG</t>
  </si>
  <si>
    <t>H1</t>
  </si>
  <si>
    <t>H2</t>
  </si>
  <si>
    <t>[m2]</t>
  </si>
  <si>
    <t>Pw</t>
  </si>
  <si>
    <t>[kN/m]</t>
  </si>
  <si>
    <t>El resultado final será</t>
  </si>
  <si>
    <r>
      <t>-Para el cálculo de los empujes activos</t>
    </r>
    <r>
      <rPr>
        <b/>
        <i/>
        <sz val="11"/>
        <color theme="1"/>
        <rFont val="Calibri"/>
        <family val="2"/>
        <scheme val="minor"/>
      </rPr>
      <t xml:space="preserve"> por Coulomb</t>
    </r>
    <r>
      <rPr>
        <sz val="11"/>
        <color theme="1"/>
        <rFont val="Calibri"/>
        <family val="2"/>
        <scheme val="minor"/>
      </rPr>
      <t xml:space="preserve"> se tendrá en cuenta la presencia de un nivel freatico de igual altura de columna de agua durante el desarrollo de la superficie de falla</t>
    </r>
  </si>
  <si>
    <r>
      <t xml:space="preserve">- Fórmula de Empuje Activo </t>
    </r>
    <r>
      <rPr>
        <b/>
        <i/>
        <sz val="11"/>
        <color theme="1"/>
        <rFont val="Calibri"/>
        <family val="2"/>
        <scheme val="minor"/>
      </rPr>
      <t>por Coulomb</t>
    </r>
    <r>
      <rPr>
        <sz val="11"/>
        <color theme="1"/>
        <rFont val="Calibri"/>
        <family val="2"/>
        <scheme val="minor"/>
      </rPr>
      <t xml:space="preserve"> sin contar Columna de agua</t>
    </r>
  </si>
  <si>
    <r>
      <t xml:space="preserve">- Fórmula de Empuje Pasivo </t>
    </r>
    <r>
      <rPr>
        <b/>
        <i/>
        <sz val="11"/>
        <color theme="1"/>
        <rFont val="Calibri"/>
        <family val="2"/>
        <scheme val="minor"/>
      </rPr>
      <t>por Coulomb</t>
    </r>
    <r>
      <rPr>
        <sz val="11"/>
        <color theme="1"/>
        <rFont val="Calibri"/>
        <family val="2"/>
        <scheme val="minor"/>
      </rPr>
      <t xml:space="preserve"> sin contar columna de agua</t>
    </r>
  </si>
  <si>
    <r>
      <t xml:space="preserve">- Resultado de Empuje Pasivo </t>
    </r>
    <r>
      <rPr>
        <b/>
        <i/>
        <sz val="11"/>
        <color theme="1"/>
        <rFont val="Calibri"/>
        <family val="2"/>
        <scheme val="minor"/>
      </rPr>
      <t>por Coulomb</t>
    </r>
    <r>
      <rPr>
        <sz val="11"/>
        <color theme="1"/>
        <rFont val="Calibri"/>
        <family val="2"/>
        <scheme val="minor"/>
      </rPr>
      <t xml:space="preserve"> sin contar columna de agua</t>
    </r>
  </si>
  <si>
    <r>
      <t xml:space="preserve">- Resultado de Empuje Activo </t>
    </r>
    <r>
      <rPr>
        <b/>
        <i/>
        <sz val="11"/>
        <color theme="1"/>
        <rFont val="Calibri"/>
        <family val="2"/>
        <scheme val="minor"/>
      </rPr>
      <t>por Coulomb</t>
    </r>
    <r>
      <rPr>
        <sz val="11"/>
        <color theme="1"/>
        <rFont val="Calibri"/>
        <family val="2"/>
        <scheme val="minor"/>
      </rPr>
      <t xml:space="preserve"> sin contar columna de agua</t>
    </r>
  </si>
  <si>
    <r>
      <t xml:space="preserve">-Altura de muro + altura de </t>
    </r>
    <r>
      <rPr>
        <b/>
        <i/>
        <sz val="11"/>
        <color theme="1"/>
        <rFont val="Calibri"/>
        <family val="2"/>
        <scheme val="minor"/>
      </rPr>
      <t>figura 2</t>
    </r>
  </si>
  <si>
    <r>
      <t>H</t>
    </r>
    <r>
      <rPr>
        <vertAlign val="subscript"/>
        <sz val="11"/>
        <color theme="1"/>
        <rFont val="Calibri"/>
        <family val="2"/>
        <scheme val="minor"/>
      </rPr>
      <t>total</t>
    </r>
  </si>
  <si>
    <r>
      <t xml:space="preserve">-Altura de </t>
    </r>
    <r>
      <rPr>
        <b/>
        <i/>
        <sz val="11"/>
        <color theme="1"/>
        <rFont val="Calibri"/>
        <family val="2"/>
        <scheme val="minor"/>
      </rPr>
      <t>nivel freático</t>
    </r>
    <r>
      <rPr>
        <sz val="11"/>
        <color theme="1"/>
        <rFont val="Calibri"/>
        <family val="2"/>
        <scheme val="minor"/>
      </rPr>
      <t xml:space="preserve"> medido desde la base del muro</t>
    </r>
  </si>
  <si>
    <r>
      <t xml:space="preserve">-Gamma del </t>
    </r>
    <r>
      <rPr>
        <b/>
        <i/>
        <sz val="11"/>
        <color theme="1"/>
        <rFont val="Calibri"/>
        <family val="2"/>
        <scheme val="minor"/>
      </rPr>
      <t>suelo 1</t>
    </r>
  </si>
  <si>
    <r>
      <t xml:space="preserve">-Gamma sumergido del </t>
    </r>
    <r>
      <rPr>
        <b/>
        <i/>
        <sz val="11"/>
        <color theme="1"/>
        <rFont val="Calibri"/>
        <family val="2"/>
        <scheme val="minor"/>
      </rPr>
      <t>suelo 1</t>
    </r>
  </si>
  <si>
    <r>
      <t xml:space="preserve">-Gamma del </t>
    </r>
    <r>
      <rPr>
        <b/>
        <i/>
        <sz val="11"/>
        <color theme="1"/>
        <rFont val="Calibri"/>
        <family val="2"/>
        <scheme val="minor"/>
      </rPr>
      <t>agua</t>
    </r>
  </si>
  <si>
    <t>Figura 3</t>
  </si>
  <si>
    <r>
      <t xml:space="preserve">-Lado JK de </t>
    </r>
    <r>
      <rPr>
        <b/>
        <i/>
        <sz val="11"/>
        <color theme="1"/>
        <rFont val="Calibri"/>
        <family val="2"/>
        <scheme val="minor"/>
      </rPr>
      <t>Figura 3</t>
    </r>
  </si>
  <si>
    <r>
      <t xml:space="preserve">-Lado BF y CE de </t>
    </r>
    <r>
      <rPr>
        <b/>
        <i/>
        <sz val="11"/>
        <color theme="1"/>
        <rFont val="Calibri"/>
        <family val="2"/>
        <scheme val="minor"/>
      </rPr>
      <t>Figura 3</t>
    </r>
  </si>
  <si>
    <r>
      <t xml:space="preserve">-Lado BG de </t>
    </r>
    <r>
      <rPr>
        <b/>
        <i/>
        <sz val="11"/>
        <color theme="1"/>
        <rFont val="Calibri"/>
        <family val="2"/>
        <scheme val="minor"/>
      </rPr>
      <t>Figura 3</t>
    </r>
  </si>
  <si>
    <r>
      <t xml:space="preserve">-Lado FG de </t>
    </r>
    <r>
      <rPr>
        <b/>
        <i/>
        <sz val="11"/>
        <color theme="1"/>
        <rFont val="Calibri"/>
        <family val="2"/>
        <scheme val="minor"/>
      </rPr>
      <t>Figura 3</t>
    </r>
  </si>
  <si>
    <r>
      <t xml:space="preserve">-Lado H1 de </t>
    </r>
    <r>
      <rPr>
        <b/>
        <i/>
        <sz val="11"/>
        <color theme="1"/>
        <rFont val="Calibri"/>
        <family val="2"/>
        <scheme val="minor"/>
      </rPr>
      <t>Figura 3</t>
    </r>
    <r>
      <rPr>
        <sz val="11"/>
        <color theme="1"/>
        <rFont val="Calibri"/>
        <family val="2"/>
        <scheme val="minor"/>
      </rPr>
      <t>, sería altura total menos altura de columna de agua</t>
    </r>
  </si>
  <si>
    <r>
      <t xml:space="preserve">-Lado H2 de </t>
    </r>
    <r>
      <rPr>
        <b/>
        <i/>
        <sz val="11"/>
        <color theme="1"/>
        <rFont val="Calibri"/>
        <family val="2"/>
        <scheme val="minor"/>
      </rPr>
      <t>Figura 3</t>
    </r>
    <r>
      <rPr>
        <sz val="11"/>
        <color theme="1"/>
        <rFont val="Calibri"/>
        <family val="2"/>
        <scheme val="minor"/>
      </rPr>
      <t>, sería la altura de columna de agua</t>
    </r>
  </si>
  <si>
    <r>
      <t xml:space="preserve">-Área del triángulo ACE de </t>
    </r>
    <r>
      <rPr>
        <b/>
        <i/>
        <sz val="11"/>
        <color theme="1"/>
        <rFont val="Calibri"/>
        <family val="2"/>
        <scheme val="minor"/>
      </rPr>
      <t>Figura 3</t>
    </r>
  </si>
  <si>
    <r>
      <t xml:space="preserve">-Área del rectángulo CEBF de </t>
    </r>
    <r>
      <rPr>
        <b/>
        <i/>
        <sz val="11"/>
        <color theme="1"/>
        <rFont val="Calibri"/>
        <family val="2"/>
        <scheme val="minor"/>
      </rPr>
      <t>Figura 3</t>
    </r>
  </si>
  <si>
    <r>
      <t xml:space="preserve">-Área del triángulo EFG de </t>
    </r>
    <r>
      <rPr>
        <b/>
        <i/>
        <sz val="11"/>
        <color theme="1"/>
        <rFont val="Calibri"/>
        <family val="2"/>
        <scheme val="minor"/>
      </rPr>
      <t>Figura 3</t>
    </r>
  </si>
  <si>
    <r>
      <t xml:space="preserve">-Área del triángulo IJK de </t>
    </r>
    <r>
      <rPr>
        <b/>
        <i/>
        <sz val="11"/>
        <color theme="1"/>
        <rFont val="Calibri"/>
        <family val="2"/>
        <scheme val="minor"/>
      </rPr>
      <t>Figura 3</t>
    </r>
  </si>
  <si>
    <r>
      <t xml:space="preserve">-Brazo del triangulo ACE de </t>
    </r>
    <r>
      <rPr>
        <b/>
        <i/>
        <sz val="11"/>
        <color theme="1"/>
        <rFont val="Calibri"/>
        <family val="2"/>
        <scheme val="minor"/>
      </rPr>
      <t>Figura 3</t>
    </r>
    <r>
      <rPr>
        <sz val="11"/>
        <color theme="1"/>
        <rFont val="Calibri"/>
        <family val="2"/>
        <scheme val="minor"/>
      </rPr>
      <t xml:space="preserve"> con respecto al punto </t>
    </r>
    <r>
      <rPr>
        <b/>
        <i/>
        <sz val="11"/>
        <color theme="1"/>
        <rFont val="Calibri"/>
        <family val="2"/>
        <scheme val="minor"/>
      </rPr>
      <t>O</t>
    </r>
    <r>
      <rPr>
        <sz val="11"/>
        <color theme="1"/>
        <rFont val="Calibri"/>
        <family val="2"/>
        <scheme val="minor"/>
      </rPr>
      <t xml:space="preserve"> de la hoja </t>
    </r>
    <r>
      <rPr>
        <b/>
        <i/>
        <sz val="11"/>
        <color theme="1"/>
        <rFont val="Calibri"/>
        <family val="2"/>
        <scheme val="minor"/>
      </rPr>
      <t>Nomenclatura</t>
    </r>
  </si>
  <si>
    <r>
      <t xml:space="preserve">-Brazo del rectángulo CEBF de </t>
    </r>
    <r>
      <rPr>
        <b/>
        <i/>
        <sz val="11"/>
        <color theme="1"/>
        <rFont val="Calibri"/>
        <family val="2"/>
        <scheme val="minor"/>
      </rPr>
      <t>Figura 3</t>
    </r>
    <r>
      <rPr>
        <sz val="11"/>
        <color theme="1"/>
        <rFont val="Calibri"/>
        <family val="2"/>
        <scheme val="minor"/>
      </rPr>
      <t xml:space="preserve"> con respecto al punto </t>
    </r>
    <r>
      <rPr>
        <b/>
        <i/>
        <sz val="11"/>
        <color theme="1"/>
        <rFont val="Calibri"/>
        <family val="2"/>
        <scheme val="minor"/>
      </rPr>
      <t>O</t>
    </r>
    <r>
      <rPr>
        <sz val="11"/>
        <color theme="1"/>
        <rFont val="Calibri"/>
        <family val="2"/>
        <scheme val="minor"/>
      </rPr>
      <t xml:space="preserve"> de la hoja </t>
    </r>
    <r>
      <rPr>
        <b/>
        <i/>
        <sz val="11"/>
        <color theme="1"/>
        <rFont val="Calibri"/>
        <family val="2"/>
        <scheme val="minor"/>
      </rPr>
      <t>Nomenclatura</t>
    </r>
  </si>
  <si>
    <r>
      <t xml:space="preserve">-Brazo del triangulo EFG de </t>
    </r>
    <r>
      <rPr>
        <b/>
        <i/>
        <sz val="11"/>
        <color theme="1"/>
        <rFont val="Calibri"/>
        <family val="2"/>
        <scheme val="minor"/>
      </rPr>
      <t>Figura 3</t>
    </r>
    <r>
      <rPr>
        <sz val="11"/>
        <color theme="1"/>
        <rFont val="Calibri"/>
        <family val="2"/>
        <scheme val="minor"/>
      </rPr>
      <t xml:space="preserve"> con respecto al punto </t>
    </r>
    <r>
      <rPr>
        <b/>
        <i/>
        <sz val="11"/>
        <color theme="1"/>
        <rFont val="Calibri"/>
        <family val="2"/>
        <scheme val="minor"/>
      </rPr>
      <t>O</t>
    </r>
    <r>
      <rPr>
        <sz val="11"/>
        <color theme="1"/>
        <rFont val="Calibri"/>
        <family val="2"/>
        <scheme val="minor"/>
      </rPr>
      <t xml:space="preserve"> de la hoja </t>
    </r>
    <r>
      <rPr>
        <b/>
        <i/>
        <sz val="11"/>
        <color theme="1"/>
        <rFont val="Calibri"/>
        <family val="2"/>
        <scheme val="minor"/>
      </rPr>
      <t>Nomenclatura</t>
    </r>
  </si>
  <si>
    <r>
      <t xml:space="preserve">-Brazo total de las figuras compuestas en </t>
    </r>
    <r>
      <rPr>
        <b/>
        <i/>
        <sz val="11"/>
        <color theme="1"/>
        <rFont val="Calibri"/>
        <family val="2"/>
        <scheme val="minor"/>
      </rPr>
      <t>Figura 3</t>
    </r>
    <r>
      <rPr>
        <sz val="11"/>
        <color theme="1"/>
        <rFont val="Calibri"/>
        <family val="2"/>
        <scheme val="minor"/>
      </rPr>
      <t xml:space="preserve"> con respecto al punto 0 de la hoja </t>
    </r>
    <r>
      <rPr>
        <b/>
        <i/>
        <sz val="11"/>
        <color theme="1"/>
        <rFont val="Calibri"/>
        <family val="2"/>
        <scheme val="minor"/>
      </rPr>
      <t>Nomenclatura</t>
    </r>
  </si>
  <si>
    <r>
      <t xml:space="preserve">-Brazo del triangulo IJK de </t>
    </r>
    <r>
      <rPr>
        <b/>
        <i/>
        <sz val="11"/>
        <color theme="1"/>
        <rFont val="Calibri"/>
        <family val="2"/>
        <scheme val="minor"/>
      </rPr>
      <t>Figura 3</t>
    </r>
    <r>
      <rPr>
        <sz val="11"/>
        <color theme="1"/>
        <rFont val="Calibri"/>
        <family val="2"/>
        <scheme val="minor"/>
      </rPr>
      <t xml:space="preserve"> correspondiente al empuje de Agua con respecto al punto</t>
    </r>
    <r>
      <rPr>
        <b/>
        <i/>
        <sz val="11"/>
        <color theme="1"/>
        <rFont val="Calibri"/>
        <family val="2"/>
        <scheme val="minor"/>
      </rPr>
      <t xml:space="preserve"> O</t>
    </r>
    <r>
      <rPr>
        <sz val="11"/>
        <color theme="1"/>
        <rFont val="Calibri"/>
        <family val="2"/>
        <scheme val="minor"/>
      </rPr>
      <t xml:space="preserve"> de la hoja </t>
    </r>
    <r>
      <rPr>
        <b/>
        <i/>
        <sz val="11"/>
        <color theme="1"/>
        <rFont val="Calibri"/>
        <family val="2"/>
        <scheme val="minor"/>
      </rPr>
      <t>Nomenclatura</t>
    </r>
  </si>
  <si>
    <r>
      <t xml:space="preserve">-Resultado de Empuje total de </t>
    </r>
    <r>
      <rPr>
        <b/>
        <i/>
        <sz val="11"/>
        <color theme="1"/>
        <rFont val="Calibri"/>
        <family val="2"/>
        <scheme val="minor"/>
      </rPr>
      <t>agua</t>
    </r>
  </si>
  <si>
    <r>
      <t xml:space="preserve">- Resultado de Empuje Activo </t>
    </r>
    <r>
      <rPr>
        <b/>
        <i/>
        <sz val="11"/>
        <color theme="1"/>
        <rFont val="Calibri"/>
        <family val="2"/>
        <scheme val="minor"/>
      </rPr>
      <t>por Coulomb</t>
    </r>
    <r>
      <rPr>
        <sz val="11"/>
        <color theme="1"/>
        <rFont val="Calibri"/>
        <family val="2"/>
        <scheme val="minor"/>
      </rPr>
      <t xml:space="preserve"> contando columna de </t>
    </r>
    <r>
      <rPr>
        <b/>
        <i/>
        <sz val="11"/>
        <color theme="1"/>
        <rFont val="Calibri"/>
        <family val="2"/>
        <scheme val="minor"/>
      </rPr>
      <t>agua</t>
    </r>
  </si>
  <si>
    <r>
      <t xml:space="preserve">- Resultado de Empuje Activo </t>
    </r>
    <r>
      <rPr>
        <b/>
        <i/>
        <sz val="11"/>
        <color theme="1"/>
        <rFont val="Calibri"/>
        <family val="2"/>
        <scheme val="minor"/>
      </rPr>
      <t>por Coulomb</t>
    </r>
  </si>
  <si>
    <r>
      <t>Area</t>
    </r>
    <r>
      <rPr>
        <vertAlign val="subscript"/>
        <sz val="11"/>
        <color theme="1"/>
        <rFont val="Calibri"/>
        <family val="2"/>
        <scheme val="minor"/>
      </rPr>
      <t>ACE</t>
    </r>
  </si>
  <si>
    <r>
      <t>Area</t>
    </r>
    <r>
      <rPr>
        <vertAlign val="subscript"/>
        <sz val="11"/>
        <color theme="1"/>
        <rFont val="Calibri"/>
        <family val="2"/>
        <scheme val="minor"/>
      </rPr>
      <t>CEBF</t>
    </r>
  </si>
  <si>
    <r>
      <t>Area</t>
    </r>
    <r>
      <rPr>
        <vertAlign val="subscript"/>
        <sz val="11"/>
        <color theme="1"/>
        <rFont val="Calibri"/>
        <family val="2"/>
        <scheme val="minor"/>
      </rPr>
      <t>EFG</t>
    </r>
  </si>
  <si>
    <r>
      <t>Area</t>
    </r>
    <r>
      <rPr>
        <vertAlign val="subscript"/>
        <sz val="11"/>
        <color theme="1"/>
        <rFont val="Calibri"/>
        <family val="2"/>
        <scheme val="minor"/>
      </rPr>
      <t>IJK</t>
    </r>
  </si>
  <si>
    <r>
      <t>brazoX</t>
    </r>
    <r>
      <rPr>
        <vertAlign val="subscript"/>
        <sz val="11"/>
        <color theme="1"/>
        <rFont val="Calibri"/>
        <family val="2"/>
        <scheme val="minor"/>
      </rPr>
      <t>ACE</t>
    </r>
  </si>
  <si>
    <r>
      <t>brazoX</t>
    </r>
    <r>
      <rPr>
        <vertAlign val="subscript"/>
        <sz val="11"/>
        <color theme="1"/>
        <rFont val="Calibri"/>
        <family val="2"/>
        <scheme val="minor"/>
      </rPr>
      <t>CEBF</t>
    </r>
  </si>
  <si>
    <r>
      <t>brazoX</t>
    </r>
    <r>
      <rPr>
        <vertAlign val="subscript"/>
        <sz val="11"/>
        <color theme="1"/>
        <rFont val="Calibri"/>
        <family val="2"/>
        <scheme val="minor"/>
      </rPr>
      <t>EFG</t>
    </r>
  </si>
  <si>
    <r>
      <t>brazoX</t>
    </r>
    <r>
      <rPr>
        <vertAlign val="subscript"/>
        <sz val="11"/>
        <color theme="1"/>
        <rFont val="Calibri"/>
        <family val="2"/>
        <scheme val="minor"/>
      </rPr>
      <t>Pa</t>
    </r>
  </si>
  <si>
    <r>
      <t>brazoX</t>
    </r>
    <r>
      <rPr>
        <vertAlign val="subscript"/>
        <sz val="11"/>
        <color theme="1"/>
        <rFont val="Calibri"/>
        <family val="2"/>
        <scheme val="minor"/>
      </rPr>
      <t>Pw</t>
    </r>
  </si>
  <si>
    <t>Dimensiones de diseño</t>
  </si>
  <si>
    <t>Dimensiones recomendadas</t>
  </si>
  <si>
    <r>
      <t xml:space="preserve">- Se observan dos columnas, una con </t>
    </r>
    <r>
      <rPr>
        <b/>
        <i/>
        <sz val="11"/>
        <color theme="1"/>
        <rFont val="Calibri"/>
        <family val="2"/>
        <scheme val="minor"/>
      </rPr>
      <t>dimensiones de diseño</t>
    </r>
    <r>
      <rPr>
        <sz val="11"/>
        <color theme="1"/>
        <rFont val="Calibri"/>
        <family val="2"/>
        <scheme val="minor"/>
      </rPr>
      <t xml:space="preserve"> y otra con </t>
    </r>
    <r>
      <rPr>
        <b/>
        <i/>
        <sz val="11"/>
        <color theme="1"/>
        <rFont val="Calibri"/>
        <family val="2"/>
        <scheme val="minor"/>
      </rPr>
      <t>dimensiones recomendadas</t>
    </r>
    <r>
      <rPr>
        <sz val="11"/>
        <color theme="1"/>
        <rFont val="Calibri"/>
        <family val="2"/>
        <scheme val="minor"/>
      </rPr>
      <t xml:space="preserve">, las modificables serán las de dimension de diseño en caso tal de que se quiera variar una medida en especifico del muro, por otro lado las recomendadas hacen alusión a las dimensiones dadas en </t>
    </r>
    <r>
      <rPr>
        <b/>
        <i/>
        <sz val="11"/>
        <color theme="1"/>
        <rFont val="Calibri"/>
        <family val="2"/>
        <scheme val="minor"/>
      </rPr>
      <t>Figura 1</t>
    </r>
  </si>
  <si>
    <r>
      <t>b</t>
    </r>
    <r>
      <rPr>
        <b/>
        <vertAlign val="subscript"/>
        <sz val="11"/>
        <color theme="1"/>
        <rFont val="Calibri"/>
        <family val="2"/>
        <scheme val="minor"/>
      </rPr>
      <t>1</t>
    </r>
  </si>
  <si>
    <r>
      <t>h</t>
    </r>
    <r>
      <rPr>
        <b/>
        <vertAlign val="subscript"/>
        <sz val="11"/>
        <color theme="1"/>
        <rFont val="Calibri"/>
        <family val="2"/>
        <scheme val="minor"/>
      </rPr>
      <t>1</t>
    </r>
  </si>
  <si>
    <r>
      <t>b</t>
    </r>
    <r>
      <rPr>
        <b/>
        <vertAlign val="subscript"/>
        <sz val="11"/>
        <color theme="1"/>
        <rFont val="Calibri"/>
        <family val="2"/>
        <scheme val="minor"/>
      </rPr>
      <t>2</t>
    </r>
  </si>
  <si>
    <r>
      <t>h</t>
    </r>
    <r>
      <rPr>
        <b/>
        <vertAlign val="subscript"/>
        <sz val="11"/>
        <color theme="1"/>
        <rFont val="Calibri"/>
        <family val="2"/>
        <scheme val="minor"/>
      </rPr>
      <t>2</t>
    </r>
  </si>
  <si>
    <r>
      <t>b</t>
    </r>
    <r>
      <rPr>
        <b/>
        <vertAlign val="subscript"/>
        <sz val="11"/>
        <color theme="1"/>
        <rFont val="Calibri"/>
        <family val="2"/>
        <scheme val="minor"/>
      </rPr>
      <t>3</t>
    </r>
  </si>
  <si>
    <r>
      <t>h</t>
    </r>
    <r>
      <rPr>
        <b/>
        <vertAlign val="subscript"/>
        <sz val="11"/>
        <color theme="1"/>
        <rFont val="Calibri"/>
        <family val="2"/>
        <scheme val="minor"/>
      </rPr>
      <t>3</t>
    </r>
  </si>
  <si>
    <r>
      <t>b</t>
    </r>
    <r>
      <rPr>
        <b/>
        <vertAlign val="subscript"/>
        <sz val="11"/>
        <color theme="1"/>
        <rFont val="Calibri"/>
        <family val="2"/>
        <scheme val="minor"/>
      </rPr>
      <t>4</t>
    </r>
  </si>
  <si>
    <r>
      <t>h</t>
    </r>
    <r>
      <rPr>
        <b/>
        <vertAlign val="subscript"/>
        <sz val="11"/>
        <color theme="1"/>
        <rFont val="Calibri"/>
        <family val="2"/>
        <scheme val="minor"/>
      </rPr>
      <t>4</t>
    </r>
  </si>
  <si>
    <r>
      <t>b</t>
    </r>
    <r>
      <rPr>
        <b/>
        <vertAlign val="subscript"/>
        <sz val="11"/>
        <color theme="1"/>
        <rFont val="Calibri"/>
        <family val="2"/>
        <scheme val="minor"/>
      </rPr>
      <t>5</t>
    </r>
  </si>
  <si>
    <r>
      <t>h</t>
    </r>
    <r>
      <rPr>
        <b/>
        <vertAlign val="subscript"/>
        <sz val="11"/>
        <color theme="1"/>
        <rFont val="Calibri"/>
        <family val="2"/>
        <scheme val="minor"/>
      </rPr>
      <t>5</t>
    </r>
  </si>
  <si>
    <t>Fuerzas y Momentos Verticales</t>
  </si>
  <si>
    <t>Sección</t>
  </si>
  <si>
    <t>Área [m2]</t>
  </si>
  <si>
    <t>Peso [kN/m]</t>
  </si>
  <si>
    <t>Brazo [m]</t>
  </si>
  <si>
    <t>Momento [kN m/m]</t>
  </si>
  <si>
    <t>Signo de giro</t>
  </si>
  <si>
    <t>+</t>
  </si>
  <si>
    <t>- Para el cálculo de las fuerzas y momentos verticales se obtienen las áreas correspondientes a cada sección de la figura y con ello se halla su respectivo peso y brazo para finalmente hallar el momento</t>
  </si>
  <si>
    <t>- Signo positivo del mmento se asume giro horario</t>
  </si>
  <si>
    <t>- Sumatoria de fuerzas verticales</t>
  </si>
  <si>
    <t>[kN m/m]</t>
  </si>
  <si>
    <t>Fuerza de sismo</t>
  </si>
  <si>
    <t>kh</t>
  </si>
  <si>
    <t>kh0</t>
  </si>
  <si>
    <t>kp</t>
  </si>
  <si>
    <t>kv</t>
  </si>
  <si>
    <t>término 1 Ka</t>
  </si>
  <si>
    <t>término 2 Ka</t>
  </si>
  <si>
    <t>Término 3 Ka</t>
  </si>
  <si>
    <r>
      <t>Ka</t>
    </r>
    <r>
      <rPr>
        <vertAlign val="subscript"/>
        <sz val="11"/>
        <color theme="1"/>
        <rFont val="Calibri"/>
        <family val="2"/>
        <scheme val="minor"/>
      </rPr>
      <t>dinamico</t>
    </r>
  </si>
  <si>
    <t>Normativa</t>
  </si>
  <si>
    <t>Fpga</t>
  </si>
  <si>
    <t>PGA</t>
  </si>
  <si>
    <t>CCP-14 3.10.2.1</t>
  </si>
  <si>
    <t>- Aceleración pico del terreno revisar región de colombia en la sección de la normativa señalada</t>
  </si>
  <si>
    <t>Interpolación lineal</t>
  </si>
  <si>
    <t>X1</t>
  </si>
  <si>
    <t>Y1</t>
  </si>
  <si>
    <t>X2</t>
  </si>
  <si>
    <t>Y2</t>
  </si>
  <si>
    <t>m</t>
  </si>
  <si>
    <t>Xi</t>
  </si>
  <si>
    <t>Yi</t>
  </si>
  <si>
    <t>Tipo de perfil</t>
  </si>
  <si>
    <t>C</t>
  </si>
  <si>
    <t>Región</t>
  </si>
  <si>
    <t>CCP-14 3.10.3.2.1</t>
  </si>
  <si>
    <t>-Sumatoria de momentos asociados con las fuerzas verticales Mr</t>
  </si>
  <si>
    <t>- Factor de sitio para periodo nulo en el espectro de respuesta de aceleraciones</t>
  </si>
  <si>
    <t>CCP14 3.11.6.4-1</t>
  </si>
  <si>
    <t>heq</t>
  </si>
  <si>
    <t>-Presión constante horizontal de suelo debida a la sobrecarga por carga viva</t>
  </si>
  <si>
    <t>Resultante de sobrecarga</t>
  </si>
  <si>
    <t>Delta_p</t>
  </si>
  <si>
    <t>[MPa]</t>
  </si>
  <si>
    <t>- Coeficiente de empuje Activo</t>
  </si>
  <si>
    <t>-Fuerza resultante por sobrecarga</t>
  </si>
  <si>
    <t>Altura del Estribo [mm]</t>
  </si>
  <si>
    <t>Altura del muro de contención [mm]</t>
  </si>
  <si>
    <t>0.0 mm</t>
  </si>
  <si>
    <t>300 mm o  más</t>
  </si>
  <si>
    <t>&gt; 6000</t>
  </si>
  <si>
    <t>&gt;6000</t>
  </si>
  <si>
    <t>Altura</t>
  </si>
  <si>
    <r>
      <rPr>
        <b/>
        <sz val="11"/>
        <color theme="1"/>
        <rFont val="Calibri"/>
        <family val="2"/>
        <scheme val="minor"/>
      </rPr>
      <t>heq [mm]</t>
    </r>
    <r>
      <rPr>
        <sz val="11"/>
        <color theme="1"/>
        <rFont val="Calibri"/>
        <family val="2"/>
        <scheme val="minor"/>
      </rPr>
      <t xml:space="preserve"> Distancia desde el respaldo del muro al borde del tráfico</t>
    </r>
  </si>
  <si>
    <t>CCP14 Tabla 3.11.6.4-1</t>
  </si>
  <si>
    <t>CCP14 Tabla 3.11.6.4-2</t>
  </si>
  <si>
    <t>- Alturas equivalentes de suelo para carga vehicular sobre estribos perpendiculares al trafico</t>
  </si>
  <si>
    <t>-Alturas equivalentes de suelo para carga vehicular sobre muros de contencion paralelos al trafico</t>
  </si>
  <si>
    <t>-Altura total del muro de contencion</t>
  </si>
  <si>
    <t>Fuerza de columna de agua</t>
  </si>
  <si>
    <t>kh modificado</t>
  </si>
  <si>
    <t>- Coeficiente de empuje activo dinamico</t>
  </si>
  <si>
    <t>- Fuerza por sismo</t>
  </si>
  <si>
    <t>Resultante [kN /m]</t>
  </si>
  <si>
    <t>F_x [kN /m]</t>
  </si>
  <si>
    <t>F_y [kN /m]</t>
  </si>
  <si>
    <t>M_x [kN /m x m]</t>
  </si>
  <si>
    <t>M_y [kN /m x m]</t>
  </si>
  <si>
    <t>-</t>
  </si>
  <si>
    <t>SobreCarga</t>
  </si>
  <si>
    <t>Ew</t>
  </si>
  <si>
    <t>-Fuerza de sismo</t>
  </si>
  <si>
    <t>-Peso de muro y suelo</t>
  </si>
  <si>
    <t>-Empuje de Agua</t>
  </si>
  <si>
    <r>
      <rPr>
        <b/>
        <sz val="11"/>
        <color theme="1"/>
        <rFont val="Symbol"/>
        <family val="1"/>
        <charset val="2"/>
      </rPr>
      <t>D</t>
    </r>
    <r>
      <rPr>
        <b/>
        <sz val="11"/>
        <color theme="1"/>
        <rFont val="Calibri"/>
        <family val="2"/>
        <scheme val="minor"/>
      </rPr>
      <t>E</t>
    </r>
    <r>
      <rPr>
        <b/>
        <vertAlign val="subscript"/>
        <sz val="11"/>
        <color theme="1"/>
        <rFont val="Calibri"/>
        <family val="2"/>
        <scheme val="minor"/>
      </rPr>
      <t>AD</t>
    </r>
  </si>
  <si>
    <r>
      <t>E</t>
    </r>
    <r>
      <rPr>
        <b/>
        <vertAlign val="subscript"/>
        <sz val="11"/>
        <color theme="1"/>
        <rFont val="Calibri"/>
        <family val="2"/>
        <scheme val="minor"/>
      </rPr>
      <t>PE</t>
    </r>
  </si>
  <si>
    <r>
      <t>E</t>
    </r>
    <r>
      <rPr>
        <b/>
        <vertAlign val="subscript"/>
        <sz val="11"/>
        <color theme="1"/>
        <rFont val="Calibri"/>
        <family val="2"/>
        <scheme val="minor"/>
      </rPr>
      <t>AE</t>
    </r>
  </si>
  <si>
    <t>- Empuje de columna de agua</t>
  </si>
  <si>
    <t>Mr</t>
  </si>
  <si>
    <t>Mo</t>
  </si>
  <si>
    <t>-Empuje Activo estatico del suelo Coulomb</t>
  </si>
  <si>
    <t>-Empuje pasivo estatico del suelo Coulomb</t>
  </si>
  <si>
    <t>Brazo_fx [m]</t>
  </si>
  <si>
    <t>Brazo_fy [m]</t>
  </si>
  <si>
    <r>
      <t>Mfx</t>
    </r>
    <r>
      <rPr>
        <vertAlign val="subscript"/>
        <sz val="11"/>
        <color theme="1"/>
        <rFont val="Calibri"/>
        <family val="2"/>
        <scheme val="minor"/>
      </rPr>
      <t>Epe</t>
    </r>
  </si>
  <si>
    <r>
      <t>Mfy</t>
    </r>
    <r>
      <rPr>
        <vertAlign val="subscript"/>
        <sz val="11"/>
        <color theme="1"/>
        <rFont val="Calibri"/>
        <family val="2"/>
        <scheme val="minor"/>
      </rPr>
      <t>Eae</t>
    </r>
  </si>
  <si>
    <r>
      <t>Mfx</t>
    </r>
    <r>
      <rPr>
        <vertAlign val="subscript"/>
        <sz val="11"/>
        <color theme="1"/>
        <rFont val="Calibri"/>
        <family val="2"/>
        <scheme val="minor"/>
      </rPr>
      <t>Eae</t>
    </r>
  </si>
  <si>
    <r>
      <t>Mfx</t>
    </r>
    <r>
      <rPr>
        <vertAlign val="subscript"/>
        <sz val="11"/>
        <color theme="1"/>
        <rFont val="Symbol"/>
        <family val="1"/>
        <charset val="2"/>
      </rPr>
      <t>D</t>
    </r>
    <r>
      <rPr>
        <vertAlign val="subscript"/>
        <sz val="11"/>
        <color theme="1"/>
        <rFont val="Calibri"/>
        <family val="2"/>
        <scheme val="minor"/>
      </rPr>
      <t>Ead</t>
    </r>
  </si>
  <si>
    <r>
      <t>Mfx</t>
    </r>
    <r>
      <rPr>
        <vertAlign val="subscript"/>
        <sz val="11"/>
        <color theme="1"/>
        <rFont val="Calibri"/>
        <family val="2"/>
        <scheme val="minor"/>
      </rPr>
      <t>sobrecarga</t>
    </r>
  </si>
  <si>
    <r>
      <t>Mfx</t>
    </r>
    <r>
      <rPr>
        <vertAlign val="subscript"/>
        <sz val="11"/>
        <color theme="1"/>
        <rFont val="Calibri"/>
        <family val="2"/>
        <scheme val="minor"/>
      </rPr>
      <t>Ew</t>
    </r>
  </si>
  <si>
    <t>a</t>
  </si>
  <si>
    <t>d</t>
  </si>
  <si>
    <t>- En esta hoja se muestra una tabla resumen de las fuerzas tenidas encuenta para el diseño de muro de contencion, y ademas se distinguen los momentos resistentes y volcadores, ademas de fuerzas resistentes y deslizadoras</t>
  </si>
  <si>
    <t>Peso</t>
  </si>
  <si>
    <r>
      <t>Mfy</t>
    </r>
    <r>
      <rPr>
        <vertAlign val="subscript"/>
        <sz val="11"/>
        <color theme="1"/>
        <rFont val="Calibri"/>
        <family val="2"/>
        <scheme val="minor"/>
      </rPr>
      <t>peso</t>
    </r>
  </si>
  <si>
    <t>-Momento de la componente x en empuje pasivo estatico</t>
  </si>
  <si>
    <t>-Momento de la componente y del empuje activo estatico</t>
  </si>
  <si>
    <t>-Momento de la componente y del peso de muro y suelo</t>
  </si>
  <si>
    <t>- Momento resistentes a vuelco</t>
  </si>
  <si>
    <t>- Momentos volcadores</t>
  </si>
  <si>
    <t>-Momento de la componente x del empuje activo estatico</t>
  </si>
  <si>
    <t>-Momento de la componente en x de la fuerza de sismo</t>
  </si>
  <si>
    <t>-Momento de la componente en x de la fuerza de columna de agua</t>
  </si>
  <si>
    <t>Resumen de Fuerzas</t>
  </si>
  <si>
    <t>Resumen de Momentos</t>
  </si>
  <si>
    <t>Fr</t>
  </si>
  <si>
    <t>Fd</t>
  </si>
  <si>
    <t>FxEpe</t>
  </si>
  <si>
    <r>
      <t>Fe</t>
    </r>
    <r>
      <rPr>
        <vertAlign val="subscript"/>
        <sz val="11"/>
        <color theme="1"/>
        <rFont val="Calibri"/>
        <family val="2"/>
        <scheme val="minor"/>
      </rPr>
      <t>Fypeso</t>
    </r>
  </si>
  <si>
    <t>[kN/m x m]</t>
  </si>
  <si>
    <t>-Fuerza en componente x del empuje pasivo</t>
  </si>
  <si>
    <r>
      <t>Fx</t>
    </r>
    <r>
      <rPr>
        <vertAlign val="subscript"/>
        <sz val="11"/>
        <color theme="1"/>
        <rFont val="Calibri"/>
        <family val="2"/>
        <scheme val="minor"/>
      </rPr>
      <t>Eae</t>
    </r>
  </si>
  <si>
    <r>
      <t>Fx</t>
    </r>
    <r>
      <rPr>
        <vertAlign val="subscript"/>
        <sz val="11"/>
        <color theme="1"/>
        <rFont val="Symbol"/>
        <family val="1"/>
        <charset val="2"/>
      </rPr>
      <t>D</t>
    </r>
    <r>
      <rPr>
        <vertAlign val="subscript"/>
        <sz val="11"/>
        <color theme="1"/>
        <rFont val="Calibri"/>
        <family val="2"/>
        <scheme val="minor"/>
      </rPr>
      <t>Ead</t>
    </r>
  </si>
  <si>
    <r>
      <t>Fx</t>
    </r>
    <r>
      <rPr>
        <vertAlign val="subscript"/>
        <sz val="11"/>
        <color theme="1"/>
        <rFont val="Calibri"/>
        <family val="2"/>
        <scheme val="minor"/>
      </rPr>
      <t>sobrecarga</t>
    </r>
  </si>
  <si>
    <r>
      <t>Fx</t>
    </r>
    <r>
      <rPr>
        <vertAlign val="subscript"/>
        <sz val="11"/>
        <color theme="1"/>
        <rFont val="Calibri"/>
        <family val="2"/>
        <scheme val="minor"/>
      </rPr>
      <t>Ew</t>
    </r>
  </si>
  <si>
    <t>-Fuerzas resistentes a deslizamiento</t>
  </si>
  <si>
    <t>-Fuerzas deslizantes</t>
  </si>
  <si>
    <t>-Fuerza en componente x del empuje activo estatico</t>
  </si>
  <si>
    <t>-Fuerza en componente en x de la fuerza de sismo</t>
  </si>
  <si>
    <t>-Fuerza en componente en x de la fuerza de sobrecarga</t>
  </si>
  <si>
    <t>-Fuerza en componente en x de la fuerza de columna de agua</t>
  </si>
  <si>
    <t>B</t>
  </si>
  <si>
    <t xml:space="preserve">- En esta hoja se definirán las nomenclatura a variables </t>
  </si>
  <si>
    <t>-Fuerza de impacto</t>
  </si>
  <si>
    <t>Impacto</t>
  </si>
  <si>
    <t>INDICE DE HOJA DE CALCULO PARA DISEñO DE MURO DE CONTENCION EN VOLADIZO</t>
  </si>
  <si>
    <t>INPUT</t>
  </si>
  <si>
    <t>CALCULO DE Pa y Pp</t>
  </si>
  <si>
    <t>CALCULO DE FUERZAS</t>
  </si>
  <si>
    <t>CALCULO DIMENSIONES MURO</t>
  </si>
  <si>
    <t>TABLA RESUMEN DE FUERZAS</t>
  </si>
  <si>
    <t>METODOLOGIA LFRD</t>
  </si>
  <si>
    <t>COMENTARIOS</t>
  </si>
  <si>
    <t>CONTENIDO</t>
  </si>
  <si>
    <t>NOMENCLATURA</t>
  </si>
  <si>
    <t>Comentarios generales</t>
  </si>
  <si>
    <r>
      <t xml:space="preserve">- En esta seccion del documento se debe ingresar en las celdas de color </t>
    </r>
    <r>
      <rPr>
        <b/>
        <sz val="11"/>
        <color rgb="FF00B0F0"/>
        <rFont val="Calibri"/>
        <family val="2"/>
        <scheme val="minor"/>
      </rPr>
      <t>azul</t>
    </r>
    <r>
      <rPr>
        <sz val="11"/>
        <color theme="1"/>
        <rFont val="Calibri"/>
        <family val="2"/>
        <scheme val="minor"/>
      </rPr>
      <t xml:space="preserve"> las dimensiones deseadas para el diseno del muro de contencion, en la parte de</t>
    </r>
    <r>
      <rPr>
        <b/>
        <i/>
        <sz val="11"/>
        <color theme="1"/>
        <rFont val="Calibri"/>
        <family val="2"/>
        <scheme val="minor"/>
      </rPr>
      <t xml:space="preserve"> dimensiones recomendadas</t>
    </r>
    <r>
      <rPr>
        <sz val="11"/>
        <color theme="1"/>
        <rFont val="Calibri"/>
        <family val="2"/>
        <scheme val="minor"/>
      </rPr>
      <t xml:space="preserve">, son las dimensiones propuestas en la literatura del libro de </t>
    </r>
    <r>
      <rPr>
        <b/>
        <i/>
        <sz val="11"/>
        <color theme="1"/>
        <rFont val="Calibri"/>
        <family val="2"/>
        <scheme val="minor"/>
      </rPr>
      <t>Braja Das</t>
    </r>
    <r>
      <rPr>
        <sz val="11"/>
        <color theme="1"/>
        <rFont val="Calibri"/>
        <family val="2"/>
        <scheme val="minor"/>
      </rPr>
      <t>, donde se indica dimensiones recomendadas para un muro en voladizo con respecto a la altura del muro medida desde la zapata hasta la corona del muro de contencion, puede usar dichas dimesiones para guiarse en la toma de datos</t>
    </r>
  </si>
  <si>
    <r>
      <t xml:space="preserve">- En esta hoja se definirán valores de Pa y Pa según metodología adoptada por el usuario y condiciones </t>
    </r>
    <r>
      <rPr>
        <b/>
        <i/>
        <sz val="11"/>
        <color theme="1"/>
        <rFont val="Calibri"/>
        <family val="2"/>
        <scheme val="minor"/>
      </rPr>
      <t>(Rankine y Coulomb)</t>
    </r>
  </si>
  <si>
    <r>
      <t xml:space="preserve">- En esta hoja se calcula cada una de las fuerzas que actúan y se consideran para el diseño del muro </t>
    </r>
    <r>
      <rPr>
        <b/>
        <i/>
        <sz val="11"/>
        <color theme="1"/>
        <rFont val="Calibri"/>
        <family val="2"/>
        <scheme val="minor"/>
      </rPr>
      <t>(Empuje activo, empuje pasivo, peso del muro y suelo, sobrecarga, sismo e impacto)</t>
    </r>
  </si>
  <si>
    <t>-Momento de la componente en x de la fuerza de sobrecarga</t>
  </si>
  <si>
    <t>-Momento de la componente en x de la fuerza de impacto</t>
  </si>
  <si>
    <r>
      <t>Mfx</t>
    </r>
    <r>
      <rPr>
        <vertAlign val="subscript"/>
        <sz val="11"/>
        <color theme="1"/>
        <rFont val="Calibri"/>
        <family val="2"/>
        <scheme val="minor"/>
      </rPr>
      <t>impacto</t>
    </r>
  </si>
  <si>
    <t>-Fuerza en componente en x de la fuerza de impacto</t>
  </si>
  <si>
    <r>
      <t>Fx</t>
    </r>
    <r>
      <rPr>
        <vertAlign val="subscript"/>
        <sz val="11"/>
        <color theme="1"/>
        <rFont val="Calibri"/>
        <family val="2"/>
        <scheme val="minor"/>
      </rPr>
      <t>impacto</t>
    </r>
  </si>
  <si>
    <t>Resumen de fuerzas sin mayorar o minorar</t>
  </si>
  <si>
    <t>Fuerza de impacto</t>
  </si>
  <si>
    <t>Ft</t>
  </si>
  <si>
    <t>Lc</t>
  </si>
  <si>
    <t>[kN]</t>
  </si>
  <si>
    <r>
      <rPr>
        <sz val="11"/>
        <color theme="1"/>
        <rFont val="Symbol"/>
        <family val="1"/>
        <charset val="2"/>
      </rPr>
      <t>q</t>
    </r>
    <r>
      <rPr>
        <vertAlign val="subscript"/>
        <sz val="11"/>
        <color theme="1"/>
        <rFont val="Calibri"/>
        <family val="2"/>
        <scheme val="minor"/>
      </rPr>
      <t>impacto</t>
    </r>
  </si>
  <si>
    <r>
      <rPr>
        <sz val="16"/>
        <color theme="1"/>
        <rFont val="Symbol"/>
        <family val="1"/>
        <charset val="2"/>
      </rPr>
      <t>q</t>
    </r>
    <r>
      <rPr>
        <vertAlign val="subscript"/>
        <sz val="16"/>
        <color theme="1"/>
        <rFont val="Calibri"/>
        <family val="2"/>
        <scheme val="minor"/>
      </rPr>
      <t>impacto</t>
    </r>
  </si>
  <si>
    <t>-Distribucion de la fuerza de impacto</t>
  </si>
  <si>
    <t>-Fuerza de impacto transversal</t>
  </si>
  <si>
    <r>
      <t>H</t>
    </r>
    <r>
      <rPr>
        <vertAlign val="subscript"/>
        <sz val="11"/>
        <color theme="1"/>
        <rFont val="Calibri"/>
        <family val="2"/>
        <scheme val="minor"/>
      </rPr>
      <t>barrera</t>
    </r>
  </si>
  <si>
    <t>Niveles de Ensayo</t>
  </si>
  <si>
    <t>-Angulo tipico del area de distribucion de la fuerza de impacto</t>
  </si>
  <si>
    <t>TL-1</t>
  </si>
  <si>
    <t>TL-2</t>
  </si>
  <si>
    <t>TL-3</t>
  </si>
  <si>
    <t>TL-4</t>
  </si>
  <si>
    <t>TL-5</t>
  </si>
  <si>
    <t>TL-6</t>
  </si>
  <si>
    <t xml:space="preserve">Nivel </t>
  </si>
  <si>
    <r>
      <rPr>
        <b/>
        <sz val="11"/>
        <color theme="1"/>
        <rFont val="Calibri"/>
        <family val="2"/>
        <scheme val="minor"/>
      </rPr>
      <t>8.1</t>
    </r>
    <r>
      <rPr>
        <sz val="11"/>
        <color theme="1"/>
        <rFont val="Calibri"/>
        <family val="2"/>
        <scheme val="minor"/>
      </rPr>
      <t xml:space="preserve"> Nivel de Ensayo para las barandas en norma </t>
    </r>
    <r>
      <rPr>
        <b/>
        <sz val="11"/>
        <color theme="1"/>
        <rFont val="Calibri"/>
        <family val="2"/>
        <scheme val="minor"/>
      </rPr>
      <t>CCP14</t>
    </r>
  </si>
  <si>
    <t>Ft [kN]</t>
  </si>
  <si>
    <t>Lc [m]</t>
  </si>
  <si>
    <r>
      <t xml:space="preserve">- Ayuda para hacer la interpolacion lineal entre dos valores para determinar el calculo de </t>
    </r>
    <r>
      <rPr>
        <b/>
        <sz val="11"/>
        <color theme="1"/>
        <rFont val="Calibri"/>
        <family val="2"/>
        <scheme val="minor"/>
      </rPr>
      <t>Fpga</t>
    </r>
  </si>
  <si>
    <r>
      <t xml:space="preserve">- </t>
    </r>
    <r>
      <rPr>
        <b/>
        <sz val="11"/>
        <color theme="1"/>
        <rFont val="Calibri"/>
        <family val="2"/>
        <scheme val="minor"/>
      </rPr>
      <t>Tabla A13.2-1 CCP14</t>
    </r>
    <r>
      <rPr>
        <sz val="11"/>
        <color theme="1"/>
        <rFont val="Calibri"/>
        <family val="2"/>
        <scheme val="minor"/>
      </rPr>
      <t>, Fuerza de diseño para barandas vehiculares</t>
    </r>
  </si>
  <si>
    <r>
      <rPr>
        <b/>
        <sz val="11"/>
        <color theme="1"/>
        <rFont val="Calibri"/>
        <family val="2"/>
        <scheme val="minor"/>
      </rPr>
      <t>8.4</t>
    </r>
    <r>
      <rPr>
        <sz val="11"/>
        <color theme="1"/>
        <rFont val="Calibri"/>
        <family val="2"/>
        <scheme val="minor"/>
      </rPr>
      <t xml:space="preserve"> Angulo tipico del area de distribucion de la fuerza de impacto, se señala en imagen</t>
    </r>
  </si>
  <si>
    <t>- Altura de baranda</t>
  </si>
  <si>
    <t>Ecuacion para calcular fuerza de impacto</t>
  </si>
  <si>
    <r>
      <t xml:space="preserve">Calculo de </t>
    </r>
    <r>
      <rPr>
        <sz val="11"/>
        <color theme="1"/>
        <rFont val="Symbol"/>
        <family val="1"/>
        <charset val="2"/>
      </rPr>
      <t>D</t>
    </r>
    <r>
      <rPr>
        <sz val="11"/>
        <color theme="1"/>
        <rFont val="Calibri"/>
        <family val="2"/>
        <scheme val="minor"/>
      </rPr>
      <t>L</t>
    </r>
  </si>
  <si>
    <r>
      <rPr>
        <sz val="11"/>
        <color theme="1"/>
        <rFont val="Symbol"/>
        <family val="1"/>
        <charset val="2"/>
      </rPr>
      <t>D</t>
    </r>
    <r>
      <rPr>
        <sz val="11"/>
        <color theme="1"/>
        <rFont val="Calibri"/>
        <family val="2"/>
        <scheme val="minor"/>
      </rPr>
      <t>L</t>
    </r>
  </si>
  <si>
    <t>- Calculada a partir de la geomteria del diseno para una altura de muro y un angulo de distribucion de la fuerza de impacto dado</t>
  </si>
  <si>
    <t>- Fuerza de impacto</t>
  </si>
  <si>
    <t>Comentarios Generales:</t>
  </si>
  <si>
    <t>EH</t>
  </si>
  <si>
    <t>EQ</t>
  </si>
  <si>
    <t>LS</t>
  </si>
  <si>
    <t>WA</t>
  </si>
  <si>
    <t>DC (sliding)</t>
  </si>
  <si>
    <t>Factores</t>
  </si>
  <si>
    <t>CT</t>
  </si>
  <si>
    <t xml:space="preserve">Carga </t>
  </si>
  <si>
    <t>Resumen de fuerzas STRENGTH I</t>
  </si>
  <si>
    <t>Fuerza</t>
  </si>
  <si>
    <t>Resumen de fuerzas SERVICE I</t>
  </si>
  <si>
    <t>Resumen de fuerzas EXTREME EVENT I</t>
  </si>
  <si>
    <t>Resumen de fuerzas EXTREME EVENT II</t>
  </si>
  <si>
    <t>-En esta pagina del documento se encuentran los calculos de las diversas combinaciones de carga para Service I, Strength I, Extreme event I, Extreme event II</t>
  </si>
  <si>
    <t>- A partir de esta fila en la hoja de calculo, se encuentran los calculos realizados para hallar las distintas fuerzas y momentos mayoradas para una combinacion de carga especifica, junto con su combinacion de carga</t>
  </si>
  <si>
    <t>- Calculos de los momentos volcadores y resistentes</t>
  </si>
  <si>
    <t>- Calculo de fuerzas deslizantes y resistentes</t>
  </si>
  <si>
    <t>- Resumen de combinaciones de carga</t>
  </si>
  <si>
    <t>Combinacion</t>
  </si>
  <si>
    <t>Vuelco</t>
  </si>
  <si>
    <t>Strength I</t>
  </si>
  <si>
    <t>Service I</t>
  </si>
  <si>
    <t>Extreme event I</t>
  </si>
  <si>
    <t>Extrem event II</t>
  </si>
  <si>
    <t>verificacion</t>
  </si>
  <si>
    <t>Deslizamiento</t>
  </si>
  <si>
    <t>CAPACIDAD DE CARGA</t>
  </si>
  <si>
    <t>PARA CAPACIDAD DE CARGA</t>
  </si>
  <si>
    <t>Mneto</t>
  </si>
  <si>
    <t>CE</t>
  </si>
  <si>
    <t>e</t>
  </si>
  <si>
    <t>B/6</t>
  </si>
  <si>
    <t>f'</t>
  </si>
  <si>
    <t>Nc</t>
  </si>
  <si>
    <t>Nq</t>
  </si>
  <si>
    <t>B'</t>
  </si>
  <si>
    <t>qu</t>
  </si>
  <si>
    <t>Factor capacidad de carga para STRENGTH I</t>
  </si>
  <si>
    <t>Suma V</t>
  </si>
  <si>
    <t xml:space="preserve">Tabla 16.2 Factores decapacidad de carga </t>
  </si>
  <si>
    <r>
      <rPr>
        <b/>
        <i/>
        <sz val="10"/>
        <color theme="1"/>
        <rFont val="Calibri"/>
        <family val="2"/>
        <scheme val="minor"/>
      </rPr>
      <t>Ne</t>
    </r>
  </si>
  <si>
    <r>
      <rPr>
        <b/>
        <i/>
        <sz val="10"/>
        <color theme="1"/>
        <rFont val="Calibri"/>
        <family val="2"/>
        <scheme val="minor"/>
      </rPr>
      <t>Nq</t>
    </r>
  </si>
  <si>
    <r>
      <rPr>
        <b/>
        <i/>
        <sz val="10"/>
        <color theme="1"/>
        <rFont val="Calibri"/>
        <family val="2"/>
        <scheme val="minor"/>
      </rPr>
      <t>Ny</t>
    </r>
  </si>
  <si>
    <r>
      <rPr>
        <b/>
        <sz val="11"/>
        <color theme="1"/>
        <rFont val="Calibri"/>
        <family val="2"/>
        <scheme val="minor"/>
      </rPr>
      <t>8.5</t>
    </r>
    <r>
      <rPr>
        <sz val="11"/>
        <color theme="1"/>
        <rFont val="Calibri"/>
        <family val="2"/>
        <scheme val="minor"/>
      </rPr>
      <t xml:space="preserve"> Altura de baranda CCP 14 13.7.3.2</t>
    </r>
  </si>
  <si>
    <t>qmax</t>
  </si>
  <si>
    <t>excentricidad</t>
  </si>
  <si>
    <t>combinacion</t>
  </si>
  <si>
    <t>Fx [kN/m]</t>
  </si>
  <si>
    <t>tipo de carga</t>
  </si>
  <si>
    <t>brazo Fx [kN/m]</t>
  </si>
  <si>
    <t>Momento [kN/m x m]</t>
  </si>
  <si>
    <t>Mu</t>
  </si>
  <si>
    <t>fi</t>
  </si>
  <si>
    <t>b</t>
  </si>
  <si>
    <t>f'c</t>
  </si>
  <si>
    <t>fy</t>
  </si>
  <si>
    <t>h</t>
  </si>
  <si>
    <t>L</t>
  </si>
  <si>
    <t>[Mpa]</t>
  </si>
  <si>
    <r>
      <t xml:space="preserve">-Factor de resistencia nominal al deslizamiento entre suelo y zapata, Factor 1.0 para concreto vaciado en suelo y 0.8 para zapatas prefabricadas. </t>
    </r>
    <r>
      <rPr>
        <b/>
        <sz val="11"/>
        <color theme="1"/>
        <rFont val="Calibri"/>
        <family val="2"/>
        <scheme val="minor"/>
      </rPr>
      <t xml:space="preserve">* </t>
    </r>
    <r>
      <rPr>
        <sz val="11"/>
        <color theme="1"/>
        <rFont val="Calibri"/>
        <family val="2"/>
        <scheme val="minor"/>
      </rPr>
      <t>Se afecta Factor de resistencia a deslizamiento con 0.8 asumiendo un concreto vaciado sobre arena</t>
    </r>
  </si>
  <si>
    <r>
      <t xml:space="preserve">-Fuerza equivalente en x para la fuerza en la componente y del peso. </t>
    </r>
    <r>
      <rPr>
        <b/>
        <sz val="11"/>
        <color theme="1"/>
        <rFont val="Calibri"/>
        <family val="2"/>
        <scheme val="minor"/>
      </rPr>
      <t>**</t>
    </r>
    <r>
      <rPr>
        <sz val="11"/>
        <color theme="1"/>
        <rFont val="Calibri"/>
        <family val="2"/>
        <scheme val="minor"/>
      </rPr>
      <t>Se afecta Factor de resistencia a deslizamiento con 0.8 asumiendo un concreto vaciado sobre arena</t>
    </r>
  </si>
  <si>
    <t xml:space="preserve">- Coeficiente de aceleracion sismica vertical, se toma como cero </t>
  </si>
  <si>
    <t>- Coeficiente sísmico de aceleración sobre Roca, factor de 1.2 para muros cimentados sobre suelos de clase A o B para roca dura o blanda</t>
  </si>
  <si>
    <t>Fuerza inercial</t>
  </si>
  <si>
    <t>Ws</t>
  </si>
  <si>
    <t>Ww</t>
  </si>
  <si>
    <t>PIR</t>
  </si>
  <si>
    <t>- coeficiente sismico horizontal</t>
  </si>
  <si>
    <t>- Combinación escogida por la norma</t>
  </si>
  <si>
    <t>-Combinación escogida por la norma</t>
  </si>
  <si>
    <t>- Peso del suelo encima del talón</t>
  </si>
  <si>
    <t>-Peso del muro de contención</t>
  </si>
  <si>
    <t>- Fuerza inercial del muro</t>
  </si>
  <si>
    <r>
      <rPr>
        <sz val="11"/>
        <color theme="1"/>
        <rFont val="Symbol"/>
        <family val="1"/>
        <charset val="2"/>
      </rPr>
      <t>D</t>
    </r>
    <r>
      <rPr>
        <sz val="11"/>
        <color theme="1"/>
        <rFont val="Calibri"/>
        <family val="2"/>
        <scheme val="minor"/>
      </rPr>
      <t>P</t>
    </r>
    <r>
      <rPr>
        <vertAlign val="subscript"/>
        <sz val="11"/>
        <color theme="1"/>
        <rFont val="Calibri"/>
        <family val="2"/>
        <scheme val="minor"/>
      </rPr>
      <t>AD</t>
    </r>
    <r>
      <rPr>
        <sz val="11"/>
        <color theme="1"/>
        <rFont val="Calibri"/>
        <family val="2"/>
        <scheme val="minor"/>
      </rPr>
      <t>+50%P</t>
    </r>
    <r>
      <rPr>
        <vertAlign val="subscript"/>
        <sz val="11"/>
        <color theme="1"/>
        <rFont val="Calibri"/>
        <family val="2"/>
        <scheme val="minor"/>
      </rPr>
      <t>IR</t>
    </r>
  </si>
  <si>
    <r>
      <t>50%P</t>
    </r>
    <r>
      <rPr>
        <vertAlign val="subscript"/>
        <sz val="11"/>
        <color theme="1"/>
        <rFont val="Calibri"/>
        <family val="2"/>
        <scheme val="minor"/>
      </rPr>
      <t>AE</t>
    </r>
    <r>
      <rPr>
        <sz val="11"/>
        <color theme="1"/>
        <rFont val="Calibri"/>
        <family val="2"/>
        <scheme val="minor"/>
      </rPr>
      <t>+P</t>
    </r>
    <r>
      <rPr>
        <vertAlign val="subscript"/>
        <sz val="11"/>
        <color theme="1"/>
        <rFont val="Calibri"/>
        <family val="2"/>
        <scheme val="minor"/>
      </rPr>
      <t>IR</t>
    </r>
  </si>
  <si>
    <t>Pae</t>
  </si>
  <si>
    <t>-Empuje activo sismico</t>
  </si>
  <si>
    <t>Grado de inclinación del suelo</t>
  </si>
  <si>
    <t>Altura de suelo inclinado</t>
  </si>
  <si>
    <t>Hs</t>
  </si>
  <si>
    <t>- Altura del suelo inclinado usado para cálculos</t>
  </si>
  <si>
    <t>-Se elabora el procedimiento de capacidad de carga para suelos no inclinados para cada metodología</t>
  </si>
  <si>
    <t>combinación</t>
  </si>
  <si>
    <t>strength I</t>
  </si>
  <si>
    <t>service I</t>
  </si>
  <si>
    <t>Capacidad de carga para el suelo</t>
  </si>
  <si>
    <t>RCbc</t>
  </si>
  <si>
    <t>Ns</t>
  </si>
  <si>
    <t>Para suelos inclinados</t>
  </si>
  <si>
    <t>c</t>
  </si>
  <si>
    <t>g</t>
  </si>
  <si>
    <t>f</t>
  </si>
  <si>
    <t>B/H</t>
  </si>
  <si>
    <t>Beta</t>
  </si>
  <si>
    <t>- Altura del suelo inclinado</t>
  </si>
  <si>
    <t>- cohesion del suelo inclinado</t>
  </si>
  <si>
    <t>- Peso unitario del suelo de cohesion</t>
  </si>
  <si>
    <t>- Factor de estabilidad de 10.6.3.1-2c-2</t>
  </si>
  <si>
    <t>- factor de fricción del suelo</t>
  </si>
  <si>
    <t>- Relacion entre la base de la zapata y la altura de muro</t>
  </si>
  <si>
    <t>- Cohesión del suelo inclinado</t>
  </si>
  <si>
    <t>- Inclinación del suelo inclinado</t>
  </si>
  <si>
    <t>qu [kN/m]</t>
  </si>
  <si>
    <t>qmax [kN/m]</t>
  </si>
  <si>
    <t>- Para determinar el factor de reducción de capacidad de carga, se hace uso de la tabla 10.6.3.1.2c-1 de AASHTO, a criterio se redondea cada uno de los valores por encima para afectar finalmente la capacidad de carga por suelo inclinado</t>
  </si>
  <si>
    <t>Rcbc</t>
  </si>
  <si>
    <t>- Grado de inclinación del suelo</t>
  </si>
  <si>
    <t>- Resumen de las verificaciones por capacidad de carga</t>
  </si>
  <si>
    <t>Parámetros del suelo sobre el que se está apoyando el muro de contención</t>
  </si>
  <si>
    <t>b/3</t>
  </si>
  <si>
    <r>
      <t xml:space="preserve">- </t>
    </r>
    <r>
      <rPr>
        <b/>
        <sz val="11"/>
        <color theme="1"/>
        <rFont val="Calibri"/>
        <family val="2"/>
        <scheme val="minor"/>
      </rPr>
      <t>IMPORTANTE:</t>
    </r>
    <r>
      <rPr>
        <sz val="11"/>
        <color theme="1"/>
        <rFont val="Calibri"/>
        <family val="2"/>
        <scheme val="minor"/>
      </rPr>
      <t xml:space="preserve"> Revisar la</t>
    </r>
    <r>
      <rPr>
        <b/>
        <i/>
        <sz val="11"/>
        <color theme="1"/>
        <rFont val="Calibri"/>
        <family val="2"/>
        <scheme val="minor"/>
      </rPr>
      <t xml:space="preserve"> hoja de Capacidad de carga</t>
    </r>
    <r>
      <rPr>
        <sz val="11"/>
        <color theme="1"/>
        <rFont val="Calibri"/>
        <family val="2"/>
        <scheme val="minor"/>
      </rPr>
      <t xml:space="preserve"> y verificar celdas </t>
    </r>
    <r>
      <rPr>
        <b/>
        <sz val="11"/>
        <color rgb="FF00B0F0"/>
        <rFont val="Calibri"/>
        <family val="2"/>
        <scheme val="minor"/>
      </rPr>
      <t>E116</t>
    </r>
    <r>
      <rPr>
        <sz val="11"/>
        <color theme="1"/>
        <rFont val="Calibri"/>
        <family val="2"/>
        <scheme val="minor"/>
      </rPr>
      <t xml:space="preserve"> (Factor por suelo inclinado) y celdas </t>
    </r>
    <r>
      <rPr>
        <b/>
        <sz val="11"/>
        <color rgb="FF00B0F0"/>
        <rFont val="Calibri"/>
        <family val="2"/>
        <scheme val="minor"/>
      </rPr>
      <t>D7:D11</t>
    </r>
    <r>
      <rPr>
        <sz val="11"/>
        <color theme="1"/>
        <rFont val="Calibri"/>
        <family val="2"/>
        <scheme val="minor"/>
      </rPr>
      <t xml:space="preserve"> (parámetros del suelo donde se apoya el muro de contención)</t>
    </r>
  </si>
  <si>
    <r>
      <rPr>
        <b/>
        <sz val="11"/>
        <color theme="1"/>
        <rFont val="Calibri"/>
        <family val="2"/>
        <scheme val="minor"/>
      </rPr>
      <t>1.2</t>
    </r>
    <r>
      <rPr>
        <sz val="11"/>
        <color theme="1"/>
        <rFont val="Calibri"/>
        <family val="2"/>
        <scheme val="minor"/>
      </rPr>
      <t xml:space="preserve"> Altura de desplante de suelo encima de la punta, se considera como valor minimo de 0.6 m</t>
    </r>
  </si>
  <si>
    <t>Mr [kN /m x m]</t>
  </si>
  <si>
    <t>Mo [kN /m x m]</t>
  </si>
  <si>
    <t>Fr [kN /m]</t>
  </si>
  <si>
    <t>Fd [kN /m]</t>
  </si>
  <si>
    <t>qu [kN]</t>
  </si>
  <si>
    <t>VERIFICACIÓN DE RESULTADOS</t>
  </si>
  <si>
    <t>-En esta pagina del documento se resumen todas las verificaciones tenidas en cuenta para el diseño del muro de contención en voladizo</t>
  </si>
  <si>
    <t>-En este indice se muestra el contenido pertinente a esta hoja de diseño, en donde se dividen en hojas el paso a paso utilizado para calcular el diseño de un muro de contención en voladizo, además se elabora un breve resumen del contenido de cada una de las hojas. todo bajo los lineamientos y solicitaciones exigidas por la normativa AASHTO, se hacen consideraciones del codigo colombiano CCP 14 para factores que dependan de la región de diseño como por ejemplo para un analisis sísmico</t>
  </si>
  <si>
    <t>- En este apartado, el usuario ingresará las dimensiones consideradas para el diseño del muro de contención, en ella se usa la metodología para el predimensionamiento del muro de contención recomendada por braja das para tener una idea de las dimensiones minimas para cada sección del muro de contención.</t>
  </si>
  <si>
    <t>- Para esta hoja, se elabora el calculo de los coeficientes activos y pasivos del suelo en la metodología de rankine y coulomb, finalmente se trabaja todo con los resultados obtenidos a partir de la metodología de coulomb, una vez obtenidos los coeficientes, se halla el empuje activo y pasivo del suelo considerando la presencia de nivel freático en el terreno.</t>
  </si>
  <si>
    <t>-En ella se solicita al usuario todos los parámetros a considerar para el diseño del muro de contención, donde en resumen se solicitan datos de: Parametros de condición del terreno, propiedades de suelo contenido y suelo de cimentación, parámetros del concreto, sobrecarga, información de nivel freático, consideraciones sismicas, fuerza de impacto y capacidad de sobrecarga.</t>
  </si>
  <si>
    <t>- Se muestra el esquema de las nomenclaturas y términos usados tanto en geometría como en propiedades del suelo usados.</t>
  </si>
  <si>
    <t>- En este apartado, se hacen los precedimientos respectivo para encontrar aquellas fuerzas que actúan en el equilibrio del sistema, siguiendo las solicitaciones requeridas por normas AASHTO y CCP-14.</t>
  </si>
  <si>
    <t>- Finalmente se resumen todas las verificaciones de los resultados obtenidos en esta hoja, de modo que sea eficiente la revisión de resultados obtenidos para cada geometría de muro dada en el terreno.</t>
  </si>
  <si>
    <t>- En este ítem se determina la capacidad de carga del suelo considerando su inclinación o no, teniendo en cuenta las cargas factorizadas para cada combinación de carga, en donde al final se hace una tabla resumen de los resultados y comparaciones obtenidas entre la carga ultima del suelo y la carga dada por la construcción del muro de contención.</t>
  </si>
  <si>
    <t>- Se aplica la metodología LFRD propuesta en AASHTO en donde se aplican cuatro combinaciones de carga: Sevice I, Strength I, Extreme Event I, Extrem Event II, con ello se determina si las cargas factorizadas cumplen o no para cada combinación, teniendo en cuenta excentricidad, deslizamiento y vuelco.</t>
  </si>
  <si>
    <r>
      <t xml:space="preserve">- Se muestra una tabla resumen de todas las fuerzas actuantes en el sistema, donde se resalta la resultante de cada una de las fuerzas, sus respectivos brazos con respecto a un punto denominado O </t>
    </r>
    <r>
      <rPr>
        <b/>
        <i/>
        <sz val="11"/>
        <color theme="1"/>
        <rFont val="Calibri"/>
        <family val="2"/>
        <scheme val="minor"/>
      </rPr>
      <t>(Mirar hoja "Nomenclatura")</t>
    </r>
    <r>
      <rPr>
        <sz val="11"/>
        <color theme="1"/>
        <rFont val="Calibri"/>
        <family val="2"/>
        <scheme val="minor"/>
      </rPr>
      <t>, y con esto los momentos para cada componente de las fuerzas, además de ello, se discriminan fuerzas y momentos de modo en la que se caracterizan en cuales ayudan o no para el equilibrio del sistema.</t>
    </r>
  </si>
  <si>
    <t>-Es la suma de H con la altura de la sección h2</t>
  </si>
  <si>
    <r>
      <rPr>
        <b/>
        <sz val="11"/>
        <color theme="1"/>
        <rFont val="Calibri"/>
        <family val="2"/>
        <scheme val="minor"/>
      </rPr>
      <t xml:space="preserve">8.3 </t>
    </r>
    <r>
      <rPr>
        <sz val="11"/>
        <color theme="1"/>
        <rFont val="Calibri"/>
        <family val="2"/>
        <scheme val="minor"/>
      </rPr>
      <t>Se define como la distribucion de la fuerza de impacto transversal</t>
    </r>
  </si>
  <si>
    <r>
      <rPr>
        <b/>
        <sz val="11"/>
        <color theme="1"/>
        <rFont val="Calibri"/>
        <family val="2"/>
        <scheme val="minor"/>
      </rPr>
      <t>8.2</t>
    </r>
    <r>
      <rPr>
        <sz val="11"/>
        <color theme="1"/>
        <rFont val="Calibri"/>
        <family val="2"/>
        <scheme val="minor"/>
      </rPr>
      <t xml:space="preserve"> Se define como la carga de impacto transversal</t>
    </r>
  </si>
  <si>
    <t xml:space="preserve"> </t>
  </si>
  <si>
    <t>Mn</t>
  </si>
  <si>
    <t>Mn As</t>
  </si>
  <si>
    <t>As</t>
  </si>
  <si>
    <t>[mm2]</t>
  </si>
  <si>
    <t>[MN/m2]</t>
  </si>
  <si>
    <t>Asmin</t>
  </si>
  <si>
    <t>Pmin</t>
  </si>
  <si>
    <t>- Área de refuerzo transversal calculada con Mu</t>
  </si>
  <si>
    <t>-Cuantía mínima de refuerzo</t>
  </si>
  <si>
    <t>- Cuantía mínima de refuerzo</t>
  </si>
  <si>
    <t>- Resultado mayor de las ambas cuantías mínimas calculadas según NSR-10</t>
  </si>
  <si>
    <t>- Resultado del área mínima de refuerzo a flexión para el fuste</t>
  </si>
  <si>
    <t>- Momento nominal</t>
  </si>
  <si>
    <t xml:space="preserve">- Celda utilizada para iterar y hallar un valor para el Área de refuerzo </t>
  </si>
  <si>
    <t>- Distancia del centro de la resultante de la tensión hasta la fibra superior que sufre compresión</t>
  </si>
  <si>
    <t>- Coeficiente de reducción para hallar el Momento resistente</t>
  </si>
  <si>
    <t>- Momento último hallado del momento máximo del diagrama de momentos</t>
  </si>
  <si>
    <t>- Esfuerzo a fluencia del acero</t>
  </si>
  <si>
    <t>- Esfuerzo a compresión del concreto</t>
  </si>
  <si>
    <t>- Longitud de la viga</t>
  </si>
  <si>
    <t>- Ancho de viga</t>
  </si>
  <si>
    <t>- Alto de viga</t>
  </si>
  <si>
    <t>- Recubrimiento</t>
  </si>
  <si>
    <t>Recubrimiento</t>
  </si>
  <si>
    <t>As máx</t>
  </si>
  <si>
    <t>Refuerzo a flexión del fuste</t>
  </si>
  <si>
    <t>- Resultado del área máxima de refuerzo a flexión para el fuste</t>
  </si>
  <si>
    <t>- verificacion de que el area calculada este entre los rangos maximos y minimos para el area de acero</t>
  </si>
  <si>
    <t>#Barras</t>
  </si>
  <si>
    <t>Tipo</t>
  </si>
  <si>
    <t>Area de barra</t>
  </si>
  <si>
    <t>Area total de barras</t>
  </si>
  <si>
    <t>Designacion de la barra</t>
  </si>
  <si>
    <t>No. 2</t>
  </si>
  <si>
    <t>No. 3</t>
  </si>
  <si>
    <t>No. 4</t>
  </si>
  <si>
    <t>No. 5</t>
  </si>
  <si>
    <t>No. 6</t>
  </si>
  <si>
    <t>No. 7</t>
  </si>
  <si>
    <t>No. 8</t>
  </si>
  <si>
    <t>No. 9</t>
  </si>
  <si>
    <t>No. 10</t>
  </si>
  <si>
    <t>No. 11</t>
  </si>
  <si>
    <t>No. 14</t>
  </si>
  <si>
    <t>No. 18</t>
  </si>
  <si>
    <t>Diametro [mm]</t>
  </si>
  <si>
    <t>Area [mm2]</t>
  </si>
  <si>
    <t>Verficación de # de barras de acero de refuerzo a flexion:</t>
  </si>
  <si>
    <t>- Definir cuantas barras de acero se van a usar</t>
  </si>
  <si>
    <t>-Definir la designacion de la barra</t>
  </si>
  <si>
    <t>- Area de barra para esa designacion</t>
  </si>
  <si>
    <t>- Area total de barras</t>
  </si>
  <si>
    <t>iterar entre Mn y Mn As</t>
  </si>
  <si>
    <t>Verficación de área de acero de refuerzo a flexion:</t>
  </si>
  <si>
    <t>- Resultado de Area de acero de refuerzo para flexion</t>
  </si>
  <si>
    <t>Ps máx</t>
  </si>
  <si>
    <t>- Resultado de la cuantia máxima de refuerzo a flexión para el fuste</t>
  </si>
  <si>
    <t>Refuerzo a flexión de la zapata</t>
  </si>
  <si>
    <t>Summa V</t>
  </si>
  <si>
    <t>esfuerzo max</t>
  </si>
  <si>
    <t>esfuerzo min</t>
  </si>
  <si>
    <t>Mu 1</t>
  </si>
  <si>
    <t>Mu 2</t>
  </si>
  <si>
    <t>Extreme I</t>
  </si>
  <si>
    <t>Extreme II</t>
  </si>
  <si>
    <t>V</t>
  </si>
  <si>
    <t>- Para Qu se aplica un factor de reducción de zapata apoyada en roca 10.5.5.2.2-1</t>
  </si>
  <si>
    <t>Refuerzo a flexión de la zapata talón</t>
  </si>
  <si>
    <t>Refuerzo a flexión de la zapata punta</t>
  </si>
  <si>
    <t>Esfuerzo x</t>
  </si>
  <si>
    <t>N/A</t>
  </si>
  <si>
    <t>Fuste</t>
  </si>
  <si>
    <t>&gt;=</t>
  </si>
  <si>
    <t>[mm]</t>
  </si>
  <si>
    <t>As min</t>
  </si>
  <si>
    <t>As max</t>
  </si>
  <si>
    <t>Refuerzo de retracción y temperatura Fuste</t>
  </si>
  <si>
    <t>Refuerzo de retracción y temperatura Zapata punta</t>
  </si>
  <si>
    <t>Punta</t>
  </si>
  <si>
    <t>Refuerzo de retracción y temperatura Zapata talón</t>
  </si>
  <si>
    <t>[mm2/m]</t>
  </si>
  <si>
    <t>Zapata</t>
  </si>
  <si>
    <t>Talon</t>
  </si>
  <si>
    <t>Retracción y temp punta</t>
  </si>
  <si>
    <t>Retracción y temp talón</t>
  </si>
  <si>
    <t>Designación</t>
  </si>
  <si>
    <t>Espaciamiento</t>
  </si>
  <si>
    <t>cant.</t>
  </si>
  <si>
    <t>Retracción y temp</t>
  </si>
  <si>
    <t>diametro [mm]</t>
  </si>
  <si>
    <t>Flexión por ml</t>
  </si>
  <si>
    <t>[in2/ft]</t>
  </si>
  <si>
    <t>[in]</t>
  </si>
  <si>
    <t>[ksi]</t>
  </si>
  <si>
    <t>Perimetro</t>
  </si>
  <si>
    <t>[cm2]</t>
  </si>
  <si>
    <t>[cm2/m]</t>
  </si>
  <si>
    <t>As usado [cm2]</t>
  </si>
  <si>
    <t>As min [cm2]</t>
  </si>
  <si>
    <t>diametro [cm]</t>
  </si>
  <si>
    <t>Espaciamiento [m]</t>
  </si>
  <si>
    <t>b [m]</t>
  </si>
  <si>
    <t>-En esta pagina se elabora el calculo para el refuerzo a flexión y de retracción y temperatura del muro de contención</t>
  </si>
  <si>
    <t>-En esta pagina del documento se resumen el refuerzo requerido para cumplir flexión, retracción y temperatura para el fuste y zapata</t>
  </si>
  <si>
    <t>-En esta pagina del documento se muestra el esquema de como sería el diseño final del muro de contención</t>
  </si>
  <si>
    <r>
      <t>b</t>
    </r>
    <r>
      <rPr>
        <b/>
        <vertAlign val="subscript"/>
        <sz val="11"/>
        <color theme="1"/>
        <rFont val="Calibri"/>
        <family val="2"/>
        <scheme val="minor"/>
      </rPr>
      <t>1</t>
    </r>
    <r>
      <rPr>
        <b/>
        <sz val="11"/>
        <color theme="1"/>
        <rFont val="Calibri"/>
        <family val="2"/>
        <scheme val="minor"/>
      </rPr>
      <t xml:space="preserve"> (largo talón)</t>
    </r>
  </si>
  <si>
    <r>
      <t>h</t>
    </r>
    <r>
      <rPr>
        <b/>
        <vertAlign val="subscript"/>
        <sz val="11"/>
        <color theme="1"/>
        <rFont val="Calibri"/>
        <family val="2"/>
        <scheme val="minor"/>
      </rPr>
      <t>1</t>
    </r>
    <r>
      <rPr>
        <b/>
        <sz val="11"/>
        <color theme="1"/>
        <rFont val="Calibri"/>
        <family val="2"/>
        <scheme val="minor"/>
      </rPr>
      <t xml:space="preserve"> (altura fuste)</t>
    </r>
  </si>
  <si>
    <r>
      <t>b</t>
    </r>
    <r>
      <rPr>
        <b/>
        <vertAlign val="subscript"/>
        <sz val="11"/>
        <color theme="1"/>
        <rFont val="Calibri"/>
        <family val="2"/>
        <scheme val="minor"/>
      </rPr>
      <t>2</t>
    </r>
    <r>
      <rPr>
        <b/>
        <sz val="11"/>
        <color theme="1"/>
        <rFont val="Calibri"/>
        <family val="2"/>
        <scheme val="minor"/>
      </rPr>
      <t xml:space="preserve"> (punta)</t>
    </r>
  </si>
  <si>
    <r>
      <t>b</t>
    </r>
    <r>
      <rPr>
        <b/>
        <vertAlign val="subscript"/>
        <sz val="11"/>
        <color theme="1"/>
        <rFont val="Calibri"/>
        <family val="2"/>
        <scheme val="minor"/>
      </rPr>
      <t>3</t>
    </r>
    <r>
      <rPr>
        <b/>
        <sz val="11"/>
        <color theme="1"/>
        <rFont val="Calibri"/>
        <family val="2"/>
        <scheme val="minor"/>
      </rPr>
      <t xml:space="preserve"> (</t>
    </r>
  </si>
  <si>
    <t>-En esta pagina del documento se evaluará la capacidad de carga para cada combinación de carga LFRD para cimentaciones sobre suelo.</t>
  </si>
  <si>
    <t>Según tabla 3,10,3,2-1</t>
  </si>
  <si>
    <t>Tabla de la CCP 14</t>
  </si>
  <si>
    <t>Df</t>
  </si>
  <si>
    <t>-Dejar en blanco en caso de desconocer la altura del suelo según el numeral 10.6.3 de CCP 14 se asume como longitud de medida 2 veces la dimension de la base</t>
  </si>
  <si>
    <t xml:space="preserve">Se considera 0 para ser más conservador, ya que el empuje pasivo tienee un efecto estabilizante </t>
  </si>
  <si>
    <t xml:space="preserve">-Factor para determinar angulo de fricción, dicho factor está entre 1/3 y 2/3. </t>
  </si>
  <si>
    <r>
      <t xml:space="preserve">- Resultado de Empuje Pasivo </t>
    </r>
    <r>
      <rPr>
        <b/>
        <i/>
        <sz val="11"/>
        <color theme="1"/>
        <rFont val="Calibri"/>
        <family val="2"/>
        <scheme val="minor"/>
      </rPr>
      <t>por Coulomb</t>
    </r>
    <r>
      <rPr>
        <sz val="11"/>
        <color theme="1"/>
        <rFont val="Calibri"/>
        <family val="2"/>
        <scheme val="minor"/>
      </rPr>
      <t>, no tenido en cuenta para ser conservador</t>
    </r>
  </si>
  <si>
    <t xml:space="preserve"> 2. Parámetros del suelo contenido [Suelo 1] Ea</t>
  </si>
  <si>
    <t>3. Parámetros del suelo encima de la punta [Suelo 2] Ep</t>
  </si>
  <si>
    <t>AASHTO LRFD/ CCP14    (3.11.5.3-1)</t>
  </si>
  <si>
    <t>-Factor para determinar angulo de fricción, dicho factor está entre 1/3 y 2/3.</t>
  </si>
  <si>
    <t>Foundation and analysis design. Joseph E. Bowles . Teoría de Coulomb. Eq (11-6)</t>
  </si>
  <si>
    <t>(Resultados similares a las tablas de CCP 14 y AASHTO)</t>
  </si>
  <si>
    <t>Fórmula Ep</t>
  </si>
  <si>
    <t>Fórmula Ea</t>
  </si>
  <si>
    <t>AASHTO LRFD/ CCP14</t>
  </si>
  <si>
    <t xml:space="preserve">AASHTO LRFD/ CCP14 (3.11.5.1-1)    </t>
  </si>
  <si>
    <t>AASHTO LRFD/ CCP14    (3.11.5.4-2)</t>
  </si>
  <si>
    <r>
      <t>Ea</t>
    </r>
    <r>
      <rPr>
        <vertAlign val="subscript"/>
        <sz val="11"/>
        <color theme="1"/>
        <rFont val="Calibri"/>
        <family val="2"/>
        <scheme val="minor"/>
      </rPr>
      <t>sin NF</t>
    </r>
  </si>
  <si>
    <r>
      <t>Ep</t>
    </r>
    <r>
      <rPr>
        <vertAlign val="subscript"/>
        <sz val="11"/>
        <color theme="1"/>
        <rFont val="Calibri"/>
        <family val="2"/>
        <scheme val="minor"/>
      </rPr>
      <t>sin NF</t>
    </r>
  </si>
  <si>
    <r>
      <t>Ea</t>
    </r>
    <r>
      <rPr>
        <vertAlign val="subscript"/>
        <sz val="11"/>
        <color theme="1"/>
        <rFont val="Calibri"/>
        <family val="2"/>
        <scheme val="minor"/>
      </rPr>
      <t>con NF</t>
    </r>
  </si>
  <si>
    <t>Ea</t>
  </si>
  <si>
    <t>Ep</t>
  </si>
  <si>
    <t xml:space="preserve">Eligiendo no considerarlo </t>
  </si>
  <si>
    <t>Fundamentos de ingeniería geotécnica Braja Das G, Fig 14.3</t>
  </si>
  <si>
    <r>
      <rPr>
        <b/>
        <sz val="11"/>
        <color theme="1"/>
        <rFont val="Calibri"/>
        <family val="2"/>
        <scheme val="minor"/>
      </rPr>
      <t xml:space="preserve">1.7 </t>
    </r>
    <r>
      <rPr>
        <sz val="11"/>
        <color theme="1"/>
        <rFont val="Calibri"/>
        <family val="2"/>
        <scheme val="minor"/>
      </rPr>
      <t>Ángulo de inclinación del muro contra el lleno</t>
    </r>
  </si>
  <si>
    <r>
      <rPr>
        <b/>
        <sz val="11"/>
        <color theme="1"/>
        <rFont val="Calibri"/>
        <family val="2"/>
        <scheme val="minor"/>
      </rPr>
      <t xml:space="preserve">3.5  </t>
    </r>
    <r>
      <rPr>
        <sz val="11"/>
        <color theme="1"/>
        <rFont val="Calibri"/>
        <family val="2"/>
        <scheme val="minor"/>
      </rPr>
      <t>Ángulo de inclinación del muro desde afuera</t>
    </r>
  </si>
  <si>
    <t>i</t>
  </si>
  <si>
    <t>(negativo)</t>
  </si>
  <si>
    <t>(11.6.5.1-1)</t>
  </si>
  <si>
    <t>- En los comentarios de la norma de AASTHO se recomienda que con ubicar la resultante de esta fuerza sísmica a una altura estimada de H/3.</t>
  </si>
  <si>
    <t xml:space="preserve">  </t>
  </si>
  <si>
    <t>5. Nivel freático</t>
  </si>
  <si>
    <r>
      <rPr>
        <b/>
        <sz val="11"/>
        <color theme="1"/>
        <rFont val="Calibri"/>
        <family val="2"/>
        <scheme val="minor"/>
      </rPr>
      <t>5.1</t>
    </r>
    <r>
      <rPr>
        <sz val="11"/>
        <color theme="1"/>
        <rFont val="Calibri"/>
        <family val="2"/>
        <scheme val="minor"/>
      </rPr>
      <t xml:space="preserve"> Altura de columna de agua medida desde la base del muro</t>
    </r>
  </si>
  <si>
    <r>
      <rPr>
        <b/>
        <sz val="11"/>
        <color theme="1"/>
        <rFont val="Calibri"/>
        <family val="2"/>
        <scheme val="minor"/>
      </rPr>
      <t>5.2</t>
    </r>
    <r>
      <rPr>
        <sz val="11"/>
        <color theme="1"/>
        <rFont val="Calibri"/>
        <family val="2"/>
        <scheme val="minor"/>
      </rPr>
      <t xml:space="preserve"> Parámetro que define el gamma del concreto</t>
    </r>
  </si>
  <si>
    <r>
      <rPr>
        <b/>
        <sz val="11"/>
        <color theme="1"/>
        <rFont val="Calibri"/>
        <family val="2"/>
        <scheme val="minor"/>
      </rPr>
      <t>6.1</t>
    </r>
    <r>
      <rPr>
        <sz val="11"/>
        <color theme="1"/>
        <rFont val="Calibri"/>
        <family val="2"/>
        <scheme val="minor"/>
      </rPr>
      <t xml:space="preserve">  Tipo de perfil del suelo</t>
    </r>
  </si>
  <si>
    <r>
      <rPr>
        <b/>
        <sz val="11"/>
        <color theme="1"/>
        <rFont val="Calibri"/>
        <family val="2"/>
        <scheme val="minor"/>
      </rPr>
      <t>6.2</t>
    </r>
    <r>
      <rPr>
        <sz val="11"/>
        <color theme="1"/>
        <rFont val="Calibri"/>
        <family val="2"/>
        <scheme val="minor"/>
      </rPr>
      <t xml:space="preserve"> En que región se encuentra ubicada la zona de estudio, revisar la figura en la parte baja para definir una region entre el </t>
    </r>
    <r>
      <rPr>
        <b/>
        <i/>
        <sz val="11"/>
        <color theme="1"/>
        <rFont val="Calibri"/>
        <family val="2"/>
        <scheme val="minor"/>
      </rPr>
      <t>rango de 1-11</t>
    </r>
  </si>
  <si>
    <r>
      <t>6</t>
    </r>
    <r>
      <rPr>
        <b/>
        <sz val="11"/>
        <color theme="1"/>
        <rFont val="Calibri"/>
        <family val="2"/>
        <scheme val="minor"/>
      </rPr>
      <t>.3</t>
    </r>
    <r>
      <rPr>
        <sz val="11"/>
        <color theme="1"/>
        <rFont val="Calibri"/>
        <family val="2"/>
        <scheme val="minor"/>
      </rPr>
      <t xml:space="preserve"> Aceleración pico del terreno revisar región de colombia en la sección de la normativa señalada</t>
    </r>
  </si>
  <si>
    <r>
      <rPr>
        <b/>
        <sz val="11"/>
        <color theme="1"/>
        <rFont val="Calibri"/>
        <family val="2"/>
        <scheme val="minor"/>
      </rPr>
      <t>6.4</t>
    </r>
    <r>
      <rPr>
        <sz val="11"/>
        <color theme="1"/>
        <rFont val="Calibri"/>
        <family val="2"/>
        <scheme val="minor"/>
      </rPr>
      <t xml:space="preserve"> Valor de factor de sitio en el periodo de vibración cero del Espectro de Aceleraciones</t>
    </r>
  </si>
  <si>
    <t>6. Sismo</t>
  </si>
  <si>
    <t>7. Fuerza de impacto</t>
  </si>
  <si>
    <t>8. Capacidad de carga</t>
  </si>
  <si>
    <t>AASHTO/CCP-14 11.6.5.2</t>
  </si>
  <si>
    <t>AASHTO/CCP-14 A11.3.2</t>
  </si>
  <si>
    <t>AASHTO/CCP-14 11.6.5.3-1</t>
  </si>
  <si>
    <t>AASHTO/CCP-14 A11.3.1-1</t>
  </si>
  <si>
    <t>AASHTO/CCP-14 11.6.5.1</t>
  </si>
  <si>
    <t>SobreCarga H sliding</t>
  </si>
  <si>
    <t>Sobrecarga V Bearing</t>
  </si>
  <si>
    <t>Peso suelo</t>
  </si>
  <si>
    <t>Peso muro (DC)</t>
  </si>
  <si>
    <t>Peso suelo (EV)</t>
  </si>
  <si>
    <t>Sobrecarga aplicada (Bearing)</t>
  </si>
  <si>
    <t>Peso del suelo</t>
  </si>
  <si>
    <t xml:space="preserve">Peso del muro </t>
  </si>
  <si>
    <t>Talón</t>
  </si>
  <si>
    <t>EV (sliding)</t>
  </si>
  <si>
    <t>Peso muro</t>
  </si>
  <si>
    <t>DC (Bearing)</t>
  </si>
  <si>
    <t>Momento suelo</t>
  </si>
  <si>
    <t>Momento Muro</t>
  </si>
  <si>
    <t xml:space="preserve">Peso suelo </t>
  </si>
  <si>
    <t>EV (Bearing)</t>
  </si>
  <si>
    <t>Eay</t>
  </si>
  <si>
    <t xml:space="preserve">Tipo de suelo </t>
  </si>
  <si>
    <r>
      <rPr>
        <b/>
        <sz val="11"/>
        <color theme="1"/>
        <rFont val="Calibri"/>
        <family val="2"/>
        <scheme val="minor"/>
      </rPr>
      <t>E</t>
    </r>
    <r>
      <rPr>
        <b/>
        <vertAlign val="subscript"/>
        <sz val="11"/>
        <color theme="1"/>
        <rFont val="Calibri"/>
        <family val="2"/>
        <scheme val="minor"/>
      </rPr>
      <t>AD</t>
    </r>
  </si>
  <si>
    <t>EAD</t>
  </si>
  <si>
    <t>talon</t>
  </si>
  <si>
    <t>LS (bearing)</t>
  </si>
  <si>
    <t>Sobrecarga</t>
  </si>
  <si>
    <t>Sum V</t>
  </si>
  <si>
    <t>Cap de carga (fuerzas sin mayorar)</t>
  </si>
  <si>
    <t>qave</t>
  </si>
  <si>
    <t>Sc</t>
  </si>
  <si>
    <t>Sq</t>
  </si>
  <si>
    <t>Sg</t>
  </si>
  <si>
    <t>Cwq</t>
  </si>
  <si>
    <t>Cwg</t>
  </si>
  <si>
    <t>ic</t>
  </si>
  <si>
    <t>ig</t>
  </si>
  <si>
    <t>iq</t>
  </si>
  <si>
    <t>gamma</t>
  </si>
  <si>
    <t>qn</t>
  </si>
  <si>
    <t>L'</t>
  </si>
  <si>
    <t>Norma CCP 14, Tabla 10.6.3.1.2a-1.</t>
  </si>
  <si>
    <t>Norma CCP 14. Tabla 10.6.3.1.2a..</t>
  </si>
  <si>
    <t>Norma CCP 14, Tabla 10.6.3.1.2a-3.</t>
  </si>
  <si>
    <t>n</t>
  </si>
  <si>
    <t>dq</t>
  </si>
  <si>
    <t>O 1 por condición de norma AASHTO LRFD</t>
  </si>
  <si>
    <t>Ng</t>
  </si>
  <si>
    <t>[kN/m^3]</t>
  </si>
  <si>
    <t>Capacidad de carga para el suelo inclinad</t>
  </si>
  <si>
    <t xml:space="preserve">Momentos volcadores en esa combinación de resistencia </t>
  </si>
  <si>
    <t>Perfil C, Región 5</t>
  </si>
  <si>
    <t>Sobrecarga por tráfico</t>
  </si>
  <si>
    <t>EP</t>
  </si>
  <si>
    <t>SC</t>
  </si>
  <si>
    <t>Mpa</t>
  </si>
  <si>
    <t>Resultados CYPE</t>
  </si>
  <si>
    <r>
      <t>Fx</t>
    </r>
    <r>
      <rPr>
        <vertAlign val="subscript"/>
        <sz val="11"/>
        <color theme="1"/>
        <rFont val="Calibri"/>
        <family val="2"/>
        <scheme val="minor"/>
      </rPr>
      <t>Ead</t>
    </r>
  </si>
  <si>
    <t>qmax [kPa]</t>
  </si>
  <si>
    <t>CYPE</t>
  </si>
  <si>
    <t>Servicio</t>
  </si>
  <si>
    <t>Sismo</t>
  </si>
  <si>
    <t xml:space="preserve">Servicio </t>
  </si>
  <si>
    <t xml:space="preserve">Sismo </t>
  </si>
  <si>
    <t xml:space="preserve">Vuelco </t>
  </si>
  <si>
    <t>kPa</t>
  </si>
  <si>
    <t>-Fuerza de sobrecarga</t>
  </si>
  <si>
    <t>Hoja</t>
  </si>
  <si>
    <t>% diferencia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</si>
</sst>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General\ &quot;[m]&quot;"/>
    <numFmt numFmtId="166" formatCode="0.000000"/>
    <numFmt numFmtId="167" formatCode="0.00000"/>
    <numFmt numFmtId="168" formatCode="0.0"/>
  </numFmts>
  <fonts count="29">
    <font>
      <sz val="11"/>
      <color theme="1"/>
      <name val="Calibri"/>
      <family val="2"/>
      <scheme val="minor"/>
    </font>
    <font>
      <b/>
      <sz val="11"/>
      <color theme="1"/>
      <name val="Calibri"/>
      <family val="2"/>
      <scheme val="minor"/>
    </font>
    <font>
      <b/>
      <sz val="9"/>
      <color indexed="81"/>
      <name val="Tahoma"/>
      <family val="2"/>
    </font>
    <font>
      <sz val="8"/>
      <name val="Calibri"/>
      <family val="2"/>
      <scheme val="minor"/>
    </font>
    <font>
      <b/>
      <sz val="11"/>
      <color rgb="FFC00000"/>
      <name val="Calibri"/>
      <family val="2"/>
      <scheme val="minor"/>
    </font>
    <font>
      <b/>
      <sz val="11"/>
      <color rgb="FF00B0F0"/>
      <name val="Calibri"/>
      <family val="2"/>
      <scheme val="minor"/>
    </font>
    <font>
      <i/>
      <sz val="11"/>
      <color theme="1"/>
      <name val="Calibri"/>
      <family val="2"/>
      <scheme val="minor"/>
    </font>
    <font>
      <b/>
      <i/>
      <sz val="11"/>
      <color theme="1"/>
      <name val="Calibri"/>
      <family val="2"/>
      <scheme val="minor"/>
    </font>
    <font>
      <vertAlign val="subscript"/>
      <sz val="11"/>
      <color theme="1"/>
      <name val="Calibri"/>
      <family val="2"/>
      <scheme val="minor"/>
    </font>
    <font>
      <b/>
      <vertAlign val="subscript"/>
      <sz val="11"/>
      <color theme="1"/>
      <name val="Calibri"/>
      <family val="2"/>
      <scheme val="minor"/>
    </font>
    <font>
      <sz val="9"/>
      <color indexed="81"/>
      <name val="Tahoma"/>
      <family val="2"/>
    </font>
    <font>
      <b/>
      <sz val="11"/>
      <color theme="1"/>
      <name val="Symbol"/>
      <family val="1"/>
      <charset val="2"/>
    </font>
    <font>
      <b/>
      <sz val="11"/>
      <color theme="1"/>
      <name val="Calibri"/>
      <family val="1"/>
      <charset val="2"/>
      <scheme val="minor"/>
    </font>
    <font>
      <vertAlign val="subscript"/>
      <sz val="11"/>
      <color theme="1"/>
      <name val="Symbol"/>
      <family val="1"/>
      <charset val="2"/>
    </font>
    <font>
      <sz val="11"/>
      <color theme="1"/>
      <name val="Symbol"/>
      <family val="1"/>
      <charset val="2"/>
    </font>
    <font>
      <u/>
      <sz val="11"/>
      <color theme="10"/>
      <name val="Calibri"/>
      <family val="2"/>
      <scheme val="minor"/>
    </font>
    <font>
      <sz val="11"/>
      <color theme="1"/>
      <name val="Calibri"/>
      <family val="1"/>
      <charset val="2"/>
      <scheme val="minor"/>
    </font>
    <font>
      <sz val="16"/>
      <color theme="1"/>
      <name val="Calibri"/>
      <family val="1"/>
      <charset val="2"/>
      <scheme val="minor"/>
    </font>
    <font>
      <sz val="16"/>
      <color theme="1"/>
      <name val="Symbol"/>
      <family val="1"/>
      <charset val="2"/>
    </font>
    <font>
      <vertAlign val="subscript"/>
      <sz val="16"/>
      <color theme="1"/>
      <name val="Calibri"/>
      <family val="2"/>
      <scheme val="minor"/>
    </font>
    <font>
      <b/>
      <i/>
      <sz val="10"/>
      <color theme="1"/>
      <name val="Calibri"/>
      <family val="2"/>
      <scheme val="minor"/>
    </font>
    <font>
      <sz val="11"/>
      <color theme="0" tint="-4.9989318521683403E-2"/>
      <name val="Calibri"/>
      <family val="2"/>
      <scheme val="minor"/>
    </font>
    <font>
      <b/>
      <i/>
      <sz val="11"/>
      <color rgb="FF00B0F0"/>
      <name val="Calibri"/>
      <family val="2"/>
      <scheme val="minor"/>
    </font>
    <font>
      <sz val="11"/>
      <color theme="0"/>
      <name val="Calibri"/>
      <family val="2"/>
      <scheme val="minor"/>
    </font>
    <font>
      <b/>
      <sz val="11"/>
      <color rgb="FF0070C0"/>
      <name val="Calibri"/>
      <family val="2"/>
      <scheme val="minor"/>
    </font>
    <font>
      <sz val="12"/>
      <color theme="1"/>
      <name val="Times New Roman"/>
      <family val="1"/>
    </font>
    <font>
      <sz val="11"/>
      <color theme="1"/>
      <name val="Aptos Narrow"/>
      <family val="2"/>
    </font>
    <font>
      <sz val="11"/>
      <color theme="1"/>
      <name val="Times New Roman"/>
      <family val="1"/>
    </font>
    <font>
      <sz val="11"/>
      <color theme="1"/>
      <name val="Calibri"/>
      <family val="2"/>
      <scheme val="minor"/>
    </font>
  </fonts>
  <fills count="14">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50"/>
        <bgColor indexed="64"/>
      </patternFill>
    </fill>
    <fill>
      <patternFill patternType="solid">
        <fgColor rgb="FFFFC000"/>
        <bgColor indexed="64"/>
      </patternFill>
    </fill>
    <fill>
      <patternFill patternType="solid">
        <fgColor theme="5" tint="0.79998168889431442"/>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s>
  <cellStyleXfs count="3">
    <xf numFmtId="0" fontId="0" fillId="0" borderId="0"/>
    <xf numFmtId="0" fontId="15" fillId="0" borderId="0" applyNumberFormat="0" applyFill="0" applyBorder="0" applyAlignment="0" applyProtection="0"/>
    <xf numFmtId="9" fontId="28" fillId="0" borderId="0" applyFont="0" applyFill="0" applyBorder="0" applyAlignment="0" applyProtection="0"/>
  </cellStyleXfs>
  <cellXfs count="328">
    <xf numFmtId="0" fontId="0" fillId="0" borderId="0" xfId="0"/>
    <xf numFmtId="0" fontId="0" fillId="0" borderId="0" xfId="0" applyAlignment="1">
      <alignment horizontal="center" vertical="center"/>
    </xf>
    <xf numFmtId="0" fontId="0" fillId="0" borderId="8" xfId="0" applyBorder="1" applyAlignment="1">
      <alignment horizontal="center" vertical="center"/>
    </xf>
    <xf numFmtId="0" fontId="0" fillId="4" borderId="4" xfId="0" applyFill="1"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2" fontId="0" fillId="0" borderId="5" xfId="0" applyNumberForma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quotePrefix="1" applyAlignment="1">
      <alignment horizontal="left" vertical="center"/>
    </xf>
    <xf numFmtId="0" fontId="0" fillId="0" borderId="0" xfId="0" quotePrefix="1" applyAlignment="1">
      <alignment horizontal="center" vertical="center"/>
    </xf>
    <xf numFmtId="0" fontId="1" fillId="3" borderId="16" xfId="0" applyFont="1" applyFill="1" applyBorder="1" applyAlignment="1">
      <alignment horizontal="center" vertical="center"/>
    </xf>
    <xf numFmtId="0" fontId="1" fillId="2" borderId="16" xfId="0" applyFont="1" applyFill="1" applyBorder="1" applyAlignment="1">
      <alignment horizontal="center" vertical="center"/>
    </xf>
    <xf numFmtId="2" fontId="0" fillId="0" borderId="7" xfId="0" applyNumberFormat="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5" borderId="7" xfId="0" applyFill="1" applyBorder="1" applyAlignment="1">
      <alignment horizontal="center" vertical="center"/>
    </xf>
    <xf numFmtId="0" fontId="0" fillId="5" borderId="5" xfId="0" applyFill="1" applyBorder="1" applyAlignment="1">
      <alignment horizontal="center" vertical="center"/>
    </xf>
    <xf numFmtId="0" fontId="4" fillId="0" borderId="5"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0" fillId="0" borderId="0" xfId="0" quotePrefix="1"/>
    <xf numFmtId="0" fontId="0" fillId="0" borderId="0" xfId="0" quotePrefix="1" applyAlignment="1">
      <alignment wrapText="1"/>
    </xf>
    <xf numFmtId="0" fontId="6" fillId="0" borderId="0" xfId="0" applyFont="1"/>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4" borderId="29" xfId="0" applyFill="1" applyBorder="1" applyAlignment="1">
      <alignment horizontal="center" vertical="center"/>
    </xf>
    <xf numFmtId="2" fontId="4" fillId="0" borderId="5" xfId="0" applyNumberFormat="1" applyFont="1" applyBorder="1" applyAlignment="1">
      <alignment horizontal="center" vertical="center"/>
    </xf>
    <xf numFmtId="0" fontId="0" fillId="0" borderId="13"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5" fillId="0" borderId="6" xfId="0" applyFont="1" applyBorder="1" applyAlignment="1">
      <alignment horizontal="center" vertical="center"/>
    </xf>
    <xf numFmtId="2" fontId="0" fillId="0" borderId="13" xfId="0" applyNumberFormat="1" applyBorder="1" applyAlignment="1">
      <alignment horizontal="center" vertical="center"/>
    </xf>
    <xf numFmtId="2" fontId="0" fillId="7" borderId="5" xfId="0" applyNumberFormat="1" applyFill="1" applyBorder="1" applyAlignment="1">
      <alignment horizontal="center" vertical="center"/>
    </xf>
    <xf numFmtId="0" fontId="0" fillId="0" borderId="9" xfId="0" applyBorder="1" applyAlignment="1">
      <alignment horizontal="left" vertical="center"/>
    </xf>
    <xf numFmtId="0" fontId="0" fillId="0" borderId="8" xfId="0" applyBorder="1" applyAlignment="1">
      <alignment horizontal="left" vertical="center"/>
    </xf>
    <xf numFmtId="0" fontId="7" fillId="0" borderId="9" xfId="0" applyFont="1" applyBorder="1" applyAlignment="1">
      <alignment horizontal="center" vertical="center"/>
    </xf>
    <xf numFmtId="0" fontId="0" fillId="0" borderId="7" xfId="0" applyBorder="1" applyAlignment="1">
      <alignment horizontal="center" vertical="center"/>
    </xf>
    <xf numFmtId="2" fontId="5" fillId="0" borderId="5" xfId="0" applyNumberFormat="1" applyFont="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35" xfId="0" applyFont="1" applyFill="1" applyBorder="1" applyAlignment="1">
      <alignment horizontal="center" vertical="center"/>
    </xf>
    <xf numFmtId="0" fontId="1" fillId="0" borderId="0" xfId="0" applyFont="1" applyAlignment="1">
      <alignment horizontal="center"/>
    </xf>
    <xf numFmtId="2" fontId="0" fillId="0" borderId="0" xfId="0" applyNumberFormat="1" applyAlignment="1">
      <alignment horizontal="center" vertical="center"/>
    </xf>
    <xf numFmtId="0" fontId="0" fillId="0" borderId="0" xfId="0" quotePrefix="1" applyAlignment="1">
      <alignment horizontal="left" vertical="center" wrapText="1"/>
    </xf>
    <xf numFmtId="0" fontId="0" fillId="0" borderId="0" xfId="0"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6" xfId="0"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1" fillId="8" borderId="16" xfId="0" applyFont="1" applyFill="1" applyBorder="1" applyAlignment="1">
      <alignment horizontal="center" vertical="center"/>
    </xf>
    <xf numFmtId="0" fontId="0" fillId="0" borderId="0" xfId="0" quotePrefix="1" applyAlignment="1">
      <alignment vertical="center" wrapText="1"/>
    </xf>
    <xf numFmtId="0" fontId="0" fillId="0" borderId="0" xfId="0" applyAlignment="1">
      <alignment vertical="center" wrapText="1"/>
    </xf>
    <xf numFmtId="0" fontId="0" fillId="4" borderId="36" xfId="0"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4" borderId="39" xfId="0" applyFill="1" applyBorder="1" applyAlignment="1">
      <alignment horizontal="center" vertical="center"/>
    </xf>
    <xf numFmtId="0" fontId="0" fillId="0" borderId="40" xfId="0" applyBorder="1" applyAlignment="1">
      <alignment horizontal="center" vertical="center"/>
    </xf>
    <xf numFmtId="0" fontId="0" fillId="0" borderId="5" xfId="0" applyBorder="1" applyAlignment="1">
      <alignment horizontal="center" vertical="center" wrapText="1"/>
    </xf>
    <xf numFmtId="2" fontId="0" fillId="0" borderId="6" xfId="0" applyNumberFormat="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1" xfId="0" applyFont="1" applyFill="1" applyBorder="1" applyAlignment="1">
      <alignment horizontal="center" vertical="center"/>
    </xf>
    <xf numFmtId="2" fontId="0" fillId="0" borderId="26" xfId="0" applyNumberFormat="1" applyBorder="1" applyAlignment="1">
      <alignment horizontal="center" vertical="center"/>
    </xf>
    <xf numFmtId="0" fontId="1" fillId="4" borderId="39" xfId="0" applyFont="1" applyFill="1" applyBorder="1" applyAlignment="1">
      <alignment horizontal="center" vertical="center"/>
    </xf>
    <xf numFmtId="2" fontId="0" fillId="0" borderId="43" xfId="0" applyNumberFormat="1" applyBorder="1" applyAlignment="1">
      <alignment horizontal="center" vertical="center"/>
    </xf>
    <xf numFmtId="2" fontId="0" fillId="0" borderId="40" xfId="0" applyNumberFormat="1" applyBorder="1" applyAlignment="1">
      <alignment horizontal="center" vertical="center"/>
    </xf>
    <xf numFmtId="0" fontId="12" fillId="4" borderId="4" xfId="0" applyFont="1" applyFill="1" applyBorder="1" applyAlignment="1">
      <alignment horizontal="center" vertical="center"/>
    </xf>
    <xf numFmtId="2" fontId="0" fillId="9" borderId="5" xfId="0" applyNumberFormat="1" applyFill="1" applyBorder="1" applyAlignment="1">
      <alignment horizontal="center" vertical="center"/>
    </xf>
    <xf numFmtId="2" fontId="0" fillId="9" borderId="43" xfId="0" applyNumberFormat="1" applyFill="1" applyBorder="1" applyAlignment="1">
      <alignment horizontal="center" vertical="center"/>
    </xf>
    <xf numFmtId="2" fontId="0" fillId="10" borderId="6" xfId="0" applyNumberFormat="1" applyFill="1" applyBorder="1" applyAlignment="1">
      <alignment horizontal="center" vertical="center"/>
    </xf>
    <xf numFmtId="2" fontId="0" fillId="10" borderId="42" xfId="0" applyNumberFormat="1" applyFill="1" applyBorder="1" applyAlignment="1">
      <alignment horizontal="center" vertical="center"/>
    </xf>
    <xf numFmtId="0" fontId="1" fillId="10" borderId="5" xfId="0" applyFont="1" applyFill="1" applyBorder="1" applyAlignment="1">
      <alignment horizontal="center" vertical="center"/>
    </xf>
    <xf numFmtId="2" fontId="1" fillId="10" borderId="5" xfId="0" applyNumberFormat="1" applyFont="1" applyFill="1" applyBorder="1" applyAlignment="1">
      <alignment horizontal="center" vertical="center"/>
    </xf>
    <xf numFmtId="0" fontId="1" fillId="9" borderId="5" xfId="0" applyFont="1" applyFill="1" applyBorder="1" applyAlignment="1">
      <alignment horizontal="center" vertical="center"/>
    </xf>
    <xf numFmtId="2" fontId="1" fillId="9" borderId="5" xfId="0" applyNumberFormat="1" applyFont="1" applyFill="1" applyBorder="1" applyAlignment="1">
      <alignment horizontal="center" vertical="center"/>
    </xf>
    <xf numFmtId="0" fontId="0" fillId="0" borderId="9" xfId="0" applyBorder="1"/>
    <xf numFmtId="0" fontId="0" fillId="0" borderId="8" xfId="0" applyBorder="1"/>
    <xf numFmtId="0" fontId="0" fillId="0" borderId="10" xfId="0" applyBorder="1"/>
    <xf numFmtId="0" fontId="0" fillId="0" borderId="11" xfId="0" applyBorder="1"/>
    <xf numFmtId="0" fontId="0" fillId="0" borderId="12" xfId="0" applyBorder="1"/>
    <xf numFmtId="0" fontId="14" fillId="4" borderId="5" xfId="0" applyFont="1" applyFill="1" applyBorder="1" applyAlignment="1">
      <alignment horizontal="center" vertical="center"/>
    </xf>
    <xf numFmtId="0" fontId="0" fillId="0" borderId="0" xfId="0" applyAlignment="1">
      <alignment wrapText="1"/>
    </xf>
    <xf numFmtId="0" fontId="1" fillId="0" borderId="0" xfId="0" quotePrefix="1" applyFont="1"/>
    <xf numFmtId="0" fontId="1" fillId="0" borderId="0" xfId="0" quotePrefix="1" applyFont="1" applyAlignment="1">
      <alignment wrapText="1"/>
    </xf>
    <xf numFmtId="2" fontId="0" fillId="10" borderId="5" xfId="0" applyNumberFormat="1" applyFill="1" applyBorder="1" applyAlignment="1">
      <alignment horizontal="center" vertical="center"/>
    </xf>
    <xf numFmtId="0" fontId="0" fillId="0" borderId="17" xfId="0" applyBorder="1"/>
    <xf numFmtId="0" fontId="0" fillId="0" borderId="18" xfId="0" applyBorder="1"/>
    <xf numFmtId="0" fontId="0" fillId="0" borderId="19" xfId="0" applyBorder="1"/>
    <xf numFmtId="0" fontId="0" fillId="4" borderId="14" xfId="0" applyFill="1" applyBorder="1" applyAlignment="1">
      <alignment horizontal="center" vertical="center"/>
    </xf>
    <xf numFmtId="0" fontId="0" fillId="4" borderId="5" xfId="0" applyFill="1" applyBorder="1" applyAlignment="1">
      <alignment horizontal="center" vertical="center" wrapText="1"/>
    </xf>
    <xf numFmtId="0" fontId="0" fillId="0" borderId="0" xfId="0" applyAlignment="1">
      <alignment horizontal="center"/>
    </xf>
    <xf numFmtId="0" fontId="1" fillId="3" borderId="5" xfId="0" applyFont="1" applyFill="1" applyBorder="1" applyAlignment="1">
      <alignment horizontal="center"/>
    </xf>
    <xf numFmtId="2" fontId="0" fillId="0" borderId="44" xfId="0" applyNumberFormat="1" applyBorder="1" applyAlignment="1">
      <alignment horizontal="center" vertical="center"/>
    </xf>
    <xf numFmtId="0" fontId="0" fillId="4" borderId="26" xfId="0" applyFill="1" applyBorder="1" applyAlignment="1">
      <alignment horizontal="center" vertical="center"/>
    </xf>
    <xf numFmtId="0" fontId="16" fillId="4" borderId="5" xfId="0" applyFont="1" applyFill="1" applyBorder="1" applyAlignment="1">
      <alignment horizontal="center" vertical="center"/>
    </xf>
    <xf numFmtId="0" fontId="0" fillId="4" borderId="47" xfId="0" applyFill="1" applyBorder="1" applyAlignment="1">
      <alignment horizontal="center" vertical="center"/>
    </xf>
    <xf numFmtId="0" fontId="16" fillId="4" borderId="14" xfId="0" applyFont="1" applyFill="1" applyBorder="1" applyAlignment="1">
      <alignment horizontal="center" vertical="center"/>
    </xf>
    <xf numFmtId="0" fontId="0" fillId="0" borderId="26" xfId="0" applyBorder="1" applyAlignment="1">
      <alignment horizontal="center" vertical="center"/>
    </xf>
    <xf numFmtId="0" fontId="17" fillId="4" borderId="5" xfId="0" applyFont="1" applyFill="1" applyBorder="1" applyAlignment="1">
      <alignment horizontal="center" vertical="center"/>
    </xf>
    <xf numFmtId="0" fontId="0" fillId="0" borderId="0" xfId="0" quotePrefix="1" applyAlignment="1">
      <alignment vertical="center"/>
    </xf>
    <xf numFmtId="0" fontId="0" fillId="0" borderId="5" xfId="0" applyBorder="1" applyAlignment="1">
      <alignment horizontal="center"/>
    </xf>
    <xf numFmtId="2" fontId="0" fillId="0" borderId="42" xfId="0" applyNumberFormat="1" applyBorder="1" applyAlignment="1">
      <alignment horizontal="center" vertical="center"/>
    </xf>
    <xf numFmtId="0" fontId="1" fillId="0" borderId="35" xfId="0" applyFont="1" applyBorder="1" applyAlignment="1">
      <alignment horizontal="center"/>
    </xf>
    <xf numFmtId="0" fontId="0" fillId="0" borderId="35" xfId="0" applyBorder="1" applyAlignment="1">
      <alignment horizontal="center"/>
    </xf>
    <xf numFmtId="0" fontId="12" fillId="4" borderId="5" xfId="0" applyFont="1" applyFill="1" applyBorder="1" applyAlignment="1">
      <alignment horizontal="center" vertical="center"/>
    </xf>
    <xf numFmtId="0" fontId="1" fillId="0" borderId="4" xfId="0" applyFont="1" applyBorder="1" applyAlignment="1">
      <alignment horizontal="center"/>
    </xf>
    <xf numFmtId="0" fontId="1" fillId="0" borderId="39" xfId="0" applyFont="1" applyBorder="1" applyAlignment="1">
      <alignment horizontal="center"/>
    </xf>
    <xf numFmtId="0" fontId="1" fillId="4" borderId="43"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49" xfId="0" applyBorder="1" applyAlignment="1">
      <alignment horizontal="center"/>
    </xf>
    <xf numFmtId="0" fontId="1" fillId="8" borderId="5" xfId="0" applyFont="1" applyFill="1" applyBorder="1" applyAlignment="1">
      <alignment horizontal="center" vertical="center"/>
    </xf>
    <xf numFmtId="0" fontId="1" fillId="0" borderId="0" xfId="0" applyFont="1"/>
    <xf numFmtId="0" fontId="1" fillId="8" borderId="5" xfId="0" applyFont="1" applyFill="1" applyBorder="1" applyAlignment="1">
      <alignment horizontal="center"/>
    </xf>
    <xf numFmtId="2" fontId="0" fillId="0" borderId="5" xfId="0" applyNumberFormat="1" applyBorder="1" applyAlignment="1">
      <alignment horizontal="center"/>
    </xf>
    <xf numFmtId="0" fontId="0" fillId="0" borderId="13" xfId="0" applyBorder="1" applyAlignment="1">
      <alignment horizontal="left" vertical="center"/>
    </xf>
    <xf numFmtId="0" fontId="1" fillId="3" borderId="5" xfId="0" applyFont="1" applyFill="1" applyBorder="1" applyAlignment="1">
      <alignment horizontal="center" vertical="center"/>
    </xf>
    <xf numFmtId="2" fontId="0" fillId="0" borderId="0" xfId="0" applyNumberFormat="1"/>
    <xf numFmtId="164" fontId="0" fillId="0" borderId="0" xfId="0" applyNumberFormat="1"/>
    <xf numFmtId="1" fontId="0" fillId="0" borderId="5" xfId="0" applyNumberFormat="1" applyBorder="1" applyAlignment="1">
      <alignment horizontal="center"/>
    </xf>
    <xf numFmtId="0" fontId="21" fillId="0" borderId="0" xfId="0" applyFont="1" applyAlignment="1">
      <alignment horizontal="center" vertical="center"/>
    </xf>
    <xf numFmtId="0" fontId="0" fillId="8" borderId="5"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14" fillId="3" borderId="5" xfId="0" applyFont="1" applyFill="1" applyBorder="1" applyAlignment="1">
      <alignment horizontal="center" vertical="center"/>
    </xf>
    <xf numFmtId="0" fontId="0" fillId="4" borderId="0" xfId="0" quotePrefix="1" applyFill="1" applyAlignment="1">
      <alignment horizontal="left" vertical="center"/>
    </xf>
    <xf numFmtId="2" fontId="0" fillId="0" borderId="0" xfId="0" applyNumberFormat="1" applyAlignment="1">
      <alignment horizontal="center"/>
    </xf>
    <xf numFmtId="165" fontId="0" fillId="0" borderId="0" xfId="0" applyNumberFormat="1" applyAlignment="1">
      <alignment horizontal="right"/>
    </xf>
    <xf numFmtId="165" fontId="0" fillId="0" borderId="0" xfId="0" applyNumberFormat="1" applyAlignment="1">
      <alignment horizontal="center"/>
    </xf>
    <xf numFmtId="165" fontId="0" fillId="0" borderId="0" xfId="0" applyNumberFormat="1" applyAlignment="1">
      <alignment horizontal="right" vertical="top"/>
    </xf>
    <xf numFmtId="165" fontId="0" fillId="0" borderId="0" xfId="0" applyNumberFormat="1" applyAlignment="1">
      <alignment horizontal="center" vertical="top"/>
    </xf>
    <xf numFmtId="0" fontId="1" fillId="8" borderId="3" xfId="0" applyFont="1" applyFill="1" applyBorder="1" applyAlignment="1">
      <alignment horizontal="center" vertical="center"/>
    </xf>
    <xf numFmtId="166" fontId="0" fillId="0" borderId="5" xfId="0" applyNumberFormat="1" applyBorder="1" applyAlignment="1">
      <alignment horizontal="center"/>
    </xf>
    <xf numFmtId="0" fontId="0" fillId="0" borderId="0" xfId="0" quotePrefix="1" applyAlignment="1">
      <alignment horizontal="left"/>
    </xf>
    <xf numFmtId="0" fontId="1" fillId="8" borderId="16" xfId="0" applyFont="1" applyFill="1" applyBorder="1" applyAlignment="1">
      <alignment horizontal="center"/>
    </xf>
    <xf numFmtId="164" fontId="0" fillId="0" borderId="5" xfId="0" applyNumberFormat="1" applyBorder="1" applyAlignment="1">
      <alignment horizontal="center"/>
    </xf>
    <xf numFmtId="167" fontId="0" fillId="0" borderId="5" xfId="0" applyNumberFormat="1" applyBorder="1" applyAlignment="1">
      <alignment horizontal="center"/>
    </xf>
    <xf numFmtId="0" fontId="7" fillId="0" borderId="5" xfId="0" applyFont="1" applyBorder="1" applyAlignment="1">
      <alignment horizontal="center" vertical="center"/>
    </xf>
    <xf numFmtId="166" fontId="0" fillId="12" borderId="5" xfId="0" applyNumberFormat="1" applyFill="1" applyBorder="1" applyAlignment="1">
      <alignment horizontal="center"/>
    </xf>
    <xf numFmtId="0" fontId="1" fillId="12" borderId="16" xfId="0" applyFont="1" applyFill="1" applyBorder="1" applyAlignment="1">
      <alignment horizontal="center" vertical="center"/>
    </xf>
    <xf numFmtId="0" fontId="0" fillId="0" borderId="1" xfId="0" applyBorder="1"/>
    <xf numFmtId="0" fontId="1" fillId="8" borderId="2" xfId="0" applyFont="1" applyFill="1" applyBorder="1" applyAlignment="1">
      <alignment horizontal="center" vertical="center"/>
    </xf>
    <xf numFmtId="0" fontId="22" fillId="0" borderId="5" xfId="0" applyFont="1" applyBorder="1" applyAlignment="1">
      <alignment horizontal="center"/>
    </xf>
    <xf numFmtId="0" fontId="5" fillId="0" borderId="5" xfId="0" applyFont="1" applyBorder="1" applyAlignment="1">
      <alignment horizontal="center"/>
    </xf>
    <xf numFmtId="168" fontId="0" fillId="0" borderId="40" xfId="0" applyNumberFormat="1" applyBorder="1" applyAlignment="1">
      <alignment horizontal="center" vertical="center"/>
    </xf>
    <xf numFmtId="0" fontId="23" fillId="0" borderId="0" xfId="0" applyFont="1"/>
    <xf numFmtId="0" fontId="23" fillId="0" borderId="0" xfId="0" applyFont="1" applyAlignment="1">
      <alignment horizontal="center"/>
    </xf>
    <xf numFmtId="0" fontId="23" fillId="0" borderId="0" xfId="0" applyFont="1" applyAlignment="1">
      <alignment horizontal="center" vertical="center"/>
    </xf>
    <xf numFmtId="2" fontId="5" fillId="0" borderId="5" xfId="0" applyNumberFormat="1" applyFont="1" applyBorder="1" applyAlignment="1">
      <alignment horizontal="center"/>
    </xf>
    <xf numFmtId="2" fontId="0" fillId="6" borderId="5" xfId="0" applyNumberFormat="1" applyFill="1" applyBorder="1" applyAlignment="1">
      <alignment horizontal="center" vertical="center"/>
    </xf>
    <xf numFmtId="0" fontId="7" fillId="0" borderId="9" xfId="0" applyFont="1" applyBorder="1" applyAlignment="1">
      <alignment horizontal="left"/>
    </xf>
    <xf numFmtId="0" fontId="7" fillId="0" borderId="0" xfId="0" applyFont="1" applyAlignment="1">
      <alignment horizontal="left"/>
    </xf>
    <xf numFmtId="0" fontId="7" fillId="0" borderId="4" xfId="0" applyFont="1" applyBorder="1" applyAlignment="1">
      <alignment horizontal="center" vertical="center" wrapText="1"/>
    </xf>
    <xf numFmtId="0" fontId="7" fillId="0" borderId="4" xfId="0" applyFont="1" applyBorder="1" applyAlignment="1">
      <alignment horizontal="center"/>
    </xf>
    <xf numFmtId="0" fontId="23" fillId="0" borderId="9" xfId="0" applyFont="1" applyBorder="1" applyAlignment="1">
      <alignment horizont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50" xfId="0" applyBorder="1" applyAlignment="1">
      <alignment horizontal="center" vertical="center"/>
    </xf>
    <xf numFmtId="2" fontId="0" fillId="0" borderId="35" xfId="0" applyNumberFormat="1" applyBorder="1" applyAlignment="1">
      <alignment horizontal="center" vertical="center"/>
    </xf>
    <xf numFmtId="2" fontId="0" fillId="0" borderId="50" xfId="0" applyNumberFormat="1" applyBorder="1" applyAlignment="1">
      <alignment horizontal="center" vertical="center"/>
    </xf>
    <xf numFmtId="0" fontId="0" fillId="0" borderId="43" xfId="0" applyBorder="1" applyAlignment="1">
      <alignment horizontal="center" vertical="center"/>
    </xf>
    <xf numFmtId="0" fontId="0" fillId="0" borderId="49" xfId="0"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6" xfId="0" applyBorder="1" applyAlignment="1">
      <alignment horizontal="center"/>
    </xf>
    <xf numFmtId="0" fontId="7" fillId="0" borderId="39" xfId="0" applyFont="1" applyBorder="1" applyAlignment="1">
      <alignment horizontal="center"/>
    </xf>
    <xf numFmtId="0" fontId="0" fillId="0" borderId="43" xfId="0" applyBorder="1" applyAlignment="1">
      <alignment horizontal="center"/>
    </xf>
    <xf numFmtId="0" fontId="0" fillId="0" borderId="40" xfId="0" applyBorder="1" applyAlignment="1">
      <alignment horizontal="center"/>
    </xf>
    <xf numFmtId="0" fontId="0" fillId="10" borderId="5" xfId="0" applyFill="1" applyBorder="1" applyAlignment="1">
      <alignment horizontal="center"/>
    </xf>
    <xf numFmtId="2" fontId="0" fillId="10" borderId="5" xfId="0" applyNumberFormat="1" applyFill="1" applyBorder="1" applyAlignment="1">
      <alignment horizontal="center"/>
    </xf>
    <xf numFmtId="2" fontId="5" fillId="0" borderId="6" xfId="0" applyNumberFormat="1" applyFont="1" applyBorder="1" applyAlignment="1">
      <alignment horizontal="center" vertical="center"/>
    </xf>
    <xf numFmtId="2" fontId="5" fillId="0" borderId="40" xfId="0" applyNumberFormat="1" applyFont="1" applyBorder="1" applyAlignment="1">
      <alignment horizontal="center" vertic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165" fontId="0" fillId="0" borderId="9" xfId="0" applyNumberForma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5" fillId="0" borderId="0" xfId="1"/>
    <xf numFmtId="0" fontId="1" fillId="3" borderId="48" xfId="0" applyFont="1" applyFill="1" applyBorder="1" applyAlignment="1">
      <alignment horizontal="center" vertical="center"/>
    </xf>
    <xf numFmtId="0" fontId="1" fillId="3" borderId="46" xfId="0" applyFont="1" applyFill="1" applyBorder="1" applyAlignment="1">
      <alignment horizontal="center" vertical="center"/>
    </xf>
    <xf numFmtId="2" fontId="24" fillId="0" borderId="5" xfId="0" applyNumberFormat="1" applyFont="1" applyBorder="1" applyAlignment="1">
      <alignment horizontal="center" vertical="center"/>
    </xf>
    <xf numFmtId="0" fontId="26" fillId="4" borderId="4" xfId="0" applyFont="1" applyFill="1" applyBorder="1" applyAlignment="1">
      <alignment horizontal="center" vertical="center"/>
    </xf>
    <xf numFmtId="11" fontId="0" fillId="0" borderId="5" xfId="0" applyNumberFormat="1" applyBorder="1" applyAlignment="1">
      <alignment horizontal="center" vertical="center"/>
    </xf>
    <xf numFmtId="0" fontId="27" fillId="0" borderId="0" xfId="0" applyFont="1" applyAlignment="1">
      <alignment vertical="center" wrapText="1"/>
    </xf>
    <xf numFmtId="0" fontId="0" fillId="13" borderId="0" xfId="0" applyFill="1"/>
    <xf numFmtId="2" fontId="0" fillId="13" borderId="5" xfId="0" applyNumberFormat="1" applyFill="1" applyBorder="1" applyAlignment="1">
      <alignment horizontal="center" vertical="center"/>
    </xf>
    <xf numFmtId="0" fontId="8" fillId="4" borderId="5" xfId="0" applyFont="1" applyFill="1" applyBorder="1" applyAlignment="1">
      <alignment horizontal="center" vertical="center"/>
    </xf>
    <xf numFmtId="2" fontId="0" fillId="0" borderId="0" xfId="0" applyNumberFormat="1" applyAlignment="1">
      <alignment vertical="center"/>
    </xf>
    <xf numFmtId="2" fontId="1" fillId="3" borderId="5" xfId="0" applyNumberFormat="1" applyFont="1" applyFill="1" applyBorder="1" applyAlignment="1">
      <alignment horizontal="center" vertical="center"/>
    </xf>
    <xf numFmtId="2" fontId="0" fillId="4" borderId="5" xfId="0" applyNumberFormat="1" applyFill="1" applyBorder="1" applyAlignment="1">
      <alignment horizontal="center" vertical="center"/>
    </xf>
    <xf numFmtId="0" fontId="25" fillId="0" borderId="0" xfId="0" applyFont="1" applyAlignment="1">
      <alignment vertical="center"/>
    </xf>
    <xf numFmtId="0" fontId="0" fillId="0" borderId="10" xfId="0" quotePrefix="1" applyBorder="1" applyAlignment="1">
      <alignment horizontal="left" vertical="top" wrapText="1"/>
    </xf>
    <xf numFmtId="0" fontId="0" fillId="0" borderId="11" xfId="0" quotePrefix="1" applyBorder="1" applyAlignment="1">
      <alignment horizontal="left" vertical="top" wrapText="1"/>
    </xf>
    <xf numFmtId="0" fontId="0" fillId="0" borderId="12" xfId="0" quotePrefix="1" applyBorder="1" applyAlignment="1">
      <alignment horizontal="left" vertical="top" wrapText="1"/>
    </xf>
    <xf numFmtId="0" fontId="1" fillId="0" borderId="17" xfId="0" quotePrefix="1" applyFont="1" applyBorder="1" applyAlignment="1">
      <alignment horizontal="left" vertical="center"/>
    </xf>
    <xf numFmtId="0" fontId="1" fillId="0" borderId="18" xfId="0" quotePrefix="1" applyFont="1" applyBorder="1" applyAlignment="1">
      <alignment horizontal="left" vertical="center"/>
    </xf>
    <xf numFmtId="0" fontId="1" fillId="0" borderId="19" xfId="0" quotePrefix="1" applyFont="1" applyBorder="1" applyAlignment="1">
      <alignment horizontal="left" vertic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15" fillId="0" borderId="5" xfId="1" applyBorder="1" applyAlignment="1">
      <alignment horizontal="center" vertical="center"/>
    </xf>
    <xf numFmtId="0" fontId="1" fillId="3" borderId="5" xfId="0" applyFont="1" applyFill="1" applyBorder="1" applyAlignment="1">
      <alignment horizont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0" fillId="0" borderId="10" xfId="0" quotePrefix="1" applyBorder="1" applyAlignment="1">
      <alignment horizontal="left" vertical="center"/>
    </xf>
    <xf numFmtId="0" fontId="0" fillId="0" borderId="11" xfId="0" quotePrefix="1" applyBorder="1" applyAlignment="1">
      <alignment horizontal="left" vertical="center"/>
    </xf>
    <xf numFmtId="0" fontId="0" fillId="0" borderId="12" xfId="0" quotePrefix="1" applyBorder="1" applyAlignment="1">
      <alignment horizontal="left" vertical="center"/>
    </xf>
    <xf numFmtId="0" fontId="1" fillId="8" borderId="23" xfId="0" applyFont="1" applyFill="1" applyBorder="1" applyAlignment="1">
      <alignment horizontal="center" vertical="center"/>
    </xf>
    <xf numFmtId="0" fontId="1" fillId="8" borderId="24" xfId="0" applyFont="1" applyFill="1" applyBorder="1" applyAlignment="1">
      <alignment horizontal="center" vertical="center"/>
    </xf>
    <xf numFmtId="0" fontId="1" fillId="8" borderId="25" xfId="0" applyFont="1" applyFill="1" applyBorder="1" applyAlignment="1">
      <alignment horizontal="center" vertical="center"/>
    </xf>
    <xf numFmtId="0" fontId="0" fillId="0" borderId="0" xfId="0" quotePrefix="1" applyAlignment="1">
      <alignment horizontal="left"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0" fillId="0" borderId="9" xfId="0" quotePrefix="1" applyBorder="1" applyAlignment="1">
      <alignment horizontal="left" vertical="center"/>
    </xf>
    <xf numFmtId="0" fontId="0" fillId="0" borderId="8" xfId="0" quotePrefix="1" applyBorder="1" applyAlignment="1">
      <alignment horizontal="left" vertical="center"/>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25" xfId="0" applyFont="1" applyFill="1" applyBorder="1" applyAlignment="1">
      <alignment horizontal="center" vertical="center"/>
    </xf>
    <xf numFmtId="0" fontId="1" fillId="8" borderId="45" xfId="0" applyFont="1" applyFill="1" applyBorder="1" applyAlignment="1">
      <alignment horizontal="center" vertical="center"/>
    </xf>
    <xf numFmtId="0" fontId="1" fillId="8" borderId="46" xfId="0"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0" xfId="0" applyFont="1" applyFill="1" applyBorder="1" applyAlignment="1">
      <alignment horizontal="center" vertical="center"/>
    </xf>
    <xf numFmtId="0" fontId="0" fillId="0" borderId="10" xfId="0" quotePrefix="1" applyBorder="1" applyAlignment="1">
      <alignment horizontal="left" wrapText="1"/>
    </xf>
    <xf numFmtId="0" fontId="0" fillId="0" borderId="11" xfId="0" quotePrefix="1" applyBorder="1" applyAlignment="1">
      <alignment horizontal="left" wrapText="1"/>
    </xf>
    <xf numFmtId="0" fontId="0" fillId="0" borderId="12" xfId="0" quotePrefix="1" applyBorder="1" applyAlignment="1">
      <alignment horizontal="left" wrapText="1"/>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0" fillId="0" borderId="0" xfId="0" applyAlignment="1">
      <alignment horizontal="center" vertical="center" wrapText="1"/>
    </xf>
    <xf numFmtId="0" fontId="0" fillId="0" borderId="0" xfId="0" quotePrefix="1" applyAlignment="1">
      <alignment horizontal="left" vertical="center" wrapText="1"/>
    </xf>
    <xf numFmtId="0" fontId="1" fillId="0" borderId="9" xfId="0" applyFont="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0" fillId="4" borderId="29" xfId="0" applyFill="1" applyBorder="1" applyAlignment="1">
      <alignment horizontal="center" vertical="center"/>
    </xf>
    <xf numFmtId="0" fontId="0" fillId="4" borderId="14" xfId="0" applyFill="1" applyBorder="1" applyAlignment="1">
      <alignment horizontal="center" vertical="center"/>
    </xf>
    <xf numFmtId="0" fontId="5" fillId="0" borderId="35" xfId="0" applyFont="1" applyBorder="1" applyAlignment="1">
      <alignment horizontal="center" vertical="center"/>
    </xf>
    <xf numFmtId="0" fontId="5" fillId="0" borderId="50" xfId="0" applyFont="1" applyBorder="1" applyAlignment="1">
      <alignment horizontal="center" vertical="center"/>
    </xf>
    <xf numFmtId="0" fontId="5" fillId="0" borderId="4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0" fillId="0" borderId="15" xfId="0" quotePrefix="1" applyBorder="1" applyAlignment="1">
      <alignment horizontal="left"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0" fillId="0" borderId="10" xfId="0" quotePrefix="1" applyBorder="1" applyAlignment="1">
      <alignment horizontal="left" vertical="center" wrapText="1"/>
    </xf>
    <xf numFmtId="0" fontId="0" fillId="0" borderId="11" xfId="0" quotePrefix="1" applyBorder="1" applyAlignment="1">
      <alignment horizontal="left" vertical="center" wrapText="1"/>
    </xf>
    <xf numFmtId="0" fontId="0" fillId="0" borderId="12" xfId="0" quotePrefix="1" applyBorder="1" applyAlignment="1">
      <alignment horizontal="left" vertical="center" wrapText="1"/>
    </xf>
    <xf numFmtId="0" fontId="0" fillId="0" borderId="0" xfId="0" applyAlignment="1">
      <alignment horizontal="left" vertical="center" wrapText="1"/>
    </xf>
    <xf numFmtId="0" fontId="0" fillId="4" borderId="5" xfId="0" applyFill="1" applyBorder="1" applyAlignment="1">
      <alignment horizontal="center" vertical="center" wrapText="1"/>
    </xf>
    <xf numFmtId="0" fontId="1" fillId="8" borderId="1" xfId="0" applyFont="1" applyFill="1" applyBorder="1" applyAlignment="1">
      <alignment horizontal="center" vertical="center"/>
    </xf>
    <xf numFmtId="0" fontId="1" fillId="8" borderId="3" xfId="0" applyFont="1"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xf>
    <xf numFmtId="0" fontId="0" fillId="0" borderId="11" xfId="0" applyBorder="1" applyAlignment="1">
      <alignment horizontal="left" wrapText="1"/>
    </xf>
    <xf numFmtId="0" fontId="0" fillId="0" borderId="12" xfId="0" applyBorder="1" applyAlignment="1">
      <alignment horizontal="left" wrapText="1"/>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48" xfId="0" applyFont="1" applyFill="1" applyBorder="1" applyAlignment="1">
      <alignment horizontal="center" vertical="center"/>
    </xf>
    <xf numFmtId="0" fontId="1" fillId="3" borderId="46" xfId="0" applyFont="1" applyFill="1" applyBorder="1" applyAlignment="1">
      <alignment horizontal="center" vertical="center"/>
    </xf>
    <xf numFmtId="0" fontId="1" fillId="11" borderId="23" xfId="0" applyFont="1" applyFill="1" applyBorder="1" applyAlignment="1">
      <alignment horizontal="center" vertical="center"/>
    </xf>
    <xf numFmtId="0" fontId="1" fillId="11" borderId="24" xfId="0" applyFont="1" applyFill="1"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53" xfId="0" applyBorder="1" applyAlignment="1">
      <alignment horizontal="left" vertical="center" wrapText="1"/>
    </xf>
    <xf numFmtId="0" fontId="1" fillId="8" borderId="5" xfId="0" applyFont="1" applyFill="1" applyBorder="1" applyAlignment="1">
      <alignment horizontal="center" vertical="center"/>
    </xf>
    <xf numFmtId="0" fontId="1" fillId="3" borderId="5" xfId="0" applyFont="1" applyFill="1" applyBorder="1" applyAlignment="1">
      <alignment horizontal="center" vertical="center"/>
    </xf>
    <xf numFmtId="0" fontId="7" fillId="0" borderId="9" xfId="0" applyFont="1" applyBorder="1" applyAlignment="1">
      <alignment horizontal="left" wrapText="1"/>
    </xf>
    <xf numFmtId="0" fontId="7" fillId="0" borderId="0" xfId="0" applyFont="1" applyAlignment="1">
      <alignment horizontal="left" wrapText="1"/>
    </xf>
    <xf numFmtId="0" fontId="0" fillId="0" borderId="0" xfId="0" quotePrefix="1" applyAlignment="1">
      <alignment horizontal="left"/>
    </xf>
    <xf numFmtId="0" fontId="1" fillId="8" borderId="23" xfId="0" quotePrefix="1" applyFont="1" applyFill="1" applyBorder="1" applyAlignment="1">
      <alignment horizontal="center"/>
    </xf>
    <xf numFmtId="0" fontId="1" fillId="8" borderId="24" xfId="0" quotePrefix="1" applyFont="1" applyFill="1" applyBorder="1" applyAlignment="1">
      <alignment horizontal="center"/>
    </xf>
    <xf numFmtId="0" fontId="1" fillId="8" borderId="25" xfId="0" quotePrefix="1" applyFont="1" applyFill="1" applyBorder="1" applyAlignment="1">
      <alignment horizontal="center"/>
    </xf>
    <xf numFmtId="0" fontId="1" fillId="11" borderId="1" xfId="0" applyFont="1" applyFill="1" applyBorder="1" applyAlignment="1">
      <alignment horizontal="center" vertical="center"/>
    </xf>
    <xf numFmtId="0" fontId="1" fillId="11" borderId="52" xfId="0" applyFont="1" applyFill="1" applyBorder="1" applyAlignment="1">
      <alignment horizontal="center" vertical="center"/>
    </xf>
    <xf numFmtId="0" fontId="1" fillId="11" borderId="2" xfId="0" applyFont="1" applyFill="1" applyBorder="1" applyAlignment="1">
      <alignment horizontal="center" vertical="center"/>
    </xf>
    <xf numFmtId="0" fontId="1" fillId="11" borderId="51" xfId="0" applyFont="1" applyFill="1" applyBorder="1" applyAlignment="1">
      <alignment horizontal="center" vertical="center"/>
    </xf>
    <xf numFmtId="0" fontId="1" fillId="11"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6" xfId="0" applyFont="1" applyFill="1" applyBorder="1" applyAlignment="1">
      <alignment horizontal="center" vertical="center"/>
    </xf>
    <xf numFmtId="0" fontId="0" fillId="0" borderId="0" xfId="0" applyAlignment="1">
      <alignment horizontal="left"/>
    </xf>
    <xf numFmtId="0" fontId="0" fillId="0" borderId="8" xfId="0" applyBorder="1" applyAlignment="1">
      <alignment horizontal="left"/>
    </xf>
    <xf numFmtId="2" fontId="0" fillId="0" borderId="8" xfId="0" applyNumberFormat="1" applyBorder="1" applyAlignment="1">
      <alignment horizontal="center" vertical="center"/>
    </xf>
    <xf numFmtId="0" fontId="0" fillId="0" borderId="5" xfId="0" applyBorder="1"/>
    <xf numFmtId="9" fontId="0" fillId="0" borderId="5" xfId="2" applyFont="1" applyBorder="1"/>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0" fillId="0" borderId="0" xfId="0" quotePrefix="1" applyAlignment="1">
      <alignment horizontal="left" wrapText="1"/>
    </xf>
    <xf numFmtId="2" fontId="0" fillId="0" borderId="5" xfId="0" applyNumberFormat="1" applyBorder="1"/>
    <xf numFmtId="0" fontId="0" fillId="0" borderId="35" xfId="0" applyBorder="1" applyAlignment="1">
      <alignment horizontal="center"/>
    </xf>
    <xf numFmtId="0" fontId="0" fillId="0" borderId="14" xfId="0" applyBorder="1" applyAlignment="1">
      <alignment horizontal="center"/>
    </xf>
  </cellXfs>
  <cellStyles count="3">
    <cellStyle name="Hipervínculo" xfId="1" builtinId="8"/>
    <cellStyle name="Normal" xfId="0" builtinId="0"/>
    <cellStyle name="Porcentaje" xfId="2" builtinId="5"/>
  </cellStyles>
  <dxfs count="27">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FFC000"/>
        </patternFill>
      </fill>
    </dxf>
    <dxf>
      <font>
        <b/>
        <i val="0"/>
      </font>
      <fill>
        <patternFill>
          <bgColor rgb="FF92D050"/>
        </patternFill>
      </fill>
    </dxf>
    <dxf>
      <font>
        <b/>
        <i val="0"/>
      </font>
      <fill>
        <patternFill>
          <bgColor rgb="FFFF0000"/>
        </patternFill>
      </fill>
    </dxf>
    <dxf>
      <font>
        <b/>
        <i val="0"/>
      </font>
      <fill>
        <patternFill>
          <bgColor rgb="FFFFC000"/>
        </patternFill>
      </fill>
    </dxf>
    <dxf>
      <font>
        <b/>
        <i val="0"/>
      </font>
      <fill>
        <patternFill>
          <bgColor rgb="FF92D050"/>
        </patternFill>
      </fill>
    </dxf>
    <dxf>
      <font>
        <b/>
        <i val="0"/>
      </font>
      <fill>
        <patternFill>
          <bgColor rgb="FFFF0000"/>
        </patternFill>
      </fill>
    </dxf>
    <dxf>
      <font>
        <b/>
        <i val="0"/>
      </font>
      <fill>
        <patternFill>
          <bgColor rgb="FF92D050"/>
        </patternFill>
      </fill>
    </dxf>
    <dxf>
      <font>
        <b val="0"/>
        <i/>
      </font>
      <fill>
        <patternFill>
          <bgColor rgb="FFFF000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1.png"/><Relationship Id="rId2" Type="http://schemas.openxmlformats.org/officeDocument/2006/relationships/image" Target="../media/image30.png"/><Relationship Id="rId1" Type="http://schemas.openxmlformats.org/officeDocument/2006/relationships/image" Target="../media/image29.png"/><Relationship Id="rId5" Type="http://schemas.openxmlformats.org/officeDocument/2006/relationships/hyperlink" Target="#INDICE!A1"/><Relationship Id="rId4" Type="http://schemas.openxmlformats.org/officeDocument/2006/relationships/image" Target="../media/image32.png"/></Relationships>
</file>

<file path=xl/drawings/_rels/drawing11.xml.rels><?xml version="1.0" encoding="UTF-8" standalone="yes"?>
<Relationships xmlns="http://schemas.openxmlformats.org/package/2006/relationships"><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hyperlink" Target="#'Dimensiones Muro'!A1"/><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hyperlink" Target="#'Verificaci&#243;n de resultados'!A1"/><Relationship Id="rId5" Type="http://schemas.openxmlformats.org/officeDocument/2006/relationships/image" Target="../media/image5.png"/><Relationship Id="rId4" Type="http://schemas.openxmlformats.org/officeDocument/2006/relationships/hyperlink" Target="#INDICE!A1"/></Relationships>
</file>

<file path=xl/drawings/_rels/drawing3.xml.rels><?xml version="1.0" encoding="UTF-8" standalone="yes"?>
<Relationships xmlns="http://schemas.openxmlformats.org/package/2006/relationships"><Relationship Id="rId3" Type="http://schemas.openxmlformats.org/officeDocument/2006/relationships/hyperlink" Target="#Input!A1"/><Relationship Id="rId2" Type="http://schemas.openxmlformats.org/officeDocument/2006/relationships/hyperlink" Target="#INDICE!A1"/><Relationship Id="rId1" Type="http://schemas.openxmlformats.org/officeDocument/2006/relationships/image" Target="../media/image1.png"/><Relationship Id="rId4" Type="http://schemas.openxmlformats.org/officeDocument/2006/relationships/hyperlink" Target="#'Verificaci&#243;n de resultados'!A1"/></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9.png"/><Relationship Id="rId7" Type="http://schemas.openxmlformats.org/officeDocument/2006/relationships/image" Target="../media/image12.png"/><Relationship Id="rId2" Type="http://schemas.openxmlformats.org/officeDocument/2006/relationships/image" Target="../media/image8.png"/><Relationship Id="rId1" Type="http://schemas.openxmlformats.org/officeDocument/2006/relationships/image" Target="../media/image1.png"/><Relationship Id="rId6" Type="http://schemas.openxmlformats.org/officeDocument/2006/relationships/image" Target="../media/image11.png"/><Relationship Id="rId5" Type="http://schemas.openxmlformats.org/officeDocument/2006/relationships/hyperlink" Target="#INDICE!A1"/><Relationship Id="rId10" Type="http://schemas.openxmlformats.org/officeDocument/2006/relationships/image" Target="../media/image15.png"/><Relationship Id="rId4" Type="http://schemas.openxmlformats.org/officeDocument/2006/relationships/image" Target="../media/image10.png"/><Relationship Id="rId9"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3" Type="http://schemas.openxmlformats.org/officeDocument/2006/relationships/hyperlink" Target="#'Dimensiones Muro'!A1"/><Relationship Id="rId2" Type="http://schemas.openxmlformats.org/officeDocument/2006/relationships/hyperlink" Target="#Input!A1"/><Relationship Id="rId1" Type="http://schemas.openxmlformats.org/officeDocument/2006/relationships/hyperlink" Target="#INDICE!A1"/><Relationship Id="rId5" Type="http://schemas.openxmlformats.org/officeDocument/2006/relationships/image" Target="../media/image17.png"/><Relationship Id="rId4" Type="http://schemas.openxmlformats.org/officeDocument/2006/relationships/image" Target="../media/image16.png"/></Relationships>
</file>

<file path=xl/drawings/_rels/drawing8.xml.rels><?xml version="1.0" encoding="UTF-8" standalone="yes"?>
<Relationships xmlns="http://schemas.openxmlformats.org/package/2006/relationships"><Relationship Id="rId8" Type="http://schemas.openxmlformats.org/officeDocument/2006/relationships/image" Target="../media/image24.png"/><Relationship Id="rId3" Type="http://schemas.openxmlformats.org/officeDocument/2006/relationships/image" Target="../media/image19.png"/><Relationship Id="rId7" Type="http://schemas.openxmlformats.org/officeDocument/2006/relationships/image" Target="../media/image23.png"/><Relationship Id="rId12" Type="http://schemas.openxmlformats.org/officeDocument/2006/relationships/image" Target="../media/image28.png"/><Relationship Id="rId2" Type="http://schemas.openxmlformats.org/officeDocument/2006/relationships/image" Target="../media/image18.png"/><Relationship Id="rId1" Type="http://schemas.openxmlformats.org/officeDocument/2006/relationships/hyperlink" Target="#INDICE!A1"/><Relationship Id="rId6" Type="http://schemas.openxmlformats.org/officeDocument/2006/relationships/image" Target="../media/image22.png"/><Relationship Id="rId11" Type="http://schemas.openxmlformats.org/officeDocument/2006/relationships/image" Target="../media/image27.png"/><Relationship Id="rId5" Type="http://schemas.openxmlformats.org/officeDocument/2006/relationships/image" Target="../media/image21.png"/><Relationship Id="rId10" Type="http://schemas.openxmlformats.org/officeDocument/2006/relationships/image" Target="../media/image26.png"/><Relationship Id="rId4" Type="http://schemas.openxmlformats.org/officeDocument/2006/relationships/image" Target="../media/image20.png"/><Relationship Id="rId9" Type="http://schemas.openxmlformats.org/officeDocument/2006/relationships/image" Target="../media/image25.png"/></Relationships>
</file>

<file path=xl/drawings/_rels/drawing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hyperlink" Target="#'Dimensiones Muro'!A1"/><Relationship Id="rId1"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oneCellAnchor>
    <xdr:from>
      <xdr:col>2</xdr:col>
      <xdr:colOff>24091</xdr:colOff>
      <xdr:row>5</xdr:row>
      <xdr:rowOff>19611</xdr:rowOff>
    </xdr:from>
    <xdr:ext cx="2545935" cy="354386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86091" y="602317"/>
          <a:ext cx="2545935" cy="3543860"/>
        </a:xfrm>
        <a:prstGeom prst="rect">
          <a:avLst/>
        </a:prstGeom>
        <a:ln w="28575">
          <a:solidFill>
            <a:schemeClr val="tx1"/>
          </a:solidFill>
        </a:ln>
      </xdr:spPr>
    </xdr:pic>
    <xdr:clientData/>
  </xdr:oneCellAnchor>
  <xdr:twoCellAnchor>
    <xdr:from>
      <xdr:col>6</xdr:col>
      <xdr:colOff>202750</xdr:colOff>
      <xdr:row>5</xdr:row>
      <xdr:rowOff>56028</xdr:rowOff>
    </xdr:from>
    <xdr:to>
      <xdr:col>12</xdr:col>
      <xdr:colOff>448234</xdr:colOff>
      <xdr:row>24</xdr:row>
      <xdr:rowOff>89645</xdr:rowOff>
    </xdr:to>
    <xdr:grpSp>
      <xdr:nvGrpSpPr>
        <xdr:cNvPr id="36" name="Grupo 35">
          <a:extLst>
            <a:ext uri="{FF2B5EF4-FFF2-40B4-BE49-F238E27FC236}">
              <a16:creationId xmlns:a16="http://schemas.microsoft.com/office/drawing/2014/main" id="{00000000-0008-0000-0100-000024000000}"/>
            </a:ext>
          </a:extLst>
        </xdr:cNvPr>
        <xdr:cNvGrpSpPr/>
      </xdr:nvGrpSpPr>
      <xdr:grpSpPr>
        <a:xfrm>
          <a:off x="4505809" y="1042146"/>
          <a:ext cx="4548543" cy="3653117"/>
          <a:chOff x="3799840" y="762000"/>
          <a:chExt cx="9542484" cy="6140770"/>
        </a:xfrm>
      </xdr:grpSpPr>
      <xdr:sp macro="" textlink="">
        <xdr:nvSpPr>
          <xdr:cNvPr id="3" name="Forma libre: forma 2">
            <a:extLst>
              <a:ext uri="{FF2B5EF4-FFF2-40B4-BE49-F238E27FC236}">
                <a16:creationId xmlns:a16="http://schemas.microsoft.com/office/drawing/2014/main" id="{00000000-0008-0000-0100-000003000000}"/>
              </a:ext>
            </a:extLst>
          </xdr:cNvPr>
          <xdr:cNvSpPr/>
        </xdr:nvSpPr>
        <xdr:spPr>
          <a:xfrm>
            <a:off x="7305040" y="2001157"/>
            <a:ext cx="3479801" cy="4432300"/>
          </a:xfrm>
          <a:custGeom>
            <a:avLst/>
            <a:gdLst>
              <a:gd name="connsiteX0" fmla="*/ 1219200 w 3479800"/>
              <a:gd name="connsiteY0" fmla="*/ 0 h 4432300"/>
              <a:gd name="connsiteX1" fmla="*/ 1536700 w 3479800"/>
              <a:gd name="connsiteY1" fmla="*/ 0 h 4432300"/>
              <a:gd name="connsiteX2" fmla="*/ 1536700 w 3479800"/>
              <a:gd name="connsiteY2" fmla="*/ 3975100 h 4432300"/>
              <a:gd name="connsiteX3" fmla="*/ 3479800 w 3479800"/>
              <a:gd name="connsiteY3" fmla="*/ 3975100 h 4432300"/>
              <a:gd name="connsiteX4" fmla="*/ 3479800 w 3479800"/>
              <a:gd name="connsiteY4" fmla="*/ 4432300 h 4432300"/>
              <a:gd name="connsiteX5" fmla="*/ 0 w 3479800"/>
              <a:gd name="connsiteY5" fmla="*/ 4432300 h 4432300"/>
              <a:gd name="connsiteX6" fmla="*/ 0 w 3479800"/>
              <a:gd name="connsiteY6" fmla="*/ 3987800 h 4432300"/>
              <a:gd name="connsiteX7" fmla="*/ 825500 w 3479800"/>
              <a:gd name="connsiteY7" fmla="*/ 4000500 h 4432300"/>
              <a:gd name="connsiteX8" fmla="*/ 1219200 w 3479800"/>
              <a:gd name="connsiteY8" fmla="*/ 0 h 4432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479800" h="4432300">
                <a:moveTo>
                  <a:pt x="1219200" y="0"/>
                </a:moveTo>
                <a:lnTo>
                  <a:pt x="1536700" y="0"/>
                </a:lnTo>
                <a:lnTo>
                  <a:pt x="1536700" y="3975100"/>
                </a:lnTo>
                <a:lnTo>
                  <a:pt x="3479800" y="3975100"/>
                </a:lnTo>
                <a:lnTo>
                  <a:pt x="3479800" y="4432300"/>
                </a:lnTo>
                <a:lnTo>
                  <a:pt x="0" y="4432300"/>
                </a:lnTo>
                <a:lnTo>
                  <a:pt x="0" y="3987800"/>
                </a:lnTo>
                <a:lnTo>
                  <a:pt x="825500" y="4000500"/>
                </a:lnTo>
                <a:lnTo>
                  <a:pt x="1219200" y="0"/>
                </a:lnTo>
                <a:close/>
              </a:path>
            </a:pathLst>
          </a:custGeom>
          <a:solidFill>
            <a:schemeClr val="bg2">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sz="1050"/>
          </a:p>
        </xdr:txBody>
      </xdr:sp>
      <xdr:sp macro="" textlink="">
        <xdr:nvSpPr>
          <xdr:cNvPr id="4" name="Forma libre: forma 3">
            <a:extLst>
              <a:ext uri="{FF2B5EF4-FFF2-40B4-BE49-F238E27FC236}">
                <a16:creationId xmlns:a16="http://schemas.microsoft.com/office/drawing/2014/main" id="{00000000-0008-0000-0100-000004000000}"/>
              </a:ext>
            </a:extLst>
          </xdr:cNvPr>
          <xdr:cNvSpPr/>
        </xdr:nvSpPr>
        <xdr:spPr>
          <a:xfrm>
            <a:off x="8838781" y="781988"/>
            <a:ext cx="4457700" cy="5676900"/>
          </a:xfrm>
          <a:custGeom>
            <a:avLst/>
            <a:gdLst>
              <a:gd name="connsiteX0" fmla="*/ 4457700 w 4457700"/>
              <a:gd name="connsiteY0" fmla="*/ 0 h 5676900"/>
              <a:gd name="connsiteX1" fmla="*/ 4457700 w 4457700"/>
              <a:gd name="connsiteY1" fmla="*/ 5676900 h 5676900"/>
              <a:gd name="connsiteX2" fmla="*/ 1930400 w 4457700"/>
              <a:gd name="connsiteY2" fmla="*/ 5676900 h 5676900"/>
              <a:gd name="connsiteX3" fmla="*/ 1930400 w 4457700"/>
              <a:gd name="connsiteY3" fmla="*/ 5219700 h 5676900"/>
              <a:gd name="connsiteX4" fmla="*/ 0 w 4457700"/>
              <a:gd name="connsiteY4" fmla="*/ 5219700 h 5676900"/>
              <a:gd name="connsiteX5" fmla="*/ 0 w 4457700"/>
              <a:gd name="connsiteY5" fmla="*/ 1219200 h 5676900"/>
              <a:gd name="connsiteX6" fmla="*/ 4457700 w 4457700"/>
              <a:gd name="connsiteY6" fmla="*/ 0 h 56769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457700" h="5676900">
                <a:moveTo>
                  <a:pt x="4457700" y="0"/>
                </a:moveTo>
                <a:lnTo>
                  <a:pt x="4457700" y="5676900"/>
                </a:lnTo>
                <a:lnTo>
                  <a:pt x="1930400" y="5676900"/>
                </a:lnTo>
                <a:lnTo>
                  <a:pt x="1930400" y="5219700"/>
                </a:lnTo>
                <a:lnTo>
                  <a:pt x="0" y="5219700"/>
                </a:lnTo>
                <a:lnTo>
                  <a:pt x="0" y="1219200"/>
                </a:lnTo>
                <a:lnTo>
                  <a:pt x="4457700" y="0"/>
                </a:lnTo>
                <a:close/>
              </a:path>
            </a:pathLst>
          </a:custGeom>
          <a:solidFill>
            <a:schemeClr val="accent4">
              <a:lumMod val="60000"/>
              <a:lumOff val="40000"/>
            </a:schemeClr>
          </a:solidFill>
          <a:l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sz="1050"/>
          </a:p>
        </xdr:txBody>
      </xdr:sp>
      <xdr:sp macro="" textlink="">
        <xdr:nvSpPr>
          <xdr:cNvPr id="5" name="Forma libre: forma 4">
            <a:extLst>
              <a:ext uri="{FF2B5EF4-FFF2-40B4-BE49-F238E27FC236}">
                <a16:creationId xmlns:a16="http://schemas.microsoft.com/office/drawing/2014/main" id="{00000000-0008-0000-0100-000005000000}"/>
              </a:ext>
            </a:extLst>
          </xdr:cNvPr>
          <xdr:cNvSpPr/>
        </xdr:nvSpPr>
        <xdr:spPr>
          <a:xfrm>
            <a:off x="3810000" y="5607957"/>
            <a:ext cx="4358640" cy="1294813"/>
          </a:xfrm>
          <a:custGeom>
            <a:avLst/>
            <a:gdLst>
              <a:gd name="connsiteX0" fmla="*/ 0 w 4358640"/>
              <a:gd name="connsiteY0" fmla="*/ 0 h 830580"/>
              <a:gd name="connsiteX1" fmla="*/ 4358640 w 4358640"/>
              <a:gd name="connsiteY1" fmla="*/ 7620 h 830580"/>
              <a:gd name="connsiteX2" fmla="*/ 4320540 w 4358640"/>
              <a:gd name="connsiteY2" fmla="*/ 388620 h 830580"/>
              <a:gd name="connsiteX3" fmla="*/ 3497580 w 4358640"/>
              <a:gd name="connsiteY3" fmla="*/ 381000 h 830580"/>
              <a:gd name="connsiteX4" fmla="*/ 3489960 w 4358640"/>
              <a:gd name="connsiteY4" fmla="*/ 830580 h 830580"/>
              <a:gd name="connsiteX5" fmla="*/ 15240 w 4358640"/>
              <a:gd name="connsiteY5" fmla="*/ 830580 h 830580"/>
              <a:gd name="connsiteX6" fmla="*/ 0 w 4358640"/>
              <a:gd name="connsiteY6" fmla="*/ 0 h 830580"/>
              <a:gd name="connsiteX0" fmla="*/ 0 w 4358640"/>
              <a:gd name="connsiteY0" fmla="*/ 0 h 1294813"/>
              <a:gd name="connsiteX1" fmla="*/ 4358640 w 4358640"/>
              <a:gd name="connsiteY1" fmla="*/ 7620 h 1294813"/>
              <a:gd name="connsiteX2" fmla="*/ 4320540 w 4358640"/>
              <a:gd name="connsiteY2" fmla="*/ 388620 h 1294813"/>
              <a:gd name="connsiteX3" fmla="*/ 3497580 w 4358640"/>
              <a:gd name="connsiteY3" fmla="*/ 381000 h 1294813"/>
              <a:gd name="connsiteX4" fmla="*/ 3489960 w 4358640"/>
              <a:gd name="connsiteY4" fmla="*/ 1294813 h 1294813"/>
              <a:gd name="connsiteX5" fmla="*/ 15240 w 4358640"/>
              <a:gd name="connsiteY5" fmla="*/ 830580 h 1294813"/>
              <a:gd name="connsiteX6" fmla="*/ 0 w 4358640"/>
              <a:gd name="connsiteY6" fmla="*/ 0 h 1294813"/>
              <a:gd name="connsiteX0" fmla="*/ 0 w 4358640"/>
              <a:gd name="connsiteY0" fmla="*/ 0 h 1294813"/>
              <a:gd name="connsiteX1" fmla="*/ 4358640 w 4358640"/>
              <a:gd name="connsiteY1" fmla="*/ 7620 h 1294813"/>
              <a:gd name="connsiteX2" fmla="*/ 4320540 w 4358640"/>
              <a:gd name="connsiteY2" fmla="*/ 388620 h 1294813"/>
              <a:gd name="connsiteX3" fmla="*/ 3497580 w 4358640"/>
              <a:gd name="connsiteY3" fmla="*/ 381000 h 1294813"/>
              <a:gd name="connsiteX4" fmla="*/ 3489960 w 4358640"/>
              <a:gd name="connsiteY4" fmla="*/ 1294813 h 1294813"/>
              <a:gd name="connsiteX5" fmla="*/ 1173 w 4358640"/>
              <a:gd name="connsiteY5" fmla="*/ 1294813 h 1294813"/>
              <a:gd name="connsiteX6" fmla="*/ 0 w 4358640"/>
              <a:gd name="connsiteY6" fmla="*/ 0 h 12948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358640" h="1294813">
                <a:moveTo>
                  <a:pt x="0" y="0"/>
                </a:moveTo>
                <a:lnTo>
                  <a:pt x="4358640" y="7620"/>
                </a:lnTo>
                <a:lnTo>
                  <a:pt x="4320540" y="388620"/>
                </a:lnTo>
                <a:lnTo>
                  <a:pt x="3497580" y="381000"/>
                </a:lnTo>
                <a:lnTo>
                  <a:pt x="3489960" y="1294813"/>
                </a:lnTo>
                <a:lnTo>
                  <a:pt x="1173" y="1294813"/>
                </a:lnTo>
                <a:lnTo>
                  <a:pt x="0" y="0"/>
                </a:lnTo>
                <a:close/>
              </a:path>
            </a:pathLst>
          </a:cu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sz="1050"/>
          </a:p>
        </xdr:txBody>
      </xdr:sp>
      <xdr:cxnSp macro="">
        <xdr:nvCxnSpPr>
          <xdr:cNvPr id="6" name="Conector recto 5">
            <a:extLst>
              <a:ext uri="{FF2B5EF4-FFF2-40B4-BE49-F238E27FC236}">
                <a16:creationId xmlns:a16="http://schemas.microsoft.com/office/drawing/2014/main" id="{00000000-0008-0000-0100-000006000000}"/>
              </a:ext>
            </a:extLst>
          </xdr:cNvPr>
          <xdr:cNvCxnSpPr>
            <a:cxnSpLocks/>
          </xdr:cNvCxnSpPr>
        </xdr:nvCxnSpPr>
        <xdr:spPr>
          <a:xfrm>
            <a:off x="7292340" y="6424902"/>
            <a:ext cx="3488126" cy="0"/>
          </a:xfrm>
          <a:prstGeom prst="line">
            <a:avLst/>
          </a:prstGeom>
          <a:ln w="38100"/>
        </xdr:spPr>
        <xdr:style>
          <a:lnRef idx="1">
            <a:schemeClr val="dk1"/>
          </a:lnRef>
          <a:fillRef idx="0">
            <a:schemeClr val="dk1"/>
          </a:fillRef>
          <a:effectRef idx="0">
            <a:schemeClr val="dk1"/>
          </a:effectRef>
          <a:fontRef idx="minor">
            <a:schemeClr val="tx1"/>
          </a:fontRef>
        </xdr:style>
      </xdr:cxnSp>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V="1">
            <a:off x="7292340" y="5987985"/>
            <a:ext cx="0" cy="436917"/>
          </a:xfrm>
          <a:prstGeom prst="line">
            <a:avLst/>
          </a:prstGeom>
          <a:ln w="38100"/>
        </xdr:spPr>
        <xdr:style>
          <a:lnRef idx="1">
            <a:schemeClr val="dk1"/>
          </a:lnRef>
          <a:fillRef idx="0">
            <a:schemeClr val="dk1"/>
          </a:fillRef>
          <a:effectRef idx="0">
            <a:schemeClr val="dk1"/>
          </a:effectRef>
          <a:fontRef idx="minor">
            <a:schemeClr val="tx1"/>
          </a:fontRef>
        </xdr:style>
      </xdr:cxnSp>
      <xdr:cxnSp macro="">
        <xdr:nvCxnSpPr>
          <xdr:cNvPr id="8" name="Conector recto 7">
            <a:extLst>
              <a:ext uri="{FF2B5EF4-FFF2-40B4-BE49-F238E27FC236}">
                <a16:creationId xmlns:a16="http://schemas.microsoft.com/office/drawing/2014/main" id="{00000000-0008-0000-0100-000008000000}"/>
              </a:ext>
            </a:extLst>
          </xdr:cNvPr>
          <xdr:cNvCxnSpPr>
            <a:cxnSpLocks/>
          </xdr:cNvCxnSpPr>
        </xdr:nvCxnSpPr>
        <xdr:spPr>
          <a:xfrm flipV="1">
            <a:off x="10780466" y="5982415"/>
            <a:ext cx="0" cy="442487"/>
          </a:xfrm>
          <a:prstGeom prst="line">
            <a:avLst/>
          </a:prstGeom>
          <a:ln w="38100"/>
        </xdr:spPr>
        <xdr:style>
          <a:lnRef idx="1">
            <a:schemeClr val="dk1"/>
          </a:lnRef>
          <a:fillRef idx="0">
            <a:schemeClr val="dk1"/>
          </a:fillRef>
          <a:effectRef idx="0">
            <a:schemeClr val="dk1"/>
          </a:effectRef>
          <a:fontRef idx="minor">
            <a:schemeClr val="tx1"/>
          </a:fontRef>
        </xdr:style>
      </xdr:cxnSp>
      <xdr:cxnSp macro="">
        <xdr:nvCxnSpPr>
          <xdr:cNvPr id="9" name="Conector recto 8">
            <a:extLst>
              <a:ext uri="{FF2B5EF4-FFF2-40B4-BE49-F238E27FC236}">
                <a16:creationId xmlns:a16="http://schemas.microsoft.com/office/drawing/2014/main" id="{00000000-0008-0000-0100-000009000000}"/>
              </a:ext>
            </a:extLst>
          </xdr:cNvPr>
          <xdr:cNvCxnSpPr>
            <a:cxnSpLocks/>
          </xdr:cNvCxnSpPr>
        </xdr:nvCxnSpPr>
        <xdr:spPr>
          <a:xfrm>
            <a:off x="7292340" y="5987985"/>
            <a:ext cx="832856" cy="0"/>
          </a:xfrm>
          <a:prstGeom prst="line">
            <a:avLst/>
          </a:prstGeom>
          <a:ln w="38100"/>
        </xdr:spPr>
        <xdr:style>
          <a:lnRef idx="1">
            <a:schemeClr val="dk1"/>
          </a:lnRef>
          <a:fillRef idx="0">
            <a:schemeClr val="dk1"/>
          </a:fillRef>
          <a:effectRef idx="0">
            <a:schemeClr val="dk1"/>
          </a:effectRef>
          <a:fontRef idx="minor">
            <a:schemeClr val="tx1"/>
          </a:fontRef>
        </xdr:style>
      </xdr:cxnSp>
      <xdr:cxnSp macro="">
        <xdr:nvCxnSpPr>
          <xdr:cNvPr id="10" name="Conector recto 9">
            <a:extLst>
              <a:ext uri="{FF2B5EF4-FFF2-40B4-BE49-F238E27FC236}">
                <a16:creationId xmlns:a16="http://schemas.microsoft.com/office/drawing/2014/main" id="{00000000-0008-0000-0100-00000A000000}"/>
              </a:ext>
            </a:extLst>
          </xdr:cNvPr>
          <xdr:cNvCxnSpPr>
            <a:cxnSpLocks/>
          </xdr:cNvCxnSpPr>
        </xdr:nvCxnSpPr>
        <xdr:spPr>
          <a:xfrm flipV="1">
            <a:off x="8125196" y="1983695"/>
            <a:ext cx="391107" cy="4004290"/>
          </a:xfrm>
          <a:prstGeom prst="line">
            <a:avLst/>
          </a:prstGeom>
          <a:ln w="38100"/>
        </xdr:spPr>
        <xdr:style>
          <a:lnRef idx="1">
            <a:schemeClr val="dk1"/>
          </a:lnRef>
          <a:fillRef idx="0">
            <a:schemeClr val="dk1"/>
          </a:fillRef>
          <a:effectRef idx="0">
            <a:schemeClr val="dk1"/>
          </a:effectRef>
          <a:fontRef idx="minor">
            <a:schemeClr val="tx1"/>
          </a:fontRef>
        </xdr:style>
      </xdr:cxnSp>
      <xdr:cxnSp macro="">
        <xdr:nvCxnSpPr>
          <xdr:cNvPr id="11" name="Conector recto 10">
            <a:extLst>
              <a:ext uri="{FF2B5EF4-FFF2-40B4-BE49-F238E27FC236}">
                <a16:creationId xmlns:a16="http://schemas.microsoft.com/office/drawing/2014/main" id="{00000000-0008-0000-0100-00000B000000}"/>
              </a:ext>
            </a:extLst>
          </xdr:cNvPr>
          <xdr:cNvCxnSpPr>
            <a:cxnSpLocks/>
          </xdr:cNvCxnSpPr>
        </xdr:nvCxnSpPr>
        <xdr:spPr>
          <a:xfrm>
            <a:off x="8516303" y="1988457"/>
            <a:ext cx="309562" cy="0"/>
          </a:xfrm>
          <a:prstGeom prst="line">
            <a:avLst/>
          </a:prstGeom>
          <a:ln w="38100"/>
        </xdr:spPr>
        <xdr:style>
          <a:lnRef idx="1">
            <a:schemeClr val="dk1"/>
          </a:lnRef>
          <a:fillRef idx="0">
            <a:schemeClr val="dk1"/>
          </a:fillRef>
          <a:effectRef idx="0">
            <a:schemeClr val="dk1"/>
          </a:effectRef>
          <a:fontRef idx="minor">
            <a:schemeClr val="tx1"/>
          </a:fontRef>
        </xdr:style>
      </xdr:cxnSp>
      <xdr:cxnSp macro="">
        <xdr:nvCxnSpPr>
          <xdr:cNvPr id="12" name="Conector recto 11">
            <a:extLst>
              <a:ext uri="{FF2B5EF4-FFF2-40B4-BE49-F238E27FC236}">
                <a16:creationId xmlns:a16="http://schemas.microsoft.com/office/drawing/2014/main" id="{00000000-0008-0000-0100-00000C000000}"/>
              </a:ext>
            </a:extLst>
          </xdr:cNvPr>
          <xdr:cNvCxnSpPr>
            <a:cxnSpLocks/>
          </xdr:cNvCxnSpPr>
        </xdr:nvCxnSpPr>
        <xdr:spPr>
          <a:xfrm>
            <a:off x="8825865" y="1983695"/>
            <a:ext cx="4763" cy="3998720"/>
          </a:xfrm>
          <a:prstGeom prst="line">
            <a:avLst/>
          </a:prstGeom>
          <a:ln w="38100"/>
        </xdr:spPr>
        <xdr:style>
          <a:lnRef idx="1">
            <a:schemeClr val="dk1"/>
          </a:lnRef>
          <a:fillRef idx="0">
            <a:schemeClr val="dk1"/>
          </a:fillRef>
          <a:effectRef idx="0">
            <a:schemeClr val="dk1"/>
          </a:effectRef>
          <a:fontRef idx="minor">
            <a:schemeClr val="tx1"/>
          </a:fontRef>
        </xdr:style>
      </xdr:cxnSp>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8825865" y="5982415"/>
            <a:ext cx="1954601" cy="0"/>
          </a:xfrm>
          <a:prstGeom prst="line">
            <a:avLst/>
          </a:prstGeom>
          <a:ln w="38100"/>
        </xdr:spPr>
        <xdr:style>
          <a:lnRef idx="1">
            <a:schemeClr val="dk1"/>
          </a:lnRef>
          <a:fillRef idx="0">
            <a:schemeClr val="dk1"/>
          </a:fillRef>
          <a:effectRef idx="0">
            <a:schemeClr val="dk1"/>
          </a:effectRef>
          <a:fontRef idx="minor">
            <a:schemeClr val="tx1"/>
          </a:fontRef>
        </xdr:style>
      </xdr:cxnSp>
      <xdr:cxnSp macro="">
        <xdr:nvCxnSpPr>
          <xdr:cNvPr id="14" name="Conector recto 13">
            <a:extLst>
              <a:ext uri="{FF2B5EF4-FFF2-40B4-BE49-F238E27FC236}">
                <a16:creationId xmlns:a16="http://schemas.microsoft.com/office/drawing/2014/main" id="{00000000-0008-0000-0100-00000E000000}"/>
              </a:ext>
            </a:extLst>
          </xdr:cNvPr>
          <xdr:cNvCxnSpPr>
            <a:cxnSpLocks/>
          </xdr:cNvCxnSpPr>
        </xdr:nvCxnSpPr>
        <xdr:spPr>
          <a:xfrm>
            <a:off x="3799840" y="5603372"/>
            <a:ext cx="4366419" cy="0"/>
          </a:xfrm>
          <a:prstGeom prst="line">
            <a:avLst/>
          </a:prstGeom>
          <a:ln w="38100"/>
        </xdr:spPr>
        <xdr:style>
          <a:lnRef idx="1">
            <a:schemeClr val="dk1"/>
          </a:lnRef>
          <a:fillRef idx="0">
            <a:schemeClr val="dk1"/>
          </a:fillRef>
          <a:effectRef idx="0">
            <a:schemeClr val="dk1"/>
          </a:effectRef>
          <a:fontRef idx="minor">
            <a:schemeClr val="tx1"/>
          </a:fontRef>
        </xdr:style>
      </xdr:cxnSp>
      <xdr:cxnSp macro="">
        <xdr:nvCxnSpPr>
          <xdr:cNvPr id="15" name="Conector recto 14">
            <a:extLst>
              <a:ext uri="{FF2B5EF4-FFF2-40B4-BE49-F238E27FC236}">
                <a16:creationId xmlns:a16="http://schemas.microsoft.com/office/drawing/2014/main" id="{00000000-0008-0000-0100-00000F000000}"/>
              </a:ext>
            </a:extLst>
          </xdr:cNvPr>
          <xdr:cNvCxnSpPr>
            <a:cxnSpLocks/>
          </xdr:cNvCxnSpPr>
        </xdr:nvCxnSpPr>
        <xdr:spPr>
          <a:xfrm flipV="1">
            <a:off x="8825865" y="762000"/>
            <a:ext cx="4516459" cy="1221695"/>
          </a:xfrm>
          <a:prstGeom prst="line">
            <a:avLst/>
          </a:prstGeom>
          <a:ln w="38100"/>
        </xdr:spPr>
        <xdr:style>
          <a:lnRef idx="1">
            <a:schemeClr val="dk1"/>
          </a:lnRef>
          <a:fillRef idx="0">
            <a:schemeClr val="dk1"/>
          </a:fillRef>
          <a:effectRef idx="0">
            <a:schemeClr val="dk1"/>
          </a:effectRef>
          <a:fontRef idx="minor">
            <a:schemeClr val="tx1"/>
          </a:fontRef>
        </xdr:style>
      </xdr:cxnSp>
      <mc:AlternateContent xmlns:mc="http://schemas.openxmlformats.org/markup-compatibility/2006" xmlns:a14="http://schemas.microsoft.com/office/drawing/2010/main">
        <mc:Choice Requires="a14">
          <xdr:sp macro="" textlink="">
            <xdr:nvSpPr>
              <xdr:cNvPr id="16" name="CuadroTexto 32">
                <a:extLst>
                  <a:ext uri="{FF2B5EF4-FFF2-40B4-BE49-F238E27FC236}">
                    <a16:creationId xmlns:a16="http://schemas.microsoft.com/office/drawing/2014/main" id="{00000000-0008-0000-0100-000010000000}"/>
                  </a:ext>
                </a:extLst>
              </xdr:cNvPr>
              <xdr:cNvSpPr txBox="1"/>
            </xdr:nvSpPr>
            <xdr:spPr>
              <a:xfrm>
                <a:off x="11691919" y="2510240"/>
                <a:ext cx="1168400" cy="1061565"/>
              </a:xfrm>
              <a:prstGeom prst="rect">
                <a:avLst/>
              </a:prstGeom>
              <a:noFill/>
              <a:ln>
                <a:solidFill>
                  <a:schemeClr val="tx1"/>
                </a:solidFill>
              </a:ln>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14:m>
                  <m:oMathPara xmlns:m="http://schemas.openxmlformats.org/officeDocument/2006/math">
                    <m:oMathParaPr>
                      <m:jc m:val="center"/>
                    </m:oMathParaPr>
                    <m:oMath xmlns:m="http://schemas.openxmlformats.org/officeDocument/2006/math">
                      <m:r>
                        <a:rPr lang="es-MX" sz="700" b="0" i="1">
                          <a:latin typeface="Cambria Math" panose="02040503050406030204" pitchFamily="18" charset="0"/>
                        </a:rPr>
                        <m:t>𝑆𝑢𝑒𝑙𝑜</m:t>
                      </m:r>
                      <m:r>
                        <a:rPr lang="es-MX" sz="700" b="0" i="1">
                          <a:latin typeface="Cambria Math" panose="02040503050406030204" pitchFamily="18" charset="0"/>
                        </a:rPr>
                        <m:t> 1</m:t>
                      </m:r>
                    </m:oMath>
                    <m:oMath xmlns:m="http://schemas.openxmlformats.org/officeDocument/2006/math">
                      <m:sSub>
                        <m:sSubPr>
                          <m:ctrlPr>
                            <a:rPr lang="es-MX" sz="700" b="0" i="1">
                              <a:latin typeface="Cambria Math" panose="02040503050406030204" pitchFamily="18" charset="0"/>
                              <a:ea typeface="Cambria Math" panose="02040503050406030204" pitchFamily="18" charset="0"/>
                            </a:rPr>
                          </m:ctrlPr>
                        </m:sSubPr>
                        <m:e>
                          <m:r>
                            <a:rPr lang="es-MX" sz="700" b="0" i="1">
                              <a:latin typeface="Cambria Math" panose="02040503050406030204" pitchFamily="18" charset="0"/>
                              <a:ea typeface="Cambria Math" panose="02040503050406030204" pitchFamily="18" charset="0"/>
                            </a:rPr>
                            <m:t>𝜙</m:t>
                          </m:r>
                        </m:e>
                        <m:sub>
                          <m:r>
                            <a:rPr lang="es-MX" sz="700" b="0" i="1">
                              <a:latin typeface="Cambria Math" panose="02040503050406030204" pitchFamily="18" charset="0"/>
                              <a:ea typeface="Cambria Math" panose="02040503050406030204" pitchFamily="18" charset="0"/>
                            </a:rPr>
                            <m:t>1</m:t>
                          </m:r>
                        </m:sub>
                      </m:sSub>
                    </m:oMath>
                    <m:oMath xmlns:m="http://schemas.openxmlformats.org/officeDocument/2006/math">
                      <m:sSubSup>
                        <m:sSubSupPr>
                          <m:ctrlPr>
                            <a:rPr lang="es-MX" sz="700" b="0" i="1">
                              <a:latin typeface="Cambria Math" panose="02040503050406030204" pitchFamily="18" charset="0"/>
                              <a:ea typeface="Cambria Math" panose="02040503050406030204" pitchFamily="18" charset="0"/>
                            </a:rPr>
                          </m:ctrlPr>
                        </m:sSubSupPr>
                        <m:e>
                          <m:r>
                            <a:rPr lang="es-MX" sz="700" b="0" i="1">
                              <a:latin typeface="Cambria Math" panose="02040503050406030204" pitchFamily="18" charset="0"/>
                              <a:ea typeface="Cambria Math" panose="02040503050406030204" pitchFamily="18" charset="0"/>
                            </a:rPr>
                            <m:t>𝐶</m:t>
                          </m:r>
                        </m:e>
                        <m:sub>
                          <m:r>
                            <a:rPr lang="es-MX" sz="700" b="0" i="1">
                              <a:latin typeface="Cambria Math" panose="02040503050406030204" pitchFamily="18" charset="0"/>
                              <a:ea typeface="Cambria Math" panose="02040503050406030204" pitchFamily="18" charset="0"/>
                            </a:rPr>
                            <m:t>1</m:t>
                          </m:r>
                        </m:sub>
                        <m:sup>
                          <m:r>
                            <a:rPr lang="es-MX" sz="700" b="0" i="1">
                              <a:latin typeface="Cambria Math" panose="02040503050406030204" pitchFamily="18" charset="0"/>
                              <a:ea typeface="Cambria Math" panose="02040503050406030204" pitchFamily="18" charset="0"/>
                            </a:rPr>
                            <m:t>′</m:t>
                          </m:r>
                        </m:sup>
                      </m:sSubSup>
                    </m:oMath>
                  </m:oMathPara>
                </a14:m>
                <a:endParaRPr lang="es-MX" sz="700" b="0">
                  <a:ea typeface="Cambria Math" panose="02040503050406030204" pitchFamily="18" charset="0"/>
                </a:endParaRPr>
              </a:p>
              <a:p>
                <a:pPr algn="ctr"/>
                <a14:m>
                  <m:oMathPara xmlns:m="http://schemas.openxmlformats.org/officeDocument/2006/math">
                    <m:oMathParaPr>
                      <m:jc m:val="center"/>
                    </m:oMathParaPr>
                    <m:oMath xmlns:m="http://schemas.openxmlformats.org/officeDocument/2006/math">
                      <m:sSub>
                        <m:sSubPr>
                          <m:ctrlPr>
                            <a:rPr lang="es-MX" sz="700" b="0" i="1">
                              <a:latin typeface="Cambria Math" panose="02040503050406030204" pitchFamily="18" charset="0"/>
                              <a:ea typeface="Cambria Math" panose="02040503050406030204" pitchFamily="18" charset="0"/>
                            </a:rPr>
                          </m:ctrlPr>
                        </m:sSubPr>
                        <m:e>
                          <m:r>
                            <a:rPr lang="es-MX" sz="700" b="0" i="1">
                              <a:latin typeface="Cambria Math" panose="02040503050406030204" pitchFamily="18" charset="0"/>
                              <a:ea typeface="Cambria Math" panose="02040503050406030204" pitchFamily="18" charset="0"/>
                            </a:rPr>
                            <m:t>𝛾</m:t>
                          </m:r>
                        </m:e>
                        <m:sub>
                          <m:r>
                            <a:rPr lang="es-MX" sz="700" b="0" i="1">
                              <a:latin typeface="Cambria Math" panose="02040503050406030204" pitchFamily="18" charset="0"/>
                              <a:ea typeface="Cambria Math" panose="02040503050406030204" pitchFamily="18" charset="0"/>
                            </a:rPr>
                            <m:t>1</m:t>
                          </m:r>
                        </m:sub>
                      </m:sSub>
                    </m:oMath>
                  </m:oMathPara>
                </a14:m>
                <a:endParaRPr lang="es-MX" sz="700" b="0">
                  <a:ea typeface="Cambria Math" panose="02040503050406030204" pitchFamily="18" charset="0"/>
                </a:endParaRPr>
              </a:p>
              <a:p>
                <a:pPr algn="ctr"/>
                <a14:m>
                  <m:oMathPara xmlns:m="http://schemas.openxmlformats.org/officeDocument/2006/math">
                    <m:oMathParaPr>
                      <m:jc m:val="center"/>
                    </m:oMathParaPr>
                    <m:oMath xmlns:m="http://schemas.openxmlformats.org/officeDocument/2006/math">
                      <m:sSub>
                        <m:sSubPr>
                          <m:ctrlPr>
                            <a:rPr lang="es-MX" sz="700" b="0" i="1">
                              <a:latin typeface="Cambria Math" panose="02040503050406030204" pitchFamily="18" charset="0"/>
                              <a:ea typeface="Cambria Math" panose="02040503050406030204" pitchFamily="18" charset="0"/>
                            </a:rPr>
                          </m:ctrlPr>
                        </m:sSubPr>
                        <m:e>
                          <m:r>
                            <a:rPr lang="es-MX" sz="700" b="0" i="1">
                              <a:latin typeface="Cambria Math" panose="02040503050406030204" pitchFamily="18" charset="0"/>
                              <a:ea typeface="Cambria Math" panose="02040503050406030204" pitchFamily="18" charset="0"/>
                            </a:rPr>
                            <m:t>𝛾</m:t>
                          </m:r>
                        </m:e>
                        <m:sub>
                          <m:r>
                            <a:rPr lang="es-MX" sz="700" b="0" i="1">
                              <a:latin typeface="Cambria Math" panose="02040503050406030204" pitchFamily="18" charset="0"/>
                              <a:ea typeface="Cambria Math" panose="02040503050406030204" pitchFamily="18" charset="0"/>
                            </a:rPr>
                            <m:t>𝑠</m:t>
                          </m:r>
                          <m:r>
                            <a:rPr lang="es-MX" sz="700" b="0" i="1">
                              <a:latin typeface="Cambria Math" panose="02040503050406030204" pitchFamily="18" charset="0"/>
                              <a:ea typeface="Cambria Math" panose="02040503050406030204" pitchFamily="18" charset="0"/>
                            </a:rPr>
                            <m:t>1</m:t>
                          </m:r>
                        </m:sub>
                      </m:sSub>
                    </m:oMath>
                  </m:oMathPara>
                </a14:m>
                <a:endParaRPr lang="es-MX" sz="700" b="0">
                  <a:ea typeface="Cambria Math" panose="02040503050406030204" pitchFamily="18" charset="0"/>
                </a:endParaRPr>
              </a:p>
            </xdr:txBody>
          </xdr:sp>
        </mc:Choice>
        <mc:Fallback xmlns="">
          <xdr:sp macro="" textlink="">
            <xdr:nvSpPr>
              <xdr:cNvPr id="16" name="CuadroTexto 32">
                <a:extLst>
                  <a:ext uri="{FF2B5EF4-FFF2-40B4-BE49-F238E27FC236}">
                    <a16:creationId xmlns:a16="http://schemas.microsoft.com/office/drawing/2014/main" id="{00000000-0008-0000-0100-000010000000}"/>
                  </a:ext>
                </a:extLst>
              </xdr:cNvPr>
              <xdr:cNvSpPr txBox="1"/>
            </xdr:nvSpPr>
            <xdr:spPr>
              <a:xfrm>
                <a:off x="11691919" y="2510240"/>
                <a:ext cx="1168400" cy="1061565"/>
              </a:xfrm>
              <a:prstGeom prst="rect">
                <a:avLst/>
              </a:prstGeom>
              <a:noFill/>
              <a:ln>
                <a:solidFill>
                  <a:schemeClr val="tx1"/>
                </a:solidFill>
              </a:ln>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700" b="0" i="0">
                    <a:latin typeface="Cambria Math" panose="02040503050406030204" pitchFamily="18" charset="0"/>
                  </a:rPr>
                  <a:t>𝑆𝑢𝑒𝑙𝑜 1</a:t>
                </a:r>
                <a:br>
                  <a:rPr lang="es-MX" sz="700" b="0" i="1">
                    <a:latin typeface="Cambria Math" panose="02040503050406030204" pitchFamily="18" charset="0"/>
                  </a:rPr>
                </a:br>
                <a:r>
                  <a:rPr lang="es-MX" sz="700" b="0" i="0">
                    <a:latin typeface="Cambria Math" panose="02040503050406030204" pitchFamily="18" charset="0"/>
                    <a:ea typeface="Cambria Math" panose="02040503050406030204" pitchFamily="18" charset="0"/>
                  </a:rPr>
                  <a:t>𝜙_1</a:t>
                </a:r>
                <a:br>
                  <a:rPr lang="es-MX" sz="700" b="0" i="1">
                    <a:latin typeface="Cambria Math" panose="02040503050406030204" pitchFamily="18" charset="0"/>
                    <a:ea typeface="Cambria Math" panose="02040503050406030204" pitchFamily="18" charset="0"/>
                  </a:rPr>
                </a:br>
                <a:r>
                  <a:rPr lang="es-MX" sz="700" b="0" i="0">
                    <a:latin typeface="Cambria Math" panose="02040503050406030204" pitchFamily="18" charset="0"/>
                    <a:ea typeface="Cambria Math" panose="02040503050406030204" pitchFamily="18" charset="0"/>
                  </a:rPr>
                  <a:t>𝐶_1^′</a:t>
                </a:r>
                <a:endParaRPr lang="es-MX" sz="700" b="0">
                  <a:ea typeface="Cambria Math" panose="02040503050406030204" pitchFamily="18" charset="0"/>
                </a:endParaRPr>
              </a:p>
              <a:p>
                <a:pPr algn="ctr"/>
                <a:r>
                  <a:rPr lang="es-MX" sz="700" b="0" i="0">
                    <a:latin typeface="Cambria Math" panose="02040503050406030204" pitchFamily="18" charset="0"/>
                    <a:ea typeface="Cambria Math" panose="02040503050406030204" pitchFamily="18" charset="0"/>
                  </a:rPr>
                  <a:t>𝛾_1</a:t>
                </a:r>
                <a:endParaRPr lang="es-MX" sz="700" b="0">
                  <a:ea typeface="Cambria Math" panose="02040503050406030204" pitchFamily="18" charset="0"/>
                </a:endParaRPr>
              </a:p>
              <a:p>
                <a:pPr algn="ctr"/>
                <a:r>
                  <a:rPr lang="es-MX" sz="700" b="0" i="0">
                    <a:latin typeface="Cambria Math" panose="02040503050406030204" pitchFamily="18" charset="0"/>
                    <a:ea typeface="Cambria Math" panose="02040503050406030204" pitchFamily="18" charset="0"/>
                  </a:rPr>
                  <a:t>𝛾_𝑠1</a:t>
                </a:r>
                <a:endParaRPr lang="es-MX" sz="700" b="0">
                  <a:ea typeface="Cambria Math" panose="02040503050406030204" pitchFamily="18" charset="0"/>
                </a:endParaRPr>
              </a:p>
            </xdr:txBody>
          </xdr:sp>
        </mc:Fallback>
      </mc:AlternateContent>
      <mc:AlternateContent xmlns:mc="http://schemas.openxmlformats.org/markup-compatibility/2006" xmlns:a14="http://schemas.microsoft.com/office/drawing/2010/main">
        <mc:Choice Requires="a14">
          <xdr:sp macro="" textlink="">
            <xdr:nvSpPr>
              <xdr:cNvPr id="17" name="CuadroTexto 33">
                <a:extLst>
                  <a:ext uri="{FF2B5EF4-FFF2-40B4-BE49-F238E27FC236}">
                    <a16:creationId xmlns:a16="http://schemas.microsoft.com/office/drawing/2014/main" id="{00000000-0008-0000-0100-000011000000}"/>
                  </a:ext>
                </a:extLst>
              </xdr:cNvPr>
              <xdr:cNvSpPr txBox="1"/>
            </xdr:nvSpPr>
            <xdr:spPr>
              <a:xfrm>
                <a:off x="4188204" y="5786003"/>
                <a:ext cx="1225305" cy="1061565"/>
              </a:xfrm>
              <a:prstGeom prst="rect">
                <a:avLst/>
              </a:prstGeom>
              <a:noFill/>
              <a:ln>
                <a:solidFill>
                  <a:schemeClr val="tx1"/>
                </a:solidFill>
              </a:ln>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14:m>
                  <m:oMathPara xmlns:m="http://schemas.openxmlformats.org/officeDocument/2006/math">
                    <m:oMathParaPr>
                      <m:jc m:val="center"/>
                    </m:oMathParaPr>
                    <m:oMath xmlns:m="http://schemas.openxmlformats.org/officeDocument/2006/math">
                      <m:r>
                        <a:rPr lang="es-MX" sz="700" b="0" i="1">
                          <a:latin typeface="Cambria Math" panose="02040503050406030204" pitchFamily="18" charset="0"/>
                        </a:rPr>
                        <m:t>𝑆𝑢𝑒𝑙𝑜</m:t>
                      </m:r>
                      <m:r>
                        <a:rPr lang="es-MX" sz="700" b="0" i="1">
                          <a:latin typeface="Cambria Math" panose="02040503050406030204" pitchFamily="18" charset="0"/>
                        </a:rPr>
                        <m:t> 2</m:t>
                      </m:r>
                    </m:oMath>
                    <m:oMath xmlns:m="http://schemas.openxmlformats.org/officeDocument/2006/math">
                      <m:sSub>
                        <m:sSubPr>
                          <m:ctrlPr>
                            <a:rPr lang="es-MX" sz="700" b="0" i="1">
                              <a:latin typeface="Cambria Math" panose="02040503050406030204" pitchFamily="18" charset="0"/>
                              <a:ea typeface="Cambria Math" panose="02040503050406030204" pitchFamily="18" charset="0"/>
                            </a:rPr>
                          </m:ctrlPr>
                        </m:sSubPr>
                        <m:e>
                          <m:r>
                            <a:rPr lang="es-MX" sz="700" b="0" i="1">
                              <a:latin typeface="Cambria Math" panose="02040503050406030204" pitchFamily="18" charset="0"/>
                              <a:ea typeface="Cambria Math" panose="02040503050406030204" pitchFamily="18" charset="0"/>
                            </a:rPr>
                            <m:t>𝜙</m:t>
                          </m:r>
                        </m:e>
                        <m:sub>
                          <m:r>
                            <a:rPr lang="es-MX" sz="700" b="0" i="1">
                              <a:latin typeface="Cambria Math" panose="02040503050406030204" pitchFamily="18" charset="0"/>
                              <a:ea typeface="Cambria Math" panose="02040503050406030204" pitchFamily="18" charset="0"/>
                            </a:rPr>
                            <m:t>2</m:t>
                          </m:r>
                        </m:sub>
                      </m:sSub>
                    </m:oMath>
                    <m:oMath xmlns:m="http://schemas.openxmlformats.org/officeDocument/2006/math">
                      <m:sSubSup>
                        <m:sSubSupPr>
                          <m:ctrlPr>
                            <a:rPr lang="es-MX" sz="700" b="0" i="1">
                              <a:latin typeface="Cambria Math" panose="02040503050406030204" pitchFamily="18" charset="0"/>
                              <a:ea typeface="Cambria Math" panose="02040503050406030204" pitchFamily="18" charset="0"/>
                            </a:rPr>
                          </m:ctrlPr>
                        </m:sSubSupPr>
                        <m:e>
                          <m:r>
                            <a:rPr lang="es-MX" sz="700" b="0" i="1">
                              <a:latin typeface="Cambria Math" panose="02040503050406030204" pitchFamily="18" charset="0"/>
                              <a:ea typeface="Cambria Math" panose="02040503050406030204" pitchFamily="18" charset="0"/>
                            </a:rPr>
                            <m:t>𝐶</m:t>
                          </m:r>
                        </m:e>
                        <m:sub>
                          <m:r>
                            <a:rPr lang="es-MX" sz="700" b="0" i="1">
                              <a:latin typeface="Cambria Math" panose="02040503050406030204" pitchFamily="18" charset="0"/>
                              <a:ea typeface="Cambria Math" panose="02040503050406030204" pitchFamily="18" charset="0"/>
                            </a:rPr>
                            <m:t>2</m:t>
                          </m:r>
                        </m:sub>
                        <m:sup>
                          <m:r>
                            <a:rPr lang="es-MX" sz="700" b="0" i="1">
                              <a:latin typeface="Cambria Math" panose="02040503050406030204" pitchFamily="18" charset="0"/>
                              <a:ea typeface="Cambria Math" panose="02040503050406030204" pitchFamily="18" charset="0"/>
                            </a:rPr>
                            <m:t>′</m:t>
                          </m:r>
                        </m:sup>
                      </m:sSubSup>
                    </m:oMath>
                  </m:oMathPara>
                </a14:m>
                <a:endParaRPr lang="es-MX" sz="700" b="0">
                  <a:ea typeface="Cambria Math" panose="02040503050406030204" pitchFamily="18" charset="0"/>
                </a:endParaRPr>
              </a:p>
              <a:p>
                <a:pPr algn="ctr"/>
                <a14:m>
                  <m:oMathPara xmlns:m="http://schemas.openxmlformats.org/officeDocument/2006/math">
                    <m:oMathParaPr>
                      <m:jc m:val="center"/>
                    </m:oMathParaPr>
                    <m:oMath xmlns:m="http://schemas.openxmlformats.org/officeDocument/2006/math">
                      <m:sSub>
                        <m:sSubPr>
                          <m:ctrlPr>
                            <a:rPr lang="es-MX" sz="700" b="0" i="1">
                              <a:latin typeface="Cambria Math" panose="02040503050406030204" pitchFamily="18" charset="0"/>
                              <a:ea typeface="Cambria Math" panose="02040503050406030204" pitchFamily="18" charset="0"/>
                            </a:rPr>
                          </m:ctrlPr>
                        </m:sSubPr>
                        <m:e>
                          <m:r>
                            <a:rPr lang="es-MX" sz="700" b="0" i="1">
                              <a:latin typeface="Cambria Math" panose="02040503050406030204" pitchFamily="18" charset="0"/>
                              <a:ea typeface="Cambria Math" panose="02040503050406030204" pitchFamily="18" charset="0"/>
                            </a:rPr>
                            <m:t>𝛾</m:t>
                          </m:r>
                        </m:e>
                        <m:sub>
                          <m:r>
                            <a:rPr lang="es-MX" sz="700" b="0" i="1">
                              <a:latin typeface="Cambria Math" panose="02040503050406030204" pitchFamily="18" charset="0"/>
                              <a:ea typeface="Cambria Math" panose="02040503050406030204" pitchFamily="18" charset="0"/>
                            </a:rPr>
                            <m:t>2</m:t>
                          </m:r>
                        </m:sub>
                      </m:sSub>
                    </m:oMath>
                  </m:oMathPara>
                </a14:m>
                <a:endParaRPr lang="es-MX" sz="700" b="0">
                  <a:ea typeface="Cambria Math" panose="02040503050406030204" pitchFamily="18" charset="0"/>
                </a:endParaRPr>
              </a:p>
              <a:p>
                <a:pPr algn="ctr"/>
                <a14:m>
                  <m:oMathPara xmlns:m="http://schemas.openxmlformats.org/officeDocument/2006/math">
                    <m:oMathParaPr>
                      <m:jc m:val="center"/>
                    </m:oMathParaPr>
                    <m:oMath xmlns:m="http://schemas.openxmlformats.org/officeDocument/2006/math">
                      <m:sSub>
                        <m:sSubPr>
                          <m:ctrlPr>
                            <a:rPr lang="es-MX" sz="700" b="0" i="1">
                              <a:latin typeface="Cambria Math" panose="02040503050406030204" pitchFamily="18" charset="0"/>
                              <a:ea typeface="Cambria Math" panose="02040503050406030204" pitchFamily="18" charset="0"/>
                            </a:rPr>
                          </m:ctrlPr>
                        </m:sSubPr>
                        <m:e>
                          <m:r>
                            <a:rPr lang="es-MX" sz="700" b="0" i="1">
                              <a:latin typeface="Cambria Math" panose="02040503050406030204" pitchFamily="18" charset="0"/>
                              <a:ea typeface="Cambria Math" panose="02040503050406030204" pitchFamily="18" charset="0"/>
                            </a:rPr>
                            <m:t>𝛾</m:t>
                          </m:r>
                        </m:e>
                        <m:sub>
                          <m:r>
                            <a:rPr lang="es-MX" sz="700" b="0" i="1">
                              <a:latin typeface="Cambria Math" panose="02040503050406030204" pitchFamily="18" charset="0"/>
                              <a:ea typeface="Cambria Math" panose="02040503050406030204" pitchFamily="18" charset="0"/>
                            </a:rPr>
                            <m:t>𝑠</m:t>
                          </m:r>
                          <m:r>
                            <a:rPr lang="es-MX" sz="700" b="0" i="1">
                              <a:latin typeface="Cambria Math" panose="02040503050406030204" pitchFamily="18" charset="0"/>
                              <a:ea typeface="Cambria Math" panose="02040503050406030204" pitchFamily="18" charset="0"/>
                            </a:rPr>
                            <m:t>2</m:t>
                          </m:r>
                        </m:sub>
                      </m:sSub>
                    </m:oMath>
                  </m:oMathPara>
                </a14:m>
                <a:endParaRPr lang="es-MX" sz="700" b="0">
                  <a:ea typeface="Cambria Math" panose="02040503050406030204" pitchFamily="18" charset="0"/>
                </a:endParaRPr>
              </a:p>
            </xdr:txBody>
          </xdr:sp>
        </mc:Choice>
        <mc:Fallback xmlns="">
          <xdr:sp macro="" textlink="">
            <xdr:nvSpPr>
              <xdr:cNvPr id="17" name="CuadroTexto 33">
                <a:extLst>
                  <a:ext uri="{FF2B5EF4-FFF2-40B4-BE49-F238E27FC236}">
                    <a16:creationId xmlns:a16="http://schemas.microsoft.com/office/drawing/2014/main" id="{00000000-0008-0000-0100-000011000000}"/>
                  </a:ext>
                </a:extLst>
              </xdr:cNvPr>
              <xdr:cNvSpPr txBox="1"/>
            </xdr:nvSpPr>
            <xdr:spPr>
              <a:xfrm>
                <a:off x="4188204" y="5786003"/>
                <a:ext cx="1225305" cy="1061565"/>
              </a:xfrm>
              <a:prstGeom prst="rect">
                <a:avLst/>
              </a:prstGeom>
              <a:noFill/>
              <a:ln>
                <a:solidFill>
                  <a:schemeClr val="tx1"/>
                </a:solidFill>
              </a:ln>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700" b="0" i="0">
                    <a:latin typeface="Cambria Math" panose="02040503050406030204" pitchFamily="18" charset="0"/>
                  </a:rPr>
                  <a:t>𝑆𝑢𝑒𝑙𝑜 2</a:t>
                </a:r>
                <a:br>
                  <a:rPr lang="es-MX" sz="700" b="0" i="1">
                    <a:latin typeface="Cambria Math" panose="02040503050406030204" pitchFamily="18" charset="0"/>
                  </a:rPr>
                </a:br>
                <a:r>
                  <a:rPr lang="es-MX" sz="700" b="0" i="0">
                    <a:latin typeface="Cambria Math" panose="02040503050406030204" pitchFamily="18" charset="0"/>
                    <a:ea typeface="Cambria Math" panose="02040503050406030204" pitchFamily="18" charset="0"/>
                  </a:rPr>
                  <a:t>𝜙_2</a:t>
                </a:r>
                <a:br>
                  <a:rPr lang="es-MX" sz="700" b="0" i="1">
                    <a:latin typeface="Cambria Math" panose="02040503050406030204" pitchFamily="18" charset="0"/>
                    <a:ea typeface="Cambria Math" panose="02040503050406030204" pitchFamily="18" charset="0"/>
                  </a:rPr>
                </a:br>
                <a:r>
                  <a:rPr lang="es-MX" sz="700" b="0" i="0">
                    <a:latin typeface="Cambria Math" panose="02040503050406030204" pitchFamily="18" charset="0"/>
                    <a:ea typeface="Cambria Math" panose="02040503050406030204" pitchFamily="18" charset="0"/>
                  </a:rPr>
                  <a:t>𝐶_2^′</a:t>
                </a:r>
                <a:endParaRPr lang="es-MX" sz="700" b="0">
                  <a:ea typeface="Cambria Math" panose="02040503050406030204" pitchFamily="18" charset="0"/>
                </a:endParaRPr>
              </a:p>
              <a:p>
                <a:pPr algn="ctr"/>
                <a:r>
                  <a:rPr lang="es-MX" sz="700" b="0" i="0">
                    <a:latin typeface="Cambria Math" panose="02040503050406030204" pitchFamily="18" charset="0"/>
                    <a:ea typeface="Cambria Math" panose="02040503050406030204" pitchFamily="18" charset="0"/>
                  </a:rPr>
                  <a:t>𝛾_2</a:t>
                </a:r>
                <a:endParaRPr lang="es-MX" sz="700" b="0">
                  <a:ea typeface="Cambria Math" panose="02040503050406030204" pitchFamily="18" charset="0"/>
                </a:endParaRPr>
              </a:p>
              <a:p>
                <a:pPr algn="ctr"/>
                <a:r>
                  <a:rPr lang="es-MX" sz="700" b="0" i="0">
                    <a:latin typeface="Cambria Math" panose="02040503050406030204" pitchFamily="18" charset="0"/>
                    <a:ea typeface="Cambria Math" panose="02040503050406030204" pitchFamily="18" charset="0"/>
                  </a:rPr>
                  <a:t>𝛾_𝑠2</a:t>
                </a:r>
                <a:endParaRPr lang="es-MX" sz="700" b="0">
                  <a:ea typeface="Cambria Math" panose="02040503050406030204" pitchFamily="18" charset="0"/>
                </a:endParaRPr>
              </a:p>
            </xdr:txBody>
          </xdr:sp>
        </mc:Fallback>
      </mc:AlternateContent>
      <xdr:grpSp>
        <xdr:nvGrpSpPr>
          <xdr:cNvPr id="18" name="Grupo 17">
            <a:extLst>
              <a:ext uri="{FF2B5EF4-FFF2-40B4-BE49-F238E27FC236}">
                <a16:creationId xmlns:a16="http://schemas.microsoft.com/office/drawing/2014/main" id="{00000000-0008-0000-0100-000012000000}"/>
              </a:ext>
            </a:extLst>
          </xdr:cNvPr>
          <xdr:cNvGrpSpPr/>
        </xdr:nvGrpSpPr>
        <xdr:grpSpPr>
          <a:xfrm>
            <a:off x="9170355" y="1983695"/>
            <a:ext cx="330198" cy="4423745"/>
            <a:chOff x="3090081" y="1231900"/>
            <a:chExt cx="330198" cy="1158964"/>
          </a:xfrm>
        </xdr:grpSpPr>
        <xdr:cxnSp macro="">
          <xdr:nvCxnSpPr>
            <xdr:cNvPr id="34" name="Conector recto de flecha 33">
              <a:extLst>
                <a:ext uri="{FF2B5EF4-FFF2-40B4-BE49-F238E27FC236}">
                  <a16:creationId xmlns:a16="http://schemas.microsoft.com/office/drawing/2014/main" id="{00000000-0008-0000-0100-000022000000}"/>
                </a:ext>
              </a:extLst>
            </xdr:cNvPr>
            <xdr:cNvCxnSpPr/>
          </xdr:nvCxnSpPr>
          <xdr:spPr>
            <a:xfrm>
              <a:off x="3124200" y="1231900"/>
              <a:ext cx="0" cy="1158964"/>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5" name="CuadroTexto 38">
              <a:extLst>
                <a:ext uri="{FF2B5EF4-FFF2-40B4-BE49-F238E27FC236}">
                  <a16:creationId xmlns:a16="http://schemas.microsoft.com/office/drawing/2014/main" id="{00000000-0008-0000-0100-000023000000}"/>
                </a:ext>
              </a:extLst>
            </xdr:cNvPr>
            <xdr:cNvSpPr txBox="1"/>
          </xdr:nvSpPr>
          <xdr:spPr>
            <a:xfrm>
              <a:off x="3090081" y="1725879"/>
              <a:ext cx="330198" cy="116510"/>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1050">
                  <a:solidFill>
                    <a:schemeClr val="bg2">
                      <a:lumMod val="10000"/>
                    </a:schemeClr>
                  </a:solidFill>
                </a:rPr>
                <a:t>H</a:t>
              </a:r>
              <a:endParaRPr lang="es-CO" sz="1050">
                <a:solidFill>
                  <a:schemeClr val="bg2">
                    <a:lumMod val="10000"/>
                  </a:schemeClr>
                </a:solidFill>
              </a:endParaRPr>
            </a:p>
          </xdr:txBody>
        </xdr:sp>
      </xdr:grpSp>
      <xdr:grpSp>
        <xdr:nvGrpSpPr>
          <xdr:cNvPr id="19" name="Grupo 18">
            <a:extLst>
              <a:ext uri="{FF2B5EF4-FFF2-40B4-BE49-F238E27FC236}">
                <a16:creationId xmlns:a16="http://schemas.microsoft.com/office/drawing/2014/main" id="{00000000-0008-0000-0100-000013000000}"/>
              </a:ext>
            </a:extLst>
          </xdr:cNvPr>
          <xdr:cNvGrpSpPr/>
        </xdr:nvGrpSpPr>
        <xdr:grpSpPr>
          <a:xfrm>
            <a:off x="6936972" y="5628309"/>
            <a:ext cx="330198" cy="830580"/>
            <a:chOff x="3067292" y="1231900"/>
            <a:chExt cx="330198" cy="1158964"/>
          </a:xfrm>
        </xdr:grpSpPr>
        <xdr:cxnSp macro="">
          <xdr:nvCxnSpPr>
            <xdr:cNvPr id="32" name="Conector recto de flecha 31">
              <a:extLst>
                <a:ext uri="{FF2B5EF4-FFF2-40B4-BE49-F238E27FC236}">
                  <a16:creationId xmlns:a16="http://schemas.microsoft.com/office/drawing/2014/main" id="{00000000-0008-0000-0100-000020000000}"/>
                </a:ext>
              </a:extLst>
            </xdr:cNvPr>
            <xdr:cNvCxnSpPr/>
          </xdr:nvCxnSpPr>
          <xdr:spPr>
            <a:xfrm>
              <a:off x="3124200" y="1231900"/>
              <a:ext cx="0" cy="1158964"/>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3" name="CuadroTexto 42">
              <a:extLst>
                <a:ext uri="{FF2B5EF4-FFF2-40B4-BE49-F238E27FC236}">
                  <a16:creationId xmlns:a16="http://schemas.microsoft.com/office/drawing/2014/main" id="{00000000-0008-0000-0100-000021000000}"/>
                </a:ext>
              </a:extLst>
            </xdr:cNvPr>
            <xdr:cNvSpPr txBox="1"/>
          </xdr:nvSpPr>
          <xdr:spPr>
            <a:xfrm>
              <a:off x="3067292" y="1553398"/>
              <a:ext cx="330198" cy="620544"/>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1050">
                  <a:solidFill>
                    <a:schemeClr val="bg2">
                      <a:lumMod val="10000"/>
                    </a:schemeClr>
                  </a:solidFill>
                </a:rPr>
                <a:t>D</a:t>
              </a:r>
              <a:endParaRPr lang="es-CO" sz="1050">
                <a:solidFill>
                  <a:schemeClr val="bg2">
                    <a:lumMod val="10000"/>
                  </a:schemeClr>
                </a:solidFill>
              </a:endParaRPr>
            </a:p>
          </xdr:txBody>
        </xdr:sp>
      </xdr:grpSp>
      <xdr:cxnSp macro="">
        <xdr:nvCxnSpPr>
          <xdr:cNvPr id="20" name="Conector recto 19">
            <a:extLst>
              <a:ext uri="{FF2B5EF4-FFF2-40B4-BE49-F238E27FC236}">
                <a16:creationId xmlns:a16="http://schemas.microsoft.com/office/drawing/2014/main" id="{00000000-0008-0000-0100-000014000000}"/>
              </a:ext>
            </a:extLst>
          </xdr:cNvPr>
          <xdr:cNvCxnSpPr>
            <a:cxnSpLocks/>
          </xdr:cNvCxnSpPr>
        </xdr:nvCxnSpPr>
        <xdr:spPr>
          <a:xfrm>
            <a:off x="8855244" y="2023268"/>
            <a:ext cx="4457700" cy="19957"/>
          </a:xfrm>
          <a:prstGeom prst="line">
            <a:avLst/>
          </a:prstGeom>
          <a:ln w="19050">
            <a:solidFill>
              <a:schemeClr val="accent6">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1" name="Conector recto 20">
            <a:extLst>
              <a:ext uri="{FF2B5EF4-FFF2-40B4-BE49-F238E27FC236}">
                <a16:creationId xmlns:a16="http://schemas.microsoft.com/office/drawing/2014/main" id="{00000000-0008-0000-0100-000015000000}"/>
              </a:ext>
            </a:extLst>
          </xdr:cNvPr>
          <xdr:cNvCxnSpPr>
            <a:cxnSpLocks/>
          </xdr:cNvCxnSpPr>
        </xdr:nvCxnSpPr>
        <xdr:spPr>
          <a:xfrm>
            <a:off x="8825865" y="1996069"/>
            <a:ext cx="285731" cy="1452888"/>
          </a:xfrm>
          <a:prstGeom prst="line">
            <a:avLst/>
          </a:prstGeom>
          <a:ln w="19050">
            <a:solidFill>
              <a:schemeClr val="accent6">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2" name="Conector recto 21">
            <a:extLst>
              <a:ext uri="{FF2B5EF4-FFF2-40B4-BE49-F238E27FC236}">
                <a16:creationId xmlns:a16="http://schemas.microsoft.com/office/drawing/2014/main" id="{00000000-0008-0000-0100-000016000000}"/>
              </a:ext>
            </a:extLst>
          </xdr:cNvPr>
          <xdr:cNvCxnSpPr>
            <a:cxnSpLocks/>
            <a:stCxn id="3" idx="2"/>
            <a:endCxn id="5" idx="2"/>
          </xdr:cNvCxnSpPr>
        </xdr:nvCxnSpPr>
        <xdr:spPr>
          <a:xfrm flipH="1">
            <a:off x="8130541" y="5976258"/>
            <a:ext cx="711199" cy="20318"/>
          </a:xfrm>
          <a:prstGeom prst="line">
            <a:avLst/>
          </a:prstGeom>
          <a:ln w="19050">
            <a:solidFill>
              <a:schemeClr val="accent6">
                <a:lumMod val="7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23" name="Arco 22">
            <a:extLst>
              <a:ext uri="{FF2B5EF4-FFF2-40B4-BE49-F238E27FC236}">
                <a16:creationId xmlns:a16="http://schemas.microsoft.com/office/drawing/2014/main" id="{00000000-0008-0000-0100-000017000000}"/>
              </a:ext>
            </a:extLst>
          </xdr:cNvPr>
          <xdr:cNvSpPr/>
        </xdr:nvSpPr>
        <xdr:spPr>
          <a:xfrm rot="2061120">
            <a:off x="9231472" y="1305253"/>
            <a:ext cx="914400" cy="914400"/>
          </a:xfrm>
          <a:prstGeom prst="arc">
            <a:avLst>
              <a:gd name="adj1" fmla="val 18528505"/>
              <a:gd name="adj2" fmla="val 15696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1050"/>
          </a:p>
        </xdr:txBody>
      </xdr:sp>
      <xdr:sp macro="" textlink="">
        <xdr:nvSpPr>
          <xdr:cNvPr id="24" name="Arco 23">
            <a:extLst>
              <a:ext uri="{FF2B5EF4-FFF2-40B4-BE49-F238E27FC236}">
                <a16:creationId xmlns:a16="http://schemas.microsoft.com/office/drawing/2014/main" id="{00000000-0008-0000-0100-000018000000}"/>
              </a:ext>
            </a:extLst>
          </xdr:cNvPr>
          <xdr:cNvSpPr/>
        </xdr:nvSpPr>
        <xdr:spPr>
          <a:xfrm rot="5400000">
            <a:off x="8381581" y="1761951"/>
            <a:ext cx="914400" cy="914400"/>
          </a:xfrm>
          <a:prstGeom prst="arc">
            <a:avLst>
              <a:gd name="adj1" fmla="val 20579827"/>
              <a:gd name="adj2" fmla="val 156960"/>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1050"/>
          </a:p>
        </xdr:txBody>
      </xdr:sp>
      <xdr:sp macro="" textlink="">
        <xdr:nvSpPr>
          <xdr:cNvPr id="25" name="Arco 24">
            <a:extLst>
              <a:ext uri="{FF2B5EF4-FFF2-40B4-BE49-F238E27FC236}">
                <a16:creationId xmlns:a16="http://schemas.microsoft.com/office/drawing/2014/main" id="{00000000-0008-0000-0100-000019000000}"/>
              </a:ext>
            </a:extLst>
          </xdr:cNvPr>
          <xdr:cNvSpPr/>
        </xdr:nvSpPr>
        <xdr:spPr>
          <a:xfrm rot="6401137">
            <a:off x="8039836" y="1906523"/>
            <a:ext cx="914400" cy="914400"/>
          </a:xfrm>
          <a:prstGeom prst="arc">
            <a:avLst>
              <a:gd name="adj1" fmla="val 20579827"/>
              <a:gd name="adj2" fmla="val 21272303"/>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1050"/>
          </a:p>
        </xdr:txBody>
      </xdr:sp>
      <xdr:cxnSp macro="">
        <xdr:nvCxnSpPr>
          <xdr:cNvPr id="27" name="Conector: curvado 26">
            <a:extLst>
              <a:ext uri="{FF2B5EF4-FFF2-40B4-BE49-F238E27FC236}">
                <a16:creationId xmlns:a16="http://schemas.microsoft.com/office/drawing/2014/main" id="{00000000-0008-0000-0100-00001B000000}"/>
              </a:ext>
            </a:extLst>
          </xdr:cNvPr>
          <xdr:cNvCxnSpPr>
            <a:cxnSpLocks/>
          </xdr:cNvCxnSpPr>
        </xdr:nvCxnSpPr>
        <xdr:spPr>
          <a:xfrm rot="10800000">
            <a:off x="7912446" y="2069238"/>
            <a:ext cx="995950" cy="591568"/>
          </a:xfrm>
          <a:prstGeom prst="curved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a14="http://schemas.microsoft.com/office/drawing/2010/main">
        <mc:Choice Requires="a14">
          <xdr:sp macro="" textlink="">
            <xdr:nvSpPr>
              <xdr:cNvPr id="28" name="CuadroTexto 79">
                <a:extLst>
                  <a:ext uri="{FF2B5EF4-FFF2-40B4-BE49-F238E27FC236}">
                    <a16:creationId xmlns:a16="http://schemas.microsoft.com/office/drawing/2014/main" id="{00000000-0008-0000-0100-00001C000000}"/>
                  </a:ext>
                </a:extLst>
              </xdr:cNvPr>
              <xdr:cNvSpPr txBox="1"/>
            </xdr:nvSpPr>
            <xdr:spPr>
              <a:xfrm>
                <a:off x="7533880" y="1846669"/>
                <a:ext cx="480697" cy="444717"/>
              </a:xfrm>
              <a:prstGeom prst="rect">
                <a:avLst/>
              </a:prstGeom>
              <a:noFill/>
              <a:ln>
                <a:noFill/>
              </a:ln>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MX" sz="1050" b="0" i="1">
                              <a:solidFill>
                                <a:sysClr val="windowText" lastClr="000000"/>
                              </a:solidFill>
                              <a:latin typeface="Cambria Math" panose="02040503050406030204" pitchFamily="18" charset="0"/>
                              <a:ea typeface="Cambria Math" panose="02040503050406030204" pitchFamily="18" charset="0"/>
                            </a:rPr>
                          </m:ctrlPr>
                        </m:sSubPr>
                        <m:e>
                          <m:r>
                            <a:rPr lang="es-CO" sz="1050" i="1">
                              <a:solidFill>
                                <a:sysClr val="windowText" lastClr="000000"/>
                              </a:solidFill>
                              <a:latin typeface="Cambria Math" panose="02040503050406030204" pitchFamily="18" charset="0"/>
                              <a:ea typeface="Cambria Math" panose="02040503050406030204" pitchFamily="18" charset="0"/>
                            </a:rPr>
                            <m:t>𝜃</m:t>
                          </m:r>
                        </m:e>
                        <m:sub>
                          <m:r>
                            <a:rPr lang="es-MX" sz="1050" b="0" i="1">
                              <a:solidFill>
                                <a:sysClr val="windowText" lastClr="000000"/>
                              </a:solidFill>
                              <a:latin typeface="Cambria Math" panose="02040503050406030204" pitchFamily="18" charset="0"/>
                              <a:ea typeface="Cambria Math" panose="02040503050406030204" pitchFamily="18" charset="0"/>
                            </a:rPr>
                            <m:t>1</m:t>
                          </m:r>
                        </m:sub>
                      </m:sSub>
                    </m:oMath>
                  </m:oMathPara>
                </a14:m>
                <a:endParaRPr lang="es-CO" sz="1050">
                  <a:solidFill>
                    <a:sysClr val="windowText" lastClr="000000"/>
                  </a:solidFill>
                </a:endParaRPr>
              </a:p>
            </xdr:txBody>
          </xdr:sp>
        </mc:Choice>
        <mc:Fallback xmlns="">
          <xdr:sp macro="" textlink="">
            <xdr:nvSpPr>
              <xdr:cNvPr id="28" name="CuadroTexto 79">
                <a:extLst>
                  <a:ext uri="{FF2B5EF4-FFF2-40B4-BE49-F238E27FC236}">
                    <a16:creationId xmlns:a16="http://schemas.microsoft.com/office/drawing/2014/main" id="{00000000-0008-0000-0100-00001C000000}"/>
                  </a:ext>
                </a:extLst>
              </xdr:cNvPr>
              <xdr:cNvSpPr txBox="1"/>
            </xdr:nvSpPr>
            <xdr:spPr>
              <a:xfrm>
                <a:off x="7533880" y="1846669"/>
                <a:ext cx="480697" cy="444717"/>
              </a:xfrm>
              <a:prstGeom prst="rect">
                <a:avLst/>
              </a:prstGeom>
              <a:noFill/>
              <a:ln>
                <a:noFill/>
              </a:ln>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1050" i="0">
                    <a:solidFill>
                      <a:sysClr val="windowText" lastClr="000000"/>
                    </a:solidFill>
                    <a:latin typeface="Cambria Math" panose="02040503050406030204" pitchFamily="18" charset="0"/>
                    <a:ea typeface="Cambria Math" panose="02040503050406030204" pitchFamily="18" charset="0"/>
                  </a:rPr>
                  <a:t>𝜃</a:t>
                </a:r>
                <a:r>
                  <a:rPr lang="es-MX" sz="1050" b="0" i="0">
                    <a:solidFill>
                      <a:sysClr val="windowText" lastClr="000000"/>
                    </a:solidFill>
                    <a:latin typeface="Cambria Math" panose="02040503050406030204" pitchFamily="18" charset="0"/>
                    <a:ea typeface="Cambria Math" panose="02040503050406030204" pitchFamily="18" charset="0"/>
                  </a:rPr>
                  <a:t>_1</a:t>
                </a:r>
                <a:endParaRPr lang="es-CO" sz="1050">
                  <a:solidFill>
                    <a:sysClr val="windowText" lastClr="000000"/>
                  </a:solidFill>
                </a:endParaRPr>
              </a:p>
            </xdr:txBody>
          </xdr:sp>
        </mc:Fallback>
      </mc:AlternateContent>
      <mc:AlternateContent xmlns:mc="http://schemas.openxmlformats.org/markup-compatibility/2006" xmlns:a14="http://schemas.microsoft.com/office/drawing/2010/main">
        <mc:Choice Requires="a14">
          <xdr:sp macro="" textlink="">
            <xdr:nvSpPr>
              <xdr:cNvPr id="29" name="CuadroTexto 80">
                <a:extLst>
                  <a:ext uri="{FF2B5EF4-FFF2-40B4-BE49-F238E27FC236}">
                    <a16:creationId xmlns:a16="http://schemas.microsoft.com/office/drawing/2014/main" id="{00000000-0008-0000-0100-00001D000000}"/>
                  </a:ext>
                </a:extLst>
              </xdr:cNvPr>
              <xdr:cNvSpPr txBox="1"/>
            </xdr:nvSpPr>
            <xdr:spPr>
              <a:xfrm>
                <a:off x="8081233" y="5606850"/>
                <a:ext cx="480697" cy="44471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MX" sz="1050" b="0" i="1">
                              <a:solidFill>
                                <a:sysClr val="windowText" lastClr="000000"/>
                              </a:solidFill>
                              <a:latin typeface="Cambria Math" panose="02040503050406030204" pitchFamily="18" charset="0"/>
                              <a:ea typeface="Cambria Math" panose="02040503050406030204" pitchFamily="18" charset="0"/>
                            </a:rPr>
                          </m:ctrlPr>
                        </m:sSubPr>
                        <m:e>
                          <m:r>
                            <a:rPr lang="es-CO" sz="1050" i="1">
                              <a:solidFill>
                                <a:sysClr val="windowText" lastClr="000000"/>
                              </a:solidFill>
                              <a:latin typeface="Cambria Math" panose="02040503050406030204" pitchFamily="18" charset="0"/>
                              <a:ea typeface="Cambria Math" panose="02040503050406030204" pitchFamily="18" charset="0"/>
                            </a:rPr>
                            <m:t>𝜃</m:t>
                          </m:r>
                        </m:e>
                        <m:sub>
                          <m:r>
                            <a:rPr lang="es-MX" sz="1050" b="0" i="1">
                              <a:solidFill>
                                <a:sysClr val="windowText" lastClr="000000"/>
                              </a:solidFill>
                              <a:latin typeface="Cambria Math" panose="02040503050406030204" pitchFamily="18" charset="0"/>
                              <a:ea typeface="Cambria Math" panose="02040503050406030204" pitchFamily="18" charset="0"/>
                            </a:rPr>
                            <m:t>2</m:t>
                          </m:r>
                        </m:sub>
                      </m:sSub>
                    </m:oMath>
                  </m:oMathPara>
                </a14:m>
                <a:endParaRPr lang="es-CO" sz="1050">
                  <a:solidFill>
                    <a:sysClr val="windowText" lastClr="000000"/>
                  </a:solidFill>
                </a:endParaRPr>
              </a:p>
            </xdr:txBody>
          </xdr:sp>
        </mc:Choice>
        <mc:Fallback xmlns="">
          <xdr:sp macro="" textlink="">
            <xdr:nvSpPr>
              <xdr:cNvPr id="29" name="CuadroTexto 80">
                <a:extLst>
                  <a:ext uri="{FF2B5EF4-FFF2-40B4-BE49-F238E27FC236}">
                    <a16:creationId xmlns:a16="http://schemas.microsoft.com/office/drawing/2014/main" id="{00000000-0008-0000-0100-00001D000000}"/>
                  </a:ext>
                </a:extLst>
              </xdr:cNvPr>
              <xdr:cNvSpPr txBox="1"/>
            </xdr:nvSpPr>
            <xdr:spPr>
              <a:xfrm>
                <a:off x="8081233" y="5606850"/>
                <a:ext cx="480697" cy="44471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1050" i="0">
                    <a:solidFill>
                      <a:sysClr val="windowText" lastClr="000000"/>
                    </a:solidFill>
                    <a:latin typeface="Cambria Math" panose="02040503050406030204" pitchFamily="18" charset="0"/>
                    <a:ea typeface="Cambria Math" panose="02040503050406030204" pitchFamily="18" charset="0"/>
                  </a:rPr>
                  <a:t>𝜃</a:t>
                </a:r>
                <a:r>
                  <a:rPr lang="es-MX" sz="1050" b="0" i="0">
                    <a:solidFill>
                      <a:sysClr val="windowText" lastClr="000000"/>
                    </a:solidFill>
                    <a:latin typeface="Cambria Math" panose="02040503050406030204" pitchFamily="18" charset="0"/>
                    <a:ea typeface="Cambria Math" panose="02040503050406030204" pitchFamily="18" charset="0"/>
                  </a:rPr>
                  <a:t>_2</a:t>
                </a:r>
                <a:endParaRPr lang="es-CO" sz="1050">
                  <a:solidFill>
                    <a:sysClr val="windowText" lastClr="000000"/>
                  </a:solidFill>
                </a:endParaRPr>
              </a:p>
            </xdr:txBody>
          </xdr:sp>
        </mc:Fallback>
      </mc:AlternateContent>
      <mc:AlternateContent xmlns:mc="http://schemas.openxmlformats.org/markup-compatibility/2006" xmlns:a14="http://schemas.microsoft.com/office/drawing/2010/main">
        <mc:Choice Requires="a14">
          <xdr:sp macro="" textlink="">
            <xdr:nvSpPr>
              <xdr:cNvPr id="30" name="CuadroTexto 81">
                <a:extLst>
                  <a:ext uri="{FF2B5EF4-FFF2-40B4-BE49-F238E27FC236}">
                    <a16:creationId xmlns:a16="http://schemas.microsoft.com/office/drawing/2014/main" id="{00000000-0008-0000-0100-00001E000000}"/>
                  </a:ext>
                </a:extLst>
              </xdr:cNvPr>
              <xdr:cNvSpPr txBox="1"/>
            </xdr:nvSpPr>
            <xdr:spPr>
              <a:xfrm>
                <a:off x="10128758" y="1575568"/>
                <a:ext cx="480697" cy="707924"/>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sty m:val="p"/>
                        </m:rPr>
                        <a:rPr lang="es-ES" sz="1050" b="0" i="1">
                          <a:solidFill>
                            <a:sysClr val="windowText" lastClr="000000"/>
                          </a:solidFill>
                          <a:latin typeface="Cambria Math" panose="02040503050406030204" pitchFamily="18" charset="0"/>
                        </a:rPr>
                        <m:t>β</m:t>
                      </m:r>
                    </m:oMath>
                  </m:oMathPara>
                </a14:m>
                <a:endParaRPr lang="es-ES" sz="1050" b="0">
                  <a:solidFill>
                    <a:sysClr val="windowText" lastClr="000000"/>
                  </a:solidFill>
                </a:endParaRPr>
              </a:p>
              <a:p>
                <a:endParaRPr lang="es-CO" sz="1050">
                  <a:solidFill>
                    <a:sysClr val="windowText" lastClr="000000"/>
                  </a:solidFill>
                </a:endParaRPr>
              </a:p>
            </xdr:txBody>
          </xdr:sp>
        </mc:Choice>
        <mc:Fallback xmlns="">
          <xdr:sp macro="" textlink="">
            <xdr:nvSpPr>
              <xdr:cNvPr id="30" name="CuadroTexto 81">
                <a:extLst>
                  <a:ext uri="{FF2B5EF4-FFF2-40B4-BE49-F238E27FC236}">
                    <a16:creationId xmlns:a16="http://schemas.microsoft.com/office/drawing/2014/main" id="{00000000-0008-0000-0100-00001E000000}"/>
                  </a:ext>
                </a:extLst>
              </xdr:cNvPr>
              <xdr:cNvSpPr txBox="1"/>
            </xdr:nvSpPr>
            <xdr:spPr>
              <a:xfrm>
                <a:off x="10128758" y="1575568"/>
                <a:ext cx="480697" cy="707924"/>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ES" sz="1050" b="0" i="0">
                    <a:solidFill>
                      <a:sysClr val="windowText" lastClr="000000"/>
                    </a:solidFill>
                    <a:latin typeface="Cambria Math" panose="02040503050406030204" pitchFamily="18" charset="0"/>
                  </a:rPr>
                  <a:t>β</a:t>
                </a:r>
                <a:endParaRPr lang="es-ES" sz="1050" b="0">
                  <a:solidFill>
                    <a:sysClr val="windowText" lastClr="000000"/>
                  </a:solidFill>
                </a:endParaRPr>
              </a:p>
              <a:p>
                <a:pPr/>
                <a:endParaRPr lang="es-CO" sz="1050">
                  <a:solidFill>
                    <a:sysClr val="windowText" lastClr="000000"/>
                  </a:solidFill>
                </a:endParaRPr>
              </a:p>
            </xdr:txBody>
          </xdr:sp>
        </mc:Fallback>
      </mc:AlternateContent>
      <mc:AlternateContent xmlns:mc="http://schemas.openxmlformats.org/markup-compatibility/2006" xmlns:a14="http://schemas.microsoft.com/office/drawing/2010/main">
        <mc:Choice Requires="a14">
          <xdr:sp macro="" textlink="">
            <xdr:nvSpPr>
              <xdr:cNvPr id="31" name="CuadroTexto 16">
                <a:extLst>
                  <a:ext uri="{FF2B5EF4-FFF2-40B4-BE49-F238E27FC236}">
                    <a16:creationId xmlns:a16="http://schemas.microsoft.com/office/drawing/2014/main" id="{00000000-0008-0000-0100-00001F000000}"/>
                  </a:ext>
                </a:extLst>
              </xdr:cNvPr>
              <xdr:cNvSpPr txBox="1"/>
            </xdr:nvSpPr>
            <xdr:spPr>
              <a:xfrm>
                <a:off x="8318591" y="5416672"/>
                <a:ext cx="335092" cy="315807"/>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𝑐</m:t>
                          </m:r>
                        </m:sub>
                      </m:sSub>
                    </m:oMath>
                  </m:oMathPara>
                </a14:m>
                <a:endParaRPr lang="es-CO" sz="600"/>
              </a:p>
            </xdr:txBody>
          </xdr:sp>
        </mc:Choice>
        <mc:Fallback xmlns="">
          <xdr:sp macro="" textlink="">
            <xdr:nvSpPr>
              <xdr:cNvPr id="31" name="CuadroTexto 16">
                <a:extLst>
                  <a:ext uri="{FF2B5EF4-FFF2-40B4-BE49-F238E27FC236}">
                    <a16:creationId xmlns:a16="http://schemas.microsoft.com/office/drawing/2014/main" id="{00000000-0008-0000-0100-00001F000000}"/>
                  </a:ext>
                </a:extLst>
              </xdr:cNvPr>
              <xdr:cNvSpPr txBox="1"/>
            </xdr:nvSpPr>
            <xdr:spPr>
              <a:xfrm>
                <a:off x="8318591" y="5416672"/>
                <a:ext cx="335092" cy="315807"/>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200" b="0" i="0">
                    <a:latin typeface="Cambria Math" panose="02040503050406030204" pitchFamily="18" charset="0"/>
                    <a:ea typeface="Cambria Math" panose="02040503050406030204" pitchFamily="18" charset="0"/>
                  </a:rPr>
                  <a:t>𝛾_𝑐</a:t>
                </a:r>
                <a:endParaRPr lang="es-CO" sz="600"/>
              </a:p>
            </xdr:txBody>
          </xdr:sp>
        </mc:Fallback>
      </mc:AlternateContent>
    </xdr:grpSp>
    <xdr:clientData/>
  </xdr:twoCellAnchor>
  <xdr:twoCellAnchor>
    <xdr:from>
      <xdr:col>0</xdr:col>
      <xdr:colOff>459441</xdr:colOff>
      <xdr:row>1</xdr:row>
      <xdr:rowOff>44824</xdr:rowOff>
    </xdr:from>
    <xdr:to>
      <xdr:col>1</xdr:col>
      <xdr:colOff>621366</xdr:colOff>
      <xdr:row>2</xdr:row>
      <xdr:rowOff>111499</xdr:rowOff>
    </xdr:to>
    <xdr:sp macro="" textlink="">
      <xdr:nvSpPr>
        <xdr:cNvPr id="37" name="Rectángulo: esquinas redondeadas 36">
          <a:hlinkClick xmlns:r="http://schemas.openxmlformats.org/officeDocument/2006/relationships" r:id="rId2"/>
          <a:extLst>
            <a:ext uri="{FF2B5EF4-FFF2-40B4-BE49-F238E27FC236}">
              <a16:creationId xmlns:a16="http://schemas.microsoft.com/office/drawing/2014/main" id="{00000000-0008-0000-0100-000025000000}"/>
            </a:ext>
          </a:extLst>
        </xdr:cNvPr>
        <xdr:cNvSpPr/>
      </xdr:nvSpPr>
      <xdr:spPr>
        <a:xfrm>
          <a:off x="459441" y="246530"/>
          <a:ext cx="923925"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twoCellAnchor>
    <xdr:from>
      <xdr:col>8</xdr:col>
      <xdr:colOff>380999</xdr:colOff>
      <xdr:row>22</xdr:row>
      <xdr:rowOff>101204</xdr:rowOff>
    </xdr:from>
    <xdr:to>
      <xdr:col>8</xdr:col>
      <xdr:colOff>535781</xdr:colOff>
      <xdr:row>23</xdr:row>
      <xdr:rowOff>65486</xdr:rowOff>
    </xdr:to>
    <xdr:sp macro="" textlink="">
      <xdr:nvSpPr>
        <xdr:cNvPr id="38" name="Elipse 37">
          <a:extLst>
            <a:ext uri="{FF2B5EF4-FFF2-40B4-BE49-F238E27FC236}">
              <a16:creationId xmlns:a16="http://schemas.microsoft.com/office/drawing/2014/main" id="{00000000-0008-0000-0100-000026000000}"/>
            </a:ext>
          </a:extLst>
        </xdr:cNvPr>
        <xdr:cNvSpPr/>
      </xdr:nvSpPr>
      <xdr:spPr>
        <a:xfrm>
          <a:off x="6476999" y="4327923"/>
          <a:ext cx="154782" cy="154782"/>
        </a:xfrm>
        <a:prstGeom prst="ellipse">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595312</xdr:colOff>
      <xdr:row>23</xdr:row>
      <xdr:rowOff>42819</xdr:rowOff>
    </xdr:from>
    <xdr:to>
      <xdr:col>8</xdr:col>
      <xdr:colOff>403666</xdr:colOff>
      <xdr:row>26</xdr:row>
      <xdr:rowOff>166687</xdr:rowOff>
    </xdr:to>
    <xdr:cxnSp macro="">
      <xdr:nvCxnSpPr>
        <xdr:cNvPr id="40" name="Conector: curvado 39">
          <a:extLst>
            <a:ext uri="{FF2B5EF4-FFF2-40B4-BE49-F238E27FC236}">
              <a16:creationId xmlns:a16="http://schemas.microsoft.com/office/drawing/2014/main" id="{00000000-0008-0000-0100-000028000000}"/>
            </a:ext>
          </a:extLst>
        </xdr:cNvPr>
        <xdr:cNvCxnSpPr>
          <a:stCxn id="38" idx="3"/>
        </xdr:cNvCxnSpPr>
      </xdr:nvCxnSpPr>
      <xdr:spPr>
        <a:xfrm rot="5400000">
          <a:off x="5860852" y="4528498"/>
          <a:ext cx="707274" cy="570354"/>
        </a:xfrm>
        <a:prstGeom prst="curvedConnector3">
          <a:avLst>
            <a:gd name="adj1" fmla="val 50000"/>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357187</xdr:colOff>
      <xdr:row>26</xdr:row>
      <xdr:rowOff>190498</xdr:rowOff>
    </xdr:from>
    <xdr:to>
      <xdr:col>9</xdr:col>
      <xdr:colOff>184547</xdr:colOff>
      <xdr:row>30</xdr:row>
      <xdr:rowOff>47623</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4929187" y="5191123"/>
          <a:ext cx="2113360" cy="619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Momentos medidos</a:t>
          </a:r>
          <a:r>
            <a:rPr lang="es-CO" sz="1100" baseline="0"/>
            <a:t> a partir de este punto de referencia denominado </a:t>
          </a:r>
          <a:r>
            <a:rPr lang="es-CO" sz="1100" b="1" baseline="0"/>
            <a:t>O</a:t>
          </a:r>
          <a:endParaRPr lang="es-CO" sz="1100" b="1"/>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20</xdr:col>
      <xdr:colOff>215102</xdr:colOff>
      <xdr:row>3</xdr:row>
      <xdr:rowOff>0</xdr:rowOff>
    </xdr:from>
    <xdr:to>
      <xdr:col>26</xdr:col>
      <xdr:colOff>700628</xdr:colOff>
      <xdr:row>17</xdr:row>
      <xdr:rowOff>118881</xdr:rowOff>
    </xdr:to>
    <xdr:pic>
      <xdr:nvPicPr>
        <xdr:cNvPr id="3" name="Imagen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18238" y="233642"/>
          <a:ext cx="4745800" cy="2934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333791</xdr:colOff>
      <xdr:row>234</xdr:row>
      <xdr:rowOff>76200</xdr:rowOff>
    </xdr:from>
    <xdr:to>
      <xdr:col>8</xdr:col>
      <xdr:colOff>520204</xdr:colOff>
      <xdr:row>237</xdr:row>
      <xdr:rowOff>28217</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6286916" y="12753975"/>
          <a:ext cx="3649730" cy="523517"/>
        </a:xfrm>
        <a:prstGeom prst="rect">
          <a:avLst/>
        </a:prstGeom>
      </xdr:spPr>
    </xdr:pic>
    <xdr:clientData/>
  </xdr:twoCellAnchor>
  <xdr:twoCellAnchor editAs="oneCell">
    <xdr:from>
      <xdr:col>9</xdr:col>
      <xdr:colOff>190502</xdr:colOff>
      <xdr:row>223</xdr:row>
      <xdr:rowOff>140804</xdr:rowOff>
    </xdr:from>
    <xdr:to>
      <xdr:col>11</xdr:col>
      <xdr:colOff>33133</xdr:colOff>
      <xdr:row>234</xdr:row>
      <xdr:rowOff>103363</xdr:rowOff>
    </xdr:to>
    <xdr:pic>
      <xdr:nvPicPr>
        <xdr:cNvPr id="5" name="Imagen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3"/>
        <a:stretch>
          <a:fillRect/>
        </a:stretch>
      </xdr:blipFill>
      <xdr:spPr>
        <a:xfrm>
          <a:off x="10535480" y="43392587"/>
          <a:ext cx="1391478" cy="291378"/>
        </a:xfrm>
        <a:prstGeom prst="rect">
          <a:avLst/>
        </a:prstGeom>
      </xdr:spPr>
    </xdr:pic>
    <xdr:clientData/>
  </xdr:twoCellAnchor>
  <xdr:twoCellAnchor editAs="oneCell">
    <xdr:from>
      <xdr:col>8</xdr:col>
      <xdr:colOff>256760</xdr:colOff>
      <xdr:row>228</xdr:row>
      <xdr:rowOff>124241</xdr:rowOff>
    </xdr:from>
    <xdr:to>
      <xdr:col>8</xdr:col>
      <xdr:colOff>1275522</xdr:colOff>
      <xdr:row>234</xdr:row>
      <xdr:rowOff>75264</xdr:rowOff>
    </xdr:to>
    <xdr:pic>
      <xdr:nvPicPr>
        <xdr:cNvPr id="6" name="Imagen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4"/>
        <a:stretch>
          <a:fillRect/>
        </a:stretch>
      </xdr:blipFill>
      <xdr:spPr>
        <a:xfrm>
          <a:off x="8978347" y="44345089"/>
          <a:ext cx="1018762" cy="265764"/>
        </a:xfrm>
        <a:prstGeom prst="rect">
          <a:avLst/>
        </a:prstGeom>
      </xdr:spPr>
    </xdr:pic>
    <xdr:clientData/>
  </xdr:twoCellAnchor>
  <xdr:oneCellAnchor>
    <xdr:from>
      <xdr:col>6</xdr:col>
      <xdr:colOff>352841</xdr:colOff>
      <xdr:row>208</xdr:row>
      <xdr:rowOff>171450</xdr:rowOff>
    </xdr:from>
    <xdr:ext cx="3652629" cy="523517"/>
    <xdr:pic>
      <xdr:nvPicPr>
        <xdr:cNvPr id="7" name="Imagen 6">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2"/>
        <a:stretch>
          <a:fillRect/>
        </a:stretch>
      </xdr:blipFill>
      <xdr:spPr>
        <a:xfrm>
          <a:off x="6305966" y="10544175"/>
          <a:ext cx="3652629" cy="523517"/>
        </a:xfrm>
        <a:prstGeom prst="rect">
          <a:avLst/>
        </a:prstGeom>
      </xdr:spPr>
    </xdr:pic>
    <xdr:clientData/>
  </xdr:oneCellAnchor>
  <xdr:oneCellAnchor>
    <xdr:from>
      <xdr:col>8</xdr:col>
      <xdr:colOff>256760</xdr:colOff>
      <xdr:row>202</xdr:row>
      <xdr:rowOff>124241</xdr:rowOff>
    </xdr:from>
    <xdr:ext cx="1018762" cy="265764"/>
    <xdr:pic>
      <xdr:nvPicPr>
        <xdr:cNvPr id="8" name="Imagen 7">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4"/>
        <a:stretch>
          <a:fillRect/>
        </a:stretch>
      </xdr:blipFill>
      <xdr:spPr>
        <a:xfrm>
          <a:off x="8978347" y="44916589"/>
          <a:ext cx="1018762" cy="265764"/>
        </a:xfrm>
        <a:prstGeom prst="rect">
          <a:avLst/>
        </a:prstGeom>
      </xdr:spPr>
    </xdr:pic>
    <xdr:clientData/>
  </xdr:oneCellAnchor>
  <xdr:oneCellAnchor>
    <xdr:from>
      <xdr:col>6</xdr:col>
      <xdr:colOff>305216</xdr:colOff>
      <xdr:row>260</xdr:row>
      <xdr:rowOff>171450</xdr:rowOff>
    </xdr:from>
    <xdr:ext cx="3652629" cy="523517"/>
    <xdr:pic>
      <xdr:nvPicPr>
        <xdr:cNvPr id="9" name="Imagen 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2"/>
        <a:stretch>
          <a:fillRect/>
        </a:stretch>
      </xdr:blipFill>
      <xdr:spPr>
        <a:xfrm>
          <a:off x="6258341" y="15154275"/>
          <a:ext cx="3652629" cy="523517"/>
        </a:xfrm>
        <a:prstGeom prst="rect">
          <a:avLst/>
        </a:prstGeom>
      </xdr:spPr>
    </xdr:pic>
    <xdr:clientData/>
  </xdr:oneCellAnchor>
  <xdr:oneCellAnchor>
    <xdr:from>
      <xdr:col>8</xdr:col>
      <xdr:colOff>294860</xdr:colOff>
      <xdr:row>259</xdr:row>
      <xdr:rowOff>57150</xdr:rowOff>
    </xdr:from>
    <xdr:ext cx="1018762" cy="265764"/>
    <xdr:pic>
      <xdr:nvPicPr>
        <xdr:cNvPr id="10" name="Imagen 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4"/>
        <a:stretch>
          <a:fillRect/>
        </a:stretch>
      </xdr:blipFill>
      <xdr:spPr>
        <a:xfrm>
          <a:off x="9019760" y="14658975"/>
          <a:ext cx="1018762" cy="265764"/>
        </a:xfrm>
        <a:prstGeom prst="rect">
          <a:avLst/>
        </a:prstGeom>
      </xdr:spPr>
    </xdr:pic>
    <xdr:clientData/>
  </xdr:oneCellAnchor>
  <xdr:twoCellAnchor>
    <xdr:from>
      <xdr:col>1</xdr:col>
      <xdr:colOff>0</xdr:colOff>
      <xdr:row>3</xdr:row>
      <xdr:rowOff>156883</xdr:rowOff>
    </xdr:from>
    <xdr:to>
      <xdr:col>2</xdr:col>
      <xdr:colOff>161924</xdr:colOff>
      <xdr:row>5</xdr:row>
      <xdr:rowOff>10646</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00000000-0008-0000-0A00-00000B000000}"/>
            </a:ext>
          </a:extLst>
        </xdr:cNvPr>
        <xdr:cNvSpPr/>
      </xdr:nvSpPr>
      <xdr:spPr>
        <a:xfrm>
          <a:off x="717176" y="347383"/>
          <a:ext cx="879101"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276225</xdr:colOff>
      <xdr:row>4</xdr:row>
      <xdr:rowOff>19050</xdr:rowOff>
    </xdr:from>
    <xdr:to>
      <xdr:col>10</xdr:col>
      <xdr:colOff>393326</xdr:colOff>
      <xdr:row>4</xdr:row>
      <xdr:rowOff>276225</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1287125" y="219075"/>
          <a:ext cx="879101"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104775</xdr:colOff>
      <xdr:row>7</xdr:row>
      <xdr:rowOff>38100</xdr:rowOff>
    </xdr:from>
    <xdr:to>
      <xdr:col>7</xdr:col>
      <xdr:colOff>102318</xdr:colOff>
      <xdr:row>24</xdr:row>
      <xdr:rowOff>132735</xdr:rowOff>
    </xdr:to>
    <xdr:grpSp>
      <xdr:nvGrpSpPr>
        <xdr:cNvPr id="2" name="Grupo 1">
          <a:extLst>
            <a:ext uri="{FF2B5EF4-FFF2-40B4-BE49-F238E27FC236}">
              <a16:creationId xmlns:a16="http://schemas.microsoft.com/office/drawing/2014/main" id="{00000000-0008-0000-0C00-000002000000}"/>
            </a:ext>
          </a:extLst>
        </xdr:cNvPr>
        <xdr:cNvGrpSpPr/>
      </xdr:nvGrpSpPr>
      <xdr:grpSpPr>
        <a:xfrm>
          <a:off x="2398295" y="1692442"/>
          <a:ext cx="3055569" cy="3290523"/>
          <a:chOff x="3790335" y="1445342"/>
          <a:chExt cx="3045543" cy="3333135"/>
        </a:xfrm>
      </xdr:grpSpPr>
      <xdr:sp macro="" textlink="">
        <xdr:nvSpPr>
          <xdr:cNvPr id="3" name="Rectángulo 2">
            <a:extLst>
              <a:ext uri="{FF2B5EF4-FFF2-40B4-BE49-F238E27FC236}">
                <a16:creationId xmlns:a16="http://schemas.microsoft.com/office/drawing/2014/main" id="{00000000-0008-0000-0C00-000003000000}"/>
              </a:ext>
            </a:extLst>
          </xdr:cNvPr>
          <xdr:cNvSpPr/>
        </xdr:nvSpPr>
        <xdr:spPr>
          <a:xfrm>
            <a:off x="3790335" y="1445342"/>
            <a:ext cx="634181" cy="2979174"/>
          </a:xfrm>
          <a:prstGeom prst="rect">
            <a:avLst/>
          </a:prstGeom>
          <a:solidFill>
            <a:schemeClr val="bg1">
              <a:lumMod val="6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4" name="Rectángulo 3">
            <a:extLst>
              <a:ext uri="{FF2B5EF4-FFF2-40B4-BE49-F238E27FC236}">
                <a16:creationId xmlns:a16="http://schemas.microsoft.com/office/drawing/2014/main" id="{00000000-0008-0000-0C00-000004000000}"/>
              </a:ext>
            </a:extLst>
          </xdr:cNvPr>
          <xdr:cNvSpPr/>
        </xdr:nvSpPr>
        <xdr:spPr>
          <a:xfrm>
            <a:off x="3790335" y="3952567"/>
            <a:ext cx="3045543" cy="825910"/>
          </a:xfrm>
          <a:prstGeom prst="rect">
            <a:avLst/>
          </a:prstGeom>
          <a:solidFill>
            <a:schemeClr val="bg1">
              <a:lumMod val="6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xnSp macro="">
        <xdr:nvCxnSpPr>
          <xdr:cNvPr id="5" name="Conector recto 4">
            <a:extLst>
              <a:ext uri="{FF2B5EF4-FFF2-40B4-BE49-F238E27FC236}">
                <a16:creationId xmlns:a16="http://schemas.microsoft.com/office/drawing/2014/main" id="{00000000-0008-0000-0C00-000005000000}"/>
              </a:ext>
            </a:extLst>
          </xdr:cNvPr>
          <xdr:cNvCxnSpPr>
            <a:cxnSpLocks/>
          </xdr:cNvCxnSpPr>
        </xdr:nvCxnSpPr>
        <xdr:spPr>
          <a:xfrm>
            <a:off x="3790335" y="1445342"/>
            <a:ext cx="634181"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Conector recto 5">
            <a:extLst>
              <a:ext uri="{FF2B5EF4-FFF2-40B4-BE49-F238E27FC236}">
                <a16:creationId xmlns:a16="http://schemas.microsoft.com/office/drawing/2014/main" id="{00000000-0008-0000-0C00-000006000000}"/>
              </a:ext>
            </a:extLst>
          </xdr:cNvPr>
          <xdr:cNvCxnSpPr>
            <a:cxnSpLocks/>
          </xdr:cNvCxnSpPr>
        </xdr:nvCxnSpPr>
        <xdr:spPr>
          <a:xfrm>
            <a:off x="3790335" y="4778477"/>
            <a:ext cx="3045543"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Conector recto 6">
            <a:extLst>
              <a:ext uri="{FF2B5EF4-FFF2-40B4-BE49-F238E27FC236}">
                <a16:creationId xmlns:a16="http://schemas.microsoft.com/office/drawing/2014/main" id="{00000000-0008-0000-0C00-000007000000}"/>
              </a:ext>
            </a:extLst>
          </xdr:cNvPr>
          <xdr:cNvCxnSpPr>
            <a:cxnSpLocks/>
          </xdr:cNvCxnSpPr>
        </xdr:nvCxnSpPr>
        <xdr:spPr>
          <a:xfrm>
            <a:off x="4424516" y="3960924"/>
            <a:ext cx="2411362"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Conector recto 7">
            <a:extLst>
              <a:ext uri="{FF2B5EF4-FFF2-40B4-BE49-F238E27FC236}">
                <a16:creationId xmlns:a16="http://schemas.microsoft.com/office/drawing/2014/main" id="{00000000-0008-0000-0C00-000008000000}"/>
              </a:ext>
            </a:extLst>
          </xdr:cNvPr>
          <xdr:cNvCxnSpPr>
            <a:cxnSpLocks/>
          </xdr:cNvCxnSpPr>
        </xdr:nvCxnSpPr>
        <xdr:spPr>
          <a:xfrm>
            <a:off x="4424516" y="1445342"/>
            <a:ext cx="0" cy="250722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Conector recto 8">
            <a:extLst>
              <a:ext uri="{FF2B5EF4-FFF2-40B4-BE49-F238E27FC236}">
                <a16:creationId xmlns:a16="http://schemas.microsoft.com/office/drawing/2014/main" id="{00000000-0008-0000-0C00-000009000000}"/>
              </a:ext>
            </a:extLst>
          </xdr:cNvPr>
          <xdr:cNvCxnSpPr>
            <a:cxnSpLocks/>
          </xdr:cNvCxnSpPr>
        </xdr:nvCxnSpPr>
        <xdr:spPr>
          <a:xfrm>
            <a:off x="3790335" y="1453700"/>
            <a:ext cx="0" cy="332477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Conector recto 9">
            <a:extLst>
              <a:ext uri="{FF2B5EF4-FFF2-40B4-BE49-F238E27FC236}">
                <a16:creationId xmlns:a16="http://schemas.microsoft.com/office/drawing/2014/main" id="{00000000-0008-0000-0C00-00000A000000}"/>
              </a:ext>
            </a:extLst>
          </xdr:cNvPr>
          <xdr:cNvCxnSpPr>
            <a:cxnSpLocks/>
          </xdr:cNvCxnSpPr>
        </xdr:nvCxnSpPr>
        <xdr:spPr>
          <a:xfrm>
            <a:off x="6835878" y="3960924"/>
            <a:ext cx="0" cy="81755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236483</xdr:colOff>
      <xdr:row>14</xdr:row>
      <xdr:rowOff>39414</xdr:rowOff>
    </xdr:from>
    <xdr:to>
      <xdr:col>4</xdr:col>
      <xdr:colOff>244366</xdr:colOff>
      <xdr:row>20</xdr:row>
      <xdr:rowOff>45326</xdr:rowOff>
    </xdr:to>
    <xdr:cxnSp macro="">
      <xdr:nvCxnSpPr>
        <xdr:cNvPr id="12" name="Conector recto de flecha 11">
          <a:extLst>
            <a:ext uri="{FF2B5EF4-FFF2-40B4-BE49-F238E27FC236}">
              <a16:creationId xmlns:a16="http://schemas.microsoft.com/office/drawing/2014/main" id="{00000000-0008-0000-0C00-00000C000000}"/>
            </a:ext>
          </a:extLst>
        </xdr:cNvPr>
        <xdr:cNvCxnSpPr/>
      </xdr:nvCxnSpPr>
      <xdr:spPr>
        <a:xfrm>
          <a:off x="3284483" y="1944414"/>
          <a:ext cx="7883" cy="114891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215357</xdr:colOff>
      <xdr:row>7</xdr:row>
      <xdr:rowOff>52552</xdr:rowOff>
    </xdr:from>
    <xdr:to>
      <xdr:col>4</xdr:col>
      <xdr:colOff>225973</xdr:colOff>
      <xdr:row>12</xdr:row>
      <xdr:rowOff>119227</xdr:rowOff>
    </xdr:to>
    <xdr:cxnSp macro="">
      <xdr:nvCxnSpPr>
        <xdr:cNvPr id="14" name="Conector recto de flecha 13">
          <a:extLst>
            <a:ext uri="{FF2B5EF4-FFF2-40B4-BE49-F238E27FC236}">
              <a16:creationId xmlns:a16="http://schemas.microsoft.com/office/drawing/2014/main" id="{00000000-0008-0000-0C00-00000E000000}"/>
            </a:ext>
          </a:extLst>
        </xdr:cNvPr>
        <xdr:cNvCxnSpPr/>
      </xdr:nvCxnSpPr>
      <xdr:spPr>
        <a:xfrm flipH="1" flipV="1">
          <a:off x="3263357" y="624052"/>
          <a:ext cx="10616" cy="1019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191813</xdr:colOff>
      <xdr:row>23</xdr:row>
      <xdr:rowOff>21020</xdr:rowOff>
    </xdr:from>
    <xdr:to>
      <xdr:col>7</xdr:col>
      <xdr:colOff>197069</xdr:colOff>
      <xdr:row>24</xdr:row>
      <xdr:rowOff>137948</xdr:rowOff>
    </xdr:to>
    <xdr:cxnSp macro="">
      <xdr:nvCxnSpPr>
        <xdr:cNvPr id="19" name="Conector recto de flecha 18">
          <a:extLst>
            <a:ext uri="{FF2B5EF4-FFF2-40B4-BE49-F238E27FC236}">
              <a16:creationId xmlns:a16="http://schemas.microsoft.com/office/drawing/2014/main" id="{00000000-0008-0000-0C00-000013000000}"/>
            </a:ext>
          </a:extLst>
        </xdr:cNvPr>
        <xdr:cNvCxnSpPr/>
      </xdr:nvCxnSpPr>
      <xdr:spPr>
        <a:xfrm>
          <a:off x="5525813" y="3640520"/>
          <a:ext cx="5256" cy="307428"/>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183931</xdr:colOff>
      <xdr:row>20</xdr:row>
      <xdr:rowOff>85397</xdr:rowOff>
    </xdr:from>
    <xdr:to>
      <xdr:col>7</xdr:col>
      <xdr:colOff>186558</xdr:colOff>
      <xdr:row>21</xdr:row>
      <xdr:rowOff>166851</xdr:rowOff>
    </xdr:to>
    <xdr:cxnSp macro="">
      <xdr:nvCxnSpPr>
        <xdr:cNvPr id="22" name="Conector recto de flecha 21">
          <a:extLst>
            <a:ext uri="{FF2B5EF4-FFF2-40B4-BE49-F238E27FC236}">
              <a16:creationId xmlns:a16="http://schemas.microsoft.com/office/drawing/2014/main" id="{00000000-0008-0000-0C00-000016000000}"/>
            </a:ext>
          </a:extLst>
        </xdr:cNvPr>
        <xdr:cNvCxnSpPr/>
      </xdr:nvCxnSpPr>
      <xdr:spPr>
        <a:xfrm flipH="1" flipV="1">
          <a:off x="5517931" y="3133397"/>
          <a:ext cx="2627" cy="27195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621138</xdr:colOff>
      <xdr:row>19</xdr:row>
      <xdr:rowOff>99391</xdr:rowOff>
    </xdr:from>
    <xdr:to>
      <xdr:col>7</xdr:col>
      <xdr:colOff>99391</xdr:colOff>
      <xdr:row>19</xdr:row>
      <xdr:rowOff>113614</xdr:rowOff>
    </xdr:to>
    <xdr:cxnSp macro="">
      <xdr:nvCxnSpPr>
        <xdr:cNvPr id="24" name="Conector recto de flecha 23">
          <a:extLst>
            <a:ext uri="{FF2B5EF4-FFF2-40B4-BE49-F238E27FC236}">
              <a16:creationId xmlns:a16="http://schemas.microsoft.com/office/drawing/2014/main" id="{00000000-0008-0000-0C00-000018000000}"/>
            </a:ext>
          </a:extLst>
        </xdr:cNvPr>
        <xdr:cNvCxnSpPr/>
      </xdr:nvCxnSpPr>
      <xdr:spPr>
        <a:xfrm flipV="1">
          <a:off x="5193138" y="3843130"/>
          <a:ext cx="1002253" cy="1422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19</xdr:row>
      <xdr:rowOff>144517</xdr:rowOff>
    </xdr:from>
    <xdr:to>
      <xdr:col>5</xdr:col>
      <xdr:colOff>105103</xdr:colOff>
      <xdr:row>19</xdr:row>
      <xdr:rowOff>144517</xdr:rowOff>
    </xdr:to>
    <xdr:cxnSp macro="">
      <xdr:nvCxnSpPr>
        <xdr:cNvPr id="26" name="Conector recto de flecha 25">
          <a:extLst>
            <a:ext uri="{FF2B5EF4-FFF2-40B4-BE49-F238E27FC236}">
              <a16:creationId xmlns:a16="http://schemas.microsoft.com/office/drawing/2014/main" id="{00000000-0008-0000-0C00-00001A000000}"/>
            </a:ext>
          </a:extLst>
        </xdr:cNvPr>
        <xdr:cNvCxnSpPr/>
      </xdr:nvCxnSpPr>
      <xdr:spPr>
        <a:xfrm flipH="1">
          <a:off x="3048000" y="3002017"/>
          <a:ext cx="867103"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158968</xdr:colOff>
      <xdr:row>25</xdr:row>
      <xdr:rowOff>53866</xdr:rowOff>
    </xdr:from>
    <xdr:to>
      <xdr:col>4</xdr:col>
      <xdr:colOff>716017</xdr:colOff>
      <xdr:row>25</xdr:row>
      <xdr:rowOff>53866</xdr:rowOff>
    </xdr:to>
    <xdr:cxnSp macro="">
      <xdr:nvCxnSpPr>
        <xdr:cNvPr id="29" name="Conector recto de flecha 28">
          <a:extLst>
            <a:ext uri="{FF2B5EF4-FFF2-40B4-BE49-F238E27FC236}">
              <a16:creationId xmlns:a16="http://schemas.microsoft.com/office/drawing/2014/main" id="{00000000-0008-0000-0C00-00001D000000}"/>
            </a:ext>
          </a:extLst>
        </xdr:cNvPr>
        <xdr:cNvCxnSpPr/>
      </xdr:nvCxnSpPr>
      <xdr:spPr>
        <a:xfrm flipH="1">
          <a:off x="2444968" y="4054366"/>
          <a:ext cx="1319049"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13138</xdr:colOff>
      <xdr:row>25</xdr:row>
      <xdr:rowOff>52552</xdr:rowOff>
    </xdr:from>
    <xdr:to>
      <xdr:col>7</xdr:col>
      <xdr:colOff>91965</xdr:colOff>
      <xdr:row>25</xdr:row>
      <xdr:rowOff>52552</xdr:rowOff>
    </xdr:to>
    <xdr:cxnSp macro="">
      <xdr:nvCxnSpPr>
        <xdr:cNvPr id="31" name="Conector recto de flecha 30">
          <a:extLst>
            <a:ext uri="{FF2B5EF4-FFF2-40B4-BE49-F238E27FC236}">
              <a16:creationId xmlns:a16="http://schemas.microsoft.com/office/drawing/2014/main" id="{00000000-0008-0000-0C00-00001F000000}"/>
            </a:ext>
          </a:extLst>
        </xdr:cNvPr>
        <xdr:cNvCxnSpPr/>
      </xdr:nvCxnSpPr>
      <xdr:spPr>
        <a:xfrm>
          <a:off x="4585138" y="4053052"/>
          <a:ext cx="840827"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400707</xdr:colOff>
      <xdr:row>18</xdr:row>
      <xdr:rowOff>59120</xdr:rowOff>
    </xdr:from>
    <xdr:to>
      <xdr:col>2</xdr:col>
      <xdr:colOff>403334</xdr:colOff>
      <xdr:row>24</xdr:row>
      <xdr:rowOff>92622</xdr:rowOff>
    </xdr:to>
    <xdr:cxnSp macro="">
      <xdr:nvCxnSpPr>
        <xdr:cNvPr id="34" name="Conector recto de flecha 33">
          <a:extLst>
            <a:ext uri="{FF2B5EF4-FFF2-40B4-BE49-F238E27FC236}">
              <a16:creationId xmlns:a16="http://schemas.microsoft.com/office/drawing/2014/main" id="{00000000-0008-0000-0C00-000022000000}"/>
            </a:ext>
          </a:extLst>
        </xdr:cNvPr>
        <xdr:cNvCxnSpPr/>
      </xdr:nvCxnSpPr>
      <xdr:spPr>
        <a:xfrm>
          <a:off x="1924707" y="2726120"/>
          <a:ext cx="2627" cy="117650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388554</xdr:colOff>
      <xdr:row>7</xdr:row>
      <xdr:rowOff>53537</xdr:rowOff>
    </xdr:from>
    <xdr:to>
      <xdr:col>2</xdr:col>
      <xdr:colOff>394138</xdr:colOff>
      <xdr:row>16</xdr:row>
      <xdr:rowOff>105104</xdr:rowOff>
    </xdr:to>
    <xdr:cxnSp macro="">
      <xdr:nvCxnSpPr>
        <xdr:cNvPr id="35" name="Conector recto de flecha 34">
          <a:extLst>
            <a:ext uri="{FF2B5EF4-FFF2-40B4-BE49-F238E27FC236}">
              <a16:creationId xmlns:a16="http://schemas.microsoft.com/office/drawing/2014/main" id="{00000000-0008-0000-0C00-000023000000}"/>
            </a:ext>
          </a:extLst>
        </xdr:cNvPr>
        <xdr:cNvCxnSpPr/>
      </xdr:nvCxnSpPr>
      <xdr:spPr>
        <a:xfrm flipH="1" flipV="1">
          <a:off x="1912554" y="625037"/>
          <a:ext cx="5584" cy="1766067"/>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85397</xdr:colOff>
      <xdr:row>6</xdr:row>
      <xdr:rowOff>72259</xdr:rowOff>
    </xdr:from>
    <xdr:to>
      <xdr:col>4</xdr:col>
      <xdr:colOff>6569</xdr:colOff>
      <xdr:row>6</xdr:row>
      <xdr:rowOff>78828</xdr:rowOff>
    </xdr:to>
    <xdr:cxnSp macro="">
      <xdr:nvCxnSpPr>
        <xdr:cNvPr id="46" name="Conector recto de flecha 45">
          <a:extLst>
            <a:ext uri="{FF2B5EF4-FFF2-40B4-BE49-F238E27FC236}">
              <a16:creationId xmlns:a16="http://schemas.microsoft.com/office/drawing/2014/main" id="{00000000-0008-0000-0C00-00002E000000}"/>
            </a:ext>
          </a:extLst>
        </xdr:cNvPr>
        <xdr:cNvCxnSpPr/>
      </xdr:nvCxnSpPr>
      <xdr:spPr>
        <a:xfrm>
          <a:off x="2371397" y="453259"/>
          <a:ext cx="683172" cy="6569"/>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361296</xdr:colOff>
      <xdr:row>20</xdr:row>
      <xdr:rowOff>177364</xdr:rowOff>
    </xdr:from>
    <xdr:to>
      <xdr:col>6</xdr:col>
      <xdr:colOff>717222</xdr:colOff>
      <xdr:row>21</xdr:row>
      <xdr:rowOff>44044</xdr:rowOff>
    </xdr:to>
    <xdr:grpSp>
      <xdr:nvGrpSpPr>
        <xdr:cNvPr id="48" name="Grupo 47">
          <a:extLst>
            <a:ext uri="{FF2B5EF4-FFF2-40B4-BE49-F238E27FC236}">
              <a16:creationId xmlns:a16="http://schemas.microsoft.com/office/drawing/2014/main" id="{00000000-0008-0000-0C00-000030000000}"/>
            </a:ext>
          </a:extLst>
        </xdr:cNvPr>
        <xdr:cNvGrpSpPr/>
      </xdr:nvGrpSpPr>
      <xdr:grpSpPr>
        <a:xfrm rot="5400000">
          <a:off x="4716708" y="3742742"/>
          <a:ext cx="54673" cy="1120432"/>
          <a:chOff x="5736877" y="1409700"/>
          <a:chExt cx="57180" cy="1117926"/>
        </a:xfrm>
      </xdr:grpSpPr>
      <xdr:sp macro="" textlink="">
        <xdr:nvSpPr>
          <xdr:cNvPr id="49" name="Elipse 48">
            <a:extLst>
              <a:ext uri="{FF2B5EF4-FFF2-40B4-BE49-F238E27FC236}">
                <a16:creationId xmlns:a16="http://schemas.microsoft.com/office/drawing/2014/main" id="{00000000-0008-0000-0C00-000031000000}"/>
              </a:ext>
            </a:extLst>
          </xdr:cNvPr>
          <xdr:cNvSpPr/>
        </xdr:nvSpPr>
        <xdr:spPr>
          <a:xfrm>
            <a:off x="5746429" y="1409700"/>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0" name="Elipse 49">
            <a:extLst>
              <a:ext uri="{FF2B5EF4-FFF2-40B4-BE49-F238E27FC236}">
                <a16:creationId xmlns:a16="http://schemas.microsoft.com/office/drawing/2014/main" id="{00000000-0008-0000-0C00-000032000000}"/>
              </a:ext>
            </a:extLst>
          </xdr:cNvPr>
          <xdr:cNvSpPr/>
        </xdr:nvSpPr>
        <xdr:spPr>
          <a:xfrm>
            <a:off x="5746430" y="1613503"/>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1" name="Elipse 50">
            <a:extLst>
              <a:ext uri="{FF2B5EF4-FFF2-40B4-BE49-F238E27FC236}">
                <a16:creationId xmlns:a16="http://schemas.microsoft.com/office/drawing/2014/main" id="{00000000-0008-0000-0C00-000033000000}"/>
              </a:ext>
            </a:extLst>
          </xdr:cNvPr>
          <xdr:cNvSpPr/>
        </xdr:nvSpPr>
        <xdr:spPr>
          <a:xfrm>
            <a:off x="5736877" y="18275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2" name="Elipse 51">
            <a:extLst>
              <a:ext uri="{FF2B5EF4-FFF2-40B4-BE49-F238E27FC236}">
                <a16:creationId xmlns:a16="http://schemas.microsoft.com/office/drawing/2014/main" id="{00000000-0008-0000-0C00-000034000000}"/>
              </a:ext>
            </a:extLst>
          </xdr:cNvPr>
          <xdr:cNvSpPr/>
        </xdr:nvSpPr>
        <xdr:spPr>
          <a:xfrm>
            <a:off x="5748338" y="2031375"/>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3" name="Elipse 52">
            <a:extLst>
              <a:ext uri="{FF2B5EF4-FFF2-40B4-BE49-F238E27FC236}">
                <a16:creationId xmlns:a16="http://schemas.microsoft.com/office/drawing/2014/main" id="{00000000-0008-0000-0C00-000035000000}"/>
              </a:ext>
            </a:extLst>
          </xdr:cNvPr>
          <xdr:cNvSpPr/>
        </xdr:nvSpPr>
        <xdr:spPr>
          <a:xfrm>
            <a:off x="5746430" y="22419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4" name="Elipse 53">
            <a:extLst>
              <a:ext uri="{FF2B5EF4-FFF2-40B4-BE49-F238E27FC236}">
                <a16:creationId xmlns:a16="http://schemas.microsoft.com/office/drawing/2014/main" id="{00000000-0008-0000-0C00-000036000000}"/>
              </a:ext>
            </a:extLst>
          </xdr:cNvPr>
          <xdr:cNvSpPr/>
        </xdr:nvSpPr>
        <xdr:spPr>
          <a:xfrm>
            <a:off x="5748337" y="2481907"/>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clientData/>
  </xdr:twoCellAnchor>
  <xdr:twoCellAnchor>
    <xdr:from>
      <xdr:col>3</xdr:col>
      <xdr:colOff>572816</xdr:colOff>
      <xdr:row>20</xdr:row>
      <xdr:rowOff>178678</xdr:rowOff>
    </xdr:from>
    <xdr:to>
      <xdr:col>5</xdr:col>
      <xdr:colOff>166742</xdr:colOff>
      <xdr:row>21</xdr:row>
      <xdr:rowOff>45358</xdr:rowOff>
    </xdr:to>
    <xdr:grpSp>
      <xdr:nvGrpSpPr>
        <xdr:cNvPr id="55" name="Grupo 54">
          <a:extLst>
            <a:ext uri="{FF2B5EF4-FFF2-40B4-BE49-F238E27FC236}">
              <a16:creationId xmlns:a16="http://schemas.microsoft.com/office/drawing/2014/main" id="{00000000-0008-0000-0C00-000037000000}"/>
            </a:ext>
          </a:extLst>
        </xdr:cNvPr>
        <xdr:cNvGrpSpPr/>
      </xdr:nvGrpSpPr>
      <xdr:grpSpPr>
        <a:xfrm rot="5400000">
          <a:off x="3400469" y="3742802"/>
          <a:ext cx="54673" cy="1122939"/>
          <a:chOff x="5736877" y="1409700"/>
          <a:chExt cx="57180" cy="1117926"/>
        </a:xfrm>
      </xdr:grpSpPr>
      <xdr:sp macro="" textlink="">
        <xdr:nvSpPr>
          <xdr:cNvPr id="56" name="Elipse 55">
            <a:extLst>
              <a:ext uri="{FF2B5EF4-FFF2-40B4-BE49-F238E27FC236}">
                <a16:creationId xmlns:a16="http://schemas.microsoft.com/office/drawing/2014/main" id="{00000000-0008-0000-0C00-000038000000}"/>
              </a:ext>
            </a:extLst>
          </xdr:cNvPr>
          <xdr:cNvSpPr/>
        </xdr:nvSpPr>
        <xdr:spPr>
          <a:xfrm>
            <a:off x="5746429" y="1409700"/>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7" name="Elipse 56">
            <a:extLst>
              <a:ext uri="{FF2B5EF4-FFF2-40B4-BE49-F238E27FC236}">
                <a16:creationId xmlns:a16="http://schemas.microsoft.com/office/drawing/2014/main" id="{00000000-0008-0000-0C00-000039000000}"/>
              </a:ext>
            </a:extLst>
          </xdr:cNvPr>
          <xdr:cNvSpPr/>
        </xdr:nvSpPr>
        <xdr:spPr>
          <a:xfrm>
            <a:off x="5746430" y="1613503"/>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8" name="Elipse 57">
            <a:extLst>
              <a:ext uri="{FF2B5EF4-FFF2-40B4-BE49-F238E27FC236}">
                <a16:creationId xmlns:a16="http://schemas.microsoft.com/office/drawing/2014/main" id="{00000000-0008-0000-0C00-00003A000000}"/>
              </a:ext>
            </a:extLst>
          </xdr:cNvPr>
          <xdr:cNvSpPr/>
        </xdr:nvSpPr>
        <xdr:spPr>
          <a:xfrm>
            <a:off x="5736877" y="18275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59" name="Elipse 58">
            <a:extLst>
              <a:ext uri="{FF2B5EF4-FFF2-40B4-BE49-F238E27FC236}">
                <a16:creationId xmlns:a16="http://schemas.microsoft.com/office/drawing/2014/main" id="{00000000-0008-0000-0C00-00003B000000}"/>
              </a:ext>
            </a:extLst>
          </xdr:cNvPr>
          <xdr:cNvSpPr/>
        </xdr:nvSpPr>
        <xdr:spPr>
          <a:xfrm>
            <a:off x="5748338" y="2031375"/>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0" name="Elipse 59">
            <a:extLst>
              <a:ext uri="{FF2B5EF4-FFF2-40B4-BE49-F238E27FC236}">
                <a16:creationId xmlns:a16="http://schemas.microsoft.com/office/drawing/2014/main" id="{00000000-0008-0000-0C00-00003C000000}"/>
              </a:ext>
            </a:extLst>
          </xdr:cNvPr>
          <xdr:cNvSpPr/>
        </xdr:nvSpPr>
        <xdr:spPr>
          <a:xfrm>
            <a:off x="5746430" y="22419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1" name="Elipse 60">
            <a:extLst>
              <a:ext uri="{FF2B5EF4-FFF2-40B4-BE49-F238E27FC236}">
                <a16:creationId xmlns:a16="http://schemas.microsoft.com/office/drawing/2014/main" id="{00000000-0008-0000-0C00-00003D000000}"/>
              </a:ext>
            </a:extLst>
          </xdr:cNvPr>
          <xdr:cNvSpPr/>
        </xdr:nvSpPr>
        <xdr:spPr>
          <a:xfrm>
            <a:off x="5748337" y="2481907"/>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clientData/>
  </xdr:twoCellAnchor>
  <xdr:twoCellAnchor>
    <xdr:from>
      <xdr:col>3</xdr:col>
      <xdr:colOff>567560</xdr:colOff>
      <xdr:row>23</xdr:row>
      <xdr:rowOff>147147</xdr:rowOff>
    </xdr:from>
    <xdr:to>
      <xdr:col>5</xdr:col>
      <xdr:colOff>161486</xdr:colOff>
      <xdr:row>24</xdr:row>
      <xdr:rowOff>13827</xdr:rowOff>
    </xdr:to>
    <xdr:grpSp>
      <xdr:nvGrpSpPr>
        <xdr:cNvPr id="62" name="Grupo 61">
          <a:extLst>
            <a:ext uri="{FF2B5EF4-FFF2-40B4-BE49-F238E27FC236}">
              <a16:creationId xmlns:a16="http://schemas.microsoft.com/office/drawing/2014/main" id="{00000000-0008-0000-0C00-00003E000000}"/>
            </a:ext>
          </a:extLst>
        </xdr:cNvPr>
        <xdr:cNvGrpSpPr/>
      </xdr:nvGrpSpPr>
      <xdr:grpSpPr>
        <a:xfrm rot="5400000">
          <a:off x="3395213" y="4275251"/>
          <a:ext cx="54673" cy="1122939"/>
          <a:chOff x="5736877" y="1409700"/>
          <a:chExt cx="57180" cy="1117926"/>
        </a:xfrm>
      </xdr:grpSpPr>
      <xdr:sp macro="" textlink="">
        <xdr:nvSpPr>
          <xdr:cNvPr id="63" name="Elipse 62">
            <a:extLst>
              <a:ext uri="{FF2B5EF4-FFF2-40B4-BE49-F238E27FC236}">
                <a16:creationId xmlns:a16="http://schemas.microsoft.com/office/drawing/2014/main" id="{00000000-0008-0000-0C00-00003F000000}"/>
              </a:ext>
            </a:extLst>
          </xdr:cNvPr>
          <xdr:cNvSpPr/>
        </xdr:nvSpPr>
        <xdr:spPr>
          <a:xfrm>
            <a:off x="5746429" y="1409700"/>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4" name="Elipse 63">
            <a:extLst>
              <a:ext uri="{FF2B5EF4-FFF2-40B4-BE49-F238E27FC236}">
                <a16:creationId xmlns:a16="http://schemas.microsoft.com/office/drawing/2014/main" id="{00000000-0008-0000-0C00-000040000000}"/>
              </a:ext>
            </a:extLst>
          </xdr:cNvPr>
          <xdr:cNvSpPr/>
        </xdr:nvSpPr>
        <xdr:spPr>
          <a:xfrm>
            <a:off x="5746430" y="1613503"/>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5" name="Elipse 64">
            <a:extLst>
              <a:ext uri="{FF2B5EF4-FFF2-40B4-BE49-F238E27FC236}">
                <a16:creationId xmlns:a16="http://schemas.microsoft.com/office/drawing/2014/main" id="{00000000-0008-0000-0C00-000041000000}"/>
              </a:ext>
            </a:extLst>
          </xdr:cNvPr>
          <xdr:cNvSpPr/>
        </xdr:nvSpPr>
        <xdr:spPr>
          <a:xfrm>
            <a:off x="5736877" y="18275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6" name="Elipse 65">
            <a:extLst>
              <a:ext uri="{FF2B5EF4-FFF2-40B4-BE49-F238E27FC236}">
                <a16:creationId xmlns:a16="http://schemas.microsoft.com/office/drawing/2014/main" id="{00000000-0008-0000-0C00-000042000000}"/>
              </a:ext>
            </a:extLst>
          </xdr:cNvPr>
          <xdr:cNvSpPr/>
        </xdr:nvSpPr>
        <xdr:spPr>
          <a:xfrm>
            <a:off x="5748338" y="2031375"/>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7" name="Elipse 66">
            <a:extLst>
              <a:ext uri="{FF2B5EF4-FFF2-40B4-BE49-F238E27FC236}">
                <a16:creationId xmlns:a16="http://schemas.microsoft.com/office/drawing/2014/main" id="{00000000-0008-0000-0C00-000043000000}"/>
              </a:ext>
            </a:extLst>
          </xdr:cNvPr>
          <xdr:cNvSpPr/>
        </xdr:nvSpPr>
        <xdr:spPr>
          <a:xfrm>
            <a:off x="5746430" y="22419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8" name="Elipse 67">
            <a:extLst>
              <a:ext uri="{FF2B5EF4-FFF2-40B4-BE49-F238E27FC236}">
                <a16:creationId xmlns:a16="http://schemas.microsoft.com/office/drawing/2014/main" id="{00000000-0008-0000-0C00-000044000000}"/>
              </a:ext>
            </a:extLst>
          </xdr:cNvPr>
          <xdr:cNvSpPr/>
        </xdr:nvSpPr>
        <xdr:spPr>
          <a:xfrm>
            <a:off x="5748337" y="2481907"/>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clientData/>
  </xdr:twoCellAnchor>
  <xdr:twoCellAnchor>
    <xdr:from>
      <xdr:col>5</xdr:col>
      <xdr:colOff>365236</xdr:colOff>
      <xdr:row>23</xdr:row>
      <xdr:rowOff>135323</xdr:rowOff>
    </xdr:from>
    <xdr:to>
      <xdr:col>6</xdr:col>
      <xdr:colOff>721162</xdr:colOff>
      <xdr:row>24</xdr:row>
      <xdr:rowOff>2003</xdr:rowOff>
    </xdr:to>
    <xdr:grpSp>
      <xdr:nvGrpSpPr>
        <xdr:cNvPr id="69" name="Grupo 68">
          <a:extLst>
            <a:ext uri="{FF2B5EF4-FFF2-40B4-BE49-F238E27FC236}">
              <a16:creationId xmlns:a16="http://schemas.microsoft.com/office/drawing/2014/main" id="{00000000-0008-0000-0C00-000045000000}"/>
            </a:ext>
          </a:extLst>
        </xdr:cNvPr>
        <xdr:cNvGrpSpPr/>
      </xdr:nvGrpSpPr>
      <xdr:grpSpPr>
        <a:xfrm rot="5400000">
          <a:off x="4720648" y="4264681"/>
          <a:ext cx="54673" cy="1120432"/>
          <a:chOff x="5736877" y="1409700"/>
          <a:chExt cx="57180" cy="1117926"/>
        </a:xfrm>
      </xdr:grpSpPr>
      <xdr:sp macro="" textlink="">
        <xdr:nvSpPr>
          <xdr:cNvPr id="70" name="Elipse 69">
            <a:extLst>
              <a:ext uri="{FF2B5EF4-FFF2-40B4-BE49-F238E27FC236}">
                <a16:creationId xmlns:a16="http://schemas.microsoft.com/office/drawing/2014/main" id="{00000000-0008-0000-0C00-000046000000}"/>
              </a:ext>
            </a:extLst>
          </xdr:cNvPr>
          <xdr:cNvSpPr/>
        </xdr:nvSpPr>
        <xdr:spPr>
          <a:xfrm>
            <a:off x="5746429" y="1409700"/>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1" name="Elipse 70">
            <a:extLst>
              <a:ext uri="{FF2B5EF4-FFF2-40B4-BE49-F238E27FC236}">
                <a16:creationId xmlns:a16="http://schemas.microsoft.com/office/drawing/2014/main" id="{00000000-0008-0000-0C00-000047000000}"/>
              </a:ext>
            </a:extLst>
          </xdr:cNvPr>
          <xdr:cNvSpPr/>
        </xdr:nvSpPr>
        <xdr:spPr>
          <a:xfrm>
            <a:off x="5746430" y="1613503"/>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2" name="Elipse 71">
            <a:extLst>
              <a:ext uri="{FF2B5EF4-FFF2-40B4-BE49-F238E27FC236}">
                <a16:creationId xmlns:a16="http://schemas.microsoft.com/office/drawing/2014/main" id="{00000000-0008-0000-0C00-000048000000}"/>
              </a:ext>
            </a:extLst>
          </xdr:cNvPr>
          <xdr:cNvSpPr/>
        </xdr:nvSpPr>
        <xdr:spPr>
          <a:xfrm>
            <a:off x="5736877" y="18275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3" name="Elipse 72">
            <a:extLst>
              <a:ext uri="{FF2B5EF4-FFF2-40B4-BE49-F238E27FC236}">
                <a16:creationId xmlns:a16="http://schemas.microsoft.com/office/drawing/2014/main" id="{00000000-0008-0000-0C00-000049000000}"/>
              </a:ext>
            </a:extLst>
          </xdr:cNvPr>
          <xdr:cNvSpPr/>
        </xdr:nvSpPr>
        <xdr:spPr>
          <a:xfrm>
            <a:off x="5748338" y="2031375"/>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4" name="Elipse 73">
            <a:extLst>
              <a:ext uri="{FF2B5EF4-FFF2-40B4-BE49-F238E27FC236}">
                <a16:creationId xmlns:a16="http://schemas.microsoft.com/office/drawing/2014/main" id="{00000000-0008-0000-0C00-00004A000000}"/>
              </a:ext>
            </a:extLst>
          </xdr:cNvPr>
          <xdr:cNvSpPr/>
        </xdr:nvSpPr>
        <xdr:spPr>
          <a:xfrm>
            <a:off x="5746430" y="22419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5" name="Elipse 74">
            <a:extLst>
              <a:ext uri="{FF2B5EF4-FFF2-40B4-BE49-F238E27FC236}">
                <a16:creationId xmlns:a16="http://schemas.microsoft.com/office/drawing/2014/main" id="{00000000-0008-0000-0C00-00004B000000}"/>
              </a:ext>
            </a:extLst>
          </xdr:cNvPr>
          <xdr:cNvSpPr/>
        </xdr:nvSpPr>
        <xdr:spPr>
          <a:xfrm>
            <a:off x="5748337" y="2481907"/>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clientData/>
  </xdr:twoCellAnchor>
  <xdr:twoCellAnchor>
    <xdr:from>
      <xdr:col>3</xdr:col>
      <xdr:colOff>578069</xdr:colOff>
      <xdr:row>7</xdr:row>
      <xdr:rowOff>151086</xdr:rowOff>
    </xdr:from>
    <xdr:to>
      <xdr:col>3</xdr:col>
      <xdr:colOff>635249</xdr:colOff>
      <xdr:row>13</xdr:row>
      <xdr:rowOff>126012</xdr:rowOff>
    </xdr:to>
    <xdr:grpSp>
      <xdr:nvGrpSpPr>
        <xdr:cNvPr id="76" name="Grupo 75">
          <a:extLst>
            <a:ext uri="{FF2B5EF4-FFF2-40B4-BE49-F238E27FC236}">
              <a16:creationId xmlns:a16="http://schemas.microsoft.com/office/drawing/2014/main" id="{00000000-0008-0000-0C00-00004C000000}"/>
            </a:ext>
          </a:extLst>
        </xdr:cNvPr>
        <xdr:cNvGrpSpPr/>
      </xdr:nvGrpSpPr>
      <xdr:grpSpPr>
        <a:xfrm>
          <a:off x="2871589" y="1805428"/>
          <a:ext cx="57180" cy="1102887"/>
          <a:chOff x="5584477" y="1257300"/>
          <a:chExt cx="57180" cy="1117926"/>
        </a:xfrm>
      </xdr:grpSpPr>
      <xdr:sp macro="" textlink="">
        <xdr:nvSpPr>
          <xdr:cNvPr id="77" name="Elipse 76">
            <a:extLst>
              <a:ext uri="{FF2B5EF4-FFF2-40B4-BE49-F238E27FC236}">
                <a16:creationId xmlns:a16="http://schemas.microsoft.com/office/drawing/2014/main" id="{00000000-0008-0000-0C00-00004D000000}"/>
              </a:ext>
            </a:extLst>
          </xdr:cNvPr>
          <xdr:cNvSpPr/>
        </xdr:nvSpPr>
        <xdr:spPr>
          <a:xfrm>
            <a:off x="5594029" y="1257300"/>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8" name="Elipse 77">
            <a:extLst>
              <a:ext uri="{FF2B5EF4-FFF2-40B4-BE49-F238E27FC236}">
                <a16:creationId xmlns:a16="http://schemas.microsoft.com/office/drawing/2014/main" id="{00000000-0008-0000-0C00-00004E000000}"/>
              </a:ext>
            </a:extLst>
          </xdr:cNvPr>
          <xdr:cNvSpPr/>
        </xdr:nvSpPr>
        <xdr:spPr>
          <a:xfrm>
            <a:off x="5594030" y="1461103"/>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79" name="Elipse 78">
            <a:extLst>
              <a:ext uri="{FF2B5EF4-FFF2-40B4-BE49-F238E27FC236}">
                <a16:creationId xmlns:a16="http://schemas.microsoft.com/office/drawing/2014/main" id="{00000000-0008-0000-0C00-00004F000000}"/>
              </a:ext>
            </a:extLst>
          </xdr:cNvPr>
          <xdr:cNvSpPr/>
        </xdr:nvSpPr>
        <xdr:spPr>
          <a:xfrm>
            <a:off x="5584477" y="16751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0" name="Elipse 79">
            <a:extLst>
              <a:ext uri="{FF2B5EF4-FFF2-40B4-BE49-F238E27FC236}">
                <a16:creationId xmlns:a16="http://schemas.microsoft.com/office/drawing/2014/main" id="{00000000-0008-0000-0C00-000050000000}"/>
              </a:ext>
            </a:extLst>
          </xdr:cNvPr>
          <xdr:cNvSpPr/>
        </xdr:nvSpPr>
        <xdr:spPr>
          <a:xfrm>
            <a:off x="5595938" y="1878975"/>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1" name="Elipse 80">
            <a:extLst>
              <a:ext uri="{FF2B5EF4-FFF2-40B4-BE49-F238E27FC236}">
                <a16:creationId xmlns:a16="http://schemas.microsoft.com/office/drawing/2014/main" id="{00000000-0008-0000-0C00-000051000000}"/>
              </a:ext>
            </a:extLst>
          </xdr:cNvPr>
          <xdr:cNvSpPr/>
        </xdr:nvSpPr>
        <xdr:spPr>
          <a:xfrm>
            <a:off x="5594030" y="20895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2" name="Elipse 81">
            <a:extLst>
              <a:ext uri="{FF2B5EF4-FFF2-40B4-BE49-F238E27FC236}">
                <a16:creationId xmlns:a16="http://schemas.microsoft.com/office/drawing/2014/main" id="{00000000-0008-0000-0C00-000052000000}"/>
              </a:ext>
            </a:extLst>
          </xdr:cNvPr>
          <xdr:cNvSpPr/>
        </xdr:nvSpPr>
        <xdr:spPr>
          <a:xfrm>
            <a:off x="5595937" y="2329507"/>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clientData/>
  </xdr:twoCellAnchor>
  <xdr:twoCellAnchor>
    <xdr:from>
      <xdr:col>3</xdr:col>
      <xdr:colOff>198383</xdr:colOff>
      <xdr:row>7</xdr:row>
      <xdr:rowOff>158969</xdr:rowOff>
    </xdr:from>
    <xdr:to>
      <xdr:col>3</xdr:col>
      <xdr:colOff>255563</xdr:colOff>
      <xdr:row>13</xdr:row>
      <xdr:rowOff>133895</xdr:rowOff>
    </xdr:to>
    <xdr:grpSp>
      <xdr:nvGrpSpPr>
        <xdr:cNvPr id="83" name="Grupo 82">
          <a:extLst>
            <a:ext uri="{FF2B5EF4-FFF2-40B4-BE49-F238E27FC236}">
              <a16:creationId xmlns:a16="http://schemas.microsoft.com/office/drawing/2014/main" id="{00000000-0008-0000-0C00-000053000000}"/>
            </a:ext>
          </a:extLst>
        </xdr:cNvPr>
        <xdr:cNvGrpSpPr/>
      </xdr:nvGrpSpPr>
      <xdr:grpSpPr>
        <a:xfrm>
          <a:off x="2491903" y="1813311"/>
          <a:ext cx="57180" cy="1102887"/>
          <a:chOff x="5584477" y="1257300"/>
          <a:chExt cx="57180" cy="1117926"/>
        </a:xfrm>
      </xdr:grpSpPr>
      <xdr:sp macro="" textlink="">
        <xdr:nvSpPr>
          <xdr:cNvPr id="84" name="Elipse 83">
            <a:extLst>
              <a:ext uri="{FF2B5EF4-FFF2-40B4-BE49-F238E27FC236}">
                <a16:creationId xmlns:a16="http://schemas.microsoft.com/office/drawing/2014/main" id="{00000000-0008-0000-0C00-000054000000}"/>
              </a:ext>
            </a:extLst>
          </xdr:cNvPr>
          <xdr:cNvSpPr/>
        </xdr:nvSpPr>
        <xdr:spPr>
          <a:xfrm>
            <a:off x="5594029" y="1257300"/>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5" name="Elipse 84">
            <a:extLst>
              <a:ext uri="{FF2B5EF4-FFF2-40B4-BE49-F238E27FC236}">
                <a16:creationId xmlns:a16="http://schemas.microsoft.com/office/drawing/2014/main" id="{00000000-0008-0000-0C00-000055000000}"/>
              </a:ext>
            </a:extLst>
          </xdr:cNvPr>
          <xdr:cNvSpPr/>
        </xdr:nvSpPr>
        <xdr:spPr>
          <a:xfrm>
            <a:off x="5594030" y="1461103"/>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6" name="Elipse 85">
            <a:extLst>
              <a:ext uri="{FF2B5EF4-FFF2-40B4-BE49-F238E27FC236}">
                <a16:creationId xmlns:a16="http://schemas.microsoft.com/office/drawing/2014/main" id="{00000000-0008-0000-0C00-000056000000}"/>
              </a:ext>
            </a:extLst>
          </xdr:cNvPr>
          <xdr:cNvSpPr/>
        </xdr:nvSpPr>
        <xdr:spPr>
          <a:xfrm>
            <a:off x="5584477" y="16751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7" name="Elipse 86">
            <a:extLst>
              <a:ext uri="{FF2B5EF4-FFF2-40B4-BE49-F238E27FC236}">
                <a16:creationId xmlns:a16="http://schemas.microsoft.com/office/drawing/2014/main" id="{00000000-0008-0000-0C00-000057000000}"/>
              </a:ext>
            </a:extLst>
          </xdr:cNvPr>
          <xdr:cNvSpPr/>
        </xdr:nvSpPr>
        <xdr:spPr>
          <a:xfrm>
            <a:off x="5595938" y="1878975"/>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8" name="Elipse 87">
            <a:extLst>
              <a:ext uri="{FF2B5EF4-FFF2-40B4-BE49-F238E27FC236}">
                <a16:creationId xmlns:a16="http://schemas.microsoft.com/office/drawing/2014/main" id="{00000000-0008-0000-0C00-000058000000}"/>
              </a:ext>
            </a:extLst>
          </xdr:cNvPr>
          <xdr:cNvSpPr/>
        </xdr:nvSpPr>
        <xdr:spPr>
          <a:xfrm>
            <a:off x="5594030" y="20895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89" name="Elipse 88">
            <a:extLst>
              <a:ext uri="{FF2B5EF4-FFF2-40B4-BE49-F238E27FC236}">
                <a16:creationId xmlns:a16="http://schemas.microsoft.com/office/drawing/2014/main" id="{00000000-0008-0000-0C00-000059000000}"/>
              </a:ext>
            </a:extLst>
          </xdr:cNvPr>
          <xdr:cNvSpPr/>
        </xdr:nvSpPr>
        <xdr:spPr>
          <a:xfrm>
            <a:off x="5595937" y="2329507"/>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clientData/>
  </xdr:twoCellAnchor>
  <xdr:twoCellAnchor>
    <xdr:from>
      <xdr:col>3</xdr:col>
      <xdr:colOff>580697</xdr:colOff>
      <xdr:row>13</xdr:row>
      <xdr:rowOff>74886</xdr:rowOff>
    </xdr:from>
    <xdr:to>
      <xdr:col>3</xdr:col>
      <xdr:colOff>637877</xdr:colOff>
      <xdr:row>19</xdr:row>
      <xdr:rowOff>49812</xdr:rowOff>
    </xdr:to>
    <xdr:grpSp>
      <xdr:nvGrpSpPr>
        <xdr:cNvPr id="90" name="Grupo 89">
          <a:extLst>
            <a:ext uri="{FF2B5EF4-FFF2-40B4-BE49-F238E27FC236}">
              <a16:creationId xmlns:a16="http://schemas.microsoft.com/office/drawing/2014/main" id="{00000000-0008-0000-0C00-00005A000000}"/>
            </a:ext>
          </a:extLst>
        </xdr:cNvPr>
        <xdr:cNvGrpSpPr/>
      </xdr:nvGrpSpPr>
      <xdr:grpSpPr>
        <a:xfrm>
          <a:off x="2874217" y="2857189"/>
          <a:ext cx="57180" cy="1102886"/>
          <a:chOff x="5584477" y="1257300"/>
          <a:chExt cx="57180" cy="1117926"/>
        </a:xfrm>
      </xdr:grpSpPr>
      <xdr:sp macro="" textlink="">
        <xdr:nvSpPr>
          <xdr:cNvPr id="91" name="Elipse 90">
            <a:extLst>
              <a:ext uri="{FF2B5EF4-FFF2-40B4-BE49-F238E27FC236}">
                <a16:creationId xmlns:a16="http://schemas.microsoft.com/office/drawing/2014/main" id="{00000000-0008-0000-0C00-00005B000000}"/>
              </a:ext>
            </a:extLst>
          </xdr:cNvPr>
          <xdr:cNvSpPr/>
        </xdr:nvSpPr>
        <xdr:spPr>
          <a:xfrm>
            <a:off x="5594029" y="1257300"/>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92" name="Elipse 91">
            <a:extLst>
              <a:ext uri="{FF2B5EF4-FFF2-40B4-BE49-F238E27FC236}">
                <a16:creationId xmlns:a16="http://schemas.microsoft.com/office/drawing/2014/main" id="{00000000-0008-0000-0C00-00005C000000}"/>
              </a:ext>
            </a:extLst>
          </xdr:cNvPr>
          <xdr:cNvSpPr/>
        </xdr:nvSpPr>
        <xdr:spPr>
          <a:xfrm>
            <a:off x="5594030" y="1461103"/>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93" name="Elipse 92">
            <a:extLst>
              <a:ext uri="{FF2B5EF4-FFF2-40B4-BE49-F238E27FC236}">
                <a16:creationId xmlns:a16="http://schemas.microsoft.com/office/drawing/2014/main" id="{00000000-0008-0000-0C00-00005D000000}"/>
              </a:ext>
            </a:extLst>
          </xdr:cNvPr>
          <xdr:cNvSpPr/>
        </xdr:nvSpPr>
        <xdr:spPr>
          <a:xfrm>
            <a:off x="5584477" y="16751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94" name="Elipse 93">
            <a:extLst>
              <a:ext uri="{FF2B5EF4-FFF2-40B4-BE49-F238E27FC236}">
                <a16:creationId xmlns:a16="http://schemas.microsoft.com/office/drawing/2014/main" id="{00000000-0008-0000-0C00-00005E000000}"/>
              </a:ext>
            </a:extLst>
          </xdr:cNvPr>
          <xdr:cNvSpPr/>
        </xdr:nvSpPr>
        <xdr:spPr>
          <a:xfrm>
            <a:off x="5595938" y="1878975"/>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95" name="Elipse 94">
            <a:extLst>
              <a:ext uri="{FF2B5EF4-FFF2-40B4-BE49-F238E27FC236}">
                <a16:creationId xmlns:a16="http://schemas.microsoft.com/office/drawing/2014/main" id="{00000000-0008-0000-0C00-00005F000000}"/>
              </a:ext>
            </a:extLst>
          </xdr:cNvPr>
          <xdr:cNvSpPr/>
        </xdr:nvSpPr>
        <xdr:spPr>
          <a:xfrm>
            <a:off x="5594030" y="20895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96" name="Elipse 95">
            <a:extLst>
              <a:ext uri="{FF2B5EF4-FFF2-40B4-BE49-F238E27FC236}">
                <a16:creationId xmlns:a16="http://schemas.microsoft.com/office/drawing/2014/main" id="{00000000-0008-0000-0C00-000060000000}"/>
              </a:ext>
            </a:extLst>
          </xdr:cNvPr>
          <xdr:cNvSpPr/>
        </xdr:nvSpPr>
        <xdr:spPr>
          <a:xfrm>
            <a:off x="5595937" y="2329507"/>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clientData/>
  </xdr:twoCellAnchor>
  <xdr:twoCellAnchor>
    <xdr:from>
      <xdr:col>3</xdr:col>
      <xdr:colOff>201011</xdr:colOff>
      <xdr:row>13</xdr:row>
      <xdr:rowOff>89338</xdr:rowOff>
    </xdr:from>
    <xdr:to>
      <xdr:col>3</xdr:col>
      <xdr:colOff>258191</xdr:colOff>
      <xdr:row>19</xdr:row>
      <xdr:rowOff>64264</xdr:rowOff>
    </xdr:to>
    <xdr:grpSp>
      <xdr:nvGrpSpPr>
        <xdr:cNvPr id="97" name="Grupo 96">
          <a:extLst>
            <a:ext uri="{FF2B5EF4-FFF2-40B4-BE49-F238E27FC236}">
              <a16:creationId xmlns:a16="http://schemas.microsoft.com/office/drawing/2014/main" id="{00000000-0008-0000-0C00-000061000000}"/>
            </a:ext>
          </a:extLst>
        </xdr:cNvPr>
        <xdr:cNvGrpSpPr/>
      </xdr:nvGrpSpPr>
      <xdr:grpSpPr>
        <a:xfrm>
          <a:off x="2494531" y="2871641"/>
          <a:ext cx="57180" cy="1102886"/>
          <a:chOff x="5584477" y="1257300"/>
          <a:chExt cx="57180" cy="1117926"/>
        </a:xfrm>
      </xdr:grpSpPr>
      <xdr:sp macro="" textlink="">
        <xdr:nvSpPr>
          <xdr:cNvPr id="98" name="Elipse 97">
            <a:extLst>
              <a:ext uri="{FF2B5EF4-FFF2-40B4-BE49-F238E27FC236}">
                <a16:creationId xmlns:a16="http://schemas.microsoft.com/office/drawing/2014/main" id="{00000000-0008-0000-0C00-000062000000}"/>
              </a:ext>
            </a:extLst>
          </xdr:cNvPr>
          <xdr:cNvSpPr/>
        </xdr:nvSpPr>
        <xdr:spPr>
          <a:xfrm>
            <a:off x="5594029" y="1257300"/>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99" name="Elipse 98">
            <a:extLst>
              <a:ext uri="{FF2B5EF4-FFF2-40B4-BE49-F238E27FC236}">
                <a16:creationId xmlns:a16="http://schemas.microsoft.com/office/drawing/2014/main" id="{00000000-0008-0000-0C00-000063000000}"/>
              </a:ext>
            </a:extLst>
          </xdr:cNvPr>
          <xdr:cNvSpPr/>
        </xdr:nvSpPr>
        <xdr:spPr>
          <a:xfrm>
            <a:off x="5594030" y="1461103"/>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00" name="Elipse 99">
            <a:extLst>
              <a:ext uri="{FF2B5EF4-FFF2-40B4-BE49-F238E27FC236}">
                <a16:creationId xmlns:a16="http://schemas.microsoft.com/office/drawing/2014/main" id="{00000000-0008-0000-0C00-000064000000}"/>
              </a:ext>
            </a:extLst>
          </xdr:cNvPr>
          <xdr:cNvSpPr/>
        </xdr:nvSpPr>
        <xdr:spPr>
          <a:xfrm>
            <a:off x="5584477" y="16751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01" name="Elipse 100">
            <a:extLst>
              <a:ext uri="{FF2B5EF4-FFF2-40B4-BE49-F238E27FC236}">
                <a16:creationId xmlns:a16="http://schemas.microsoft.com/office/drawing/2014/main" id="{00000000-0008-0000-0C00-000065000000}"/>
              </a:ext>
            </a:extLst>
          </xdr:cNvPr>
          <xdr:cNvSpPr/>
        </xdr:nvSpPr>
        <xdr:spPr>
          <a:xfrm>
            <a:off x="5595938" y="1878975"/>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02" name="Elipse 101">
            <a:extLst>
              <a:ext uri="{FF2B5EF4-FFF2-40B4-BE49-F238E27FC236}">
                <a16:creationId xmlns:a16="http://schemas.microsoft.com/office/drawing/2014/main" id="{00000000-0008-0000-0C00-000066000000}"/>
              </a:ext>
            </a:extLst>
          </xdr:cNvPr>
          <xdr:cNvSpPr/>
        </xdr:nvSpPr>
        <xdr:spPr>
          <a:xfrm>
            <a:off x="5594030" y="2089572"/>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103" name="Elipse 102">
            <a:extLst>
              <a:ext uri="{FF2B5EF4-FFF2-40B4-BE49-F238E27FC236}">
                <a16:creationId xmlns:a16="http://schemas.microsoft.com/office/drawing/2014/main" id="{00000000-0008-0000-0C00-000067000000}"/>
              </a:ext>
            </a:extLst>
          </xdr:cNvPr>
          <xdr:cNvSpPr/>
        </xdr:nvSpPr>
        <xdr:spPr>
          <a:xfrm>
            <a:off x="5595937" y="2329507"/>
            <a:ext cx="45719" cy="45719"/>
          </a:xfrm>
          <a:prstGeom prst="ellipse">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grpSp>
    <xdr:clientData/>
  </xdr:twoCellAnchor>
  <xdr:twoCellAnchor>
    <xdr:from>
      <xdr:col>3</xdr:col>
      <xdr:colOff>157655</xdr:colOff>
      <xdr:row>7</xdr:row>
      <xdr:rowOff>105103</xdr:rowOff>
    </xdr:from>
    <xdr:to>
      <xdr:col>3</xdr:col>
      <xdr:colOff>157655</xdr:colOff>
      <xdr:row>19</xdr:row>
      <xdr:rowOff>183931</xdr:rowOff>
    </xdr:to>
    <xdr:cxnSp macro="">
      <xdr:nvCxnSpPr>
        <xdr:cNvPr id="124" name="Conector recto 123">
          <a:extLst>
            <a:ext uri="{FF2B5EF4-FFF2-40B4-BE49-F238E27FC236}">
              <a16:creationId xmlns:a16="http://schemas.microsoft.com/office/drawing/2014/main" id="{00000000-0008-0000-0C00-00007C000000}"/>
            </a:ext>
          </a:extLst>
        </xdr:cNvPr>
        <xdr:cNvCxnSpPr/>
      </xdr:nvCxnSpPr>
      <xdr:spPr>
        <a:xfrm>
          <a:off x="2443655" y="676603"/>
          <a:ext cx="0" cy="23648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671348</xdr:colOff>
      <xdr:row>7</xdr:row>
      <xdr:rowOff>86710</xdr:rowOff>
    </xdr:from>
    <xdr:to>
      <xdr:col>3</xdr:col>
      <xdr:colOff>671348</xdr:colOff>
      <xdr:row>19</xdr:row>
      <xdr:rowOff>165538</xdr:rowOff>
    </xdr:to>
    <xdr:cxnSp macro="">
      <xdr:nvCxnSpPr>
        <xdr:cNvPr id="125" name="Conector recto 124">
          <a:extLst>
            <a:ext uri="{FF2B5EF4-FFF2-40B4-BE49-F238E27FC236}">
              <a16:creationId xmlns:a16="http://schemas.microsoft.com/office/drawing/2014/main" id="{00000000-0008-0000-0C00-00007D000000}"/>
            </a:ext>
          </a:extLst>
        </xdr:cNvPr>
        <xdr:cNvCxnSpPr/>
      </xdr:nvCxnSpPr>
      <xdr:spPr>
        <a:xfrm>
          <a:off x="2957348" y="658210"/>
          <a:ext cx="0" cy="23648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605118</xdr:colOff>
      <xdr:row>20</xdr:row>
      <xdr:rowOff>120714</xdr:rowOff>
    </xdr:from>
    <xdr:to>
      <xdr:col>7</xdr:col>
      <xdr:colOff>33618</xdr:colOff>
      <xdr:row>20</xdr:row>
      <xdr:rowOff>120714</xdr:rowOff>
    </xdr:to>
    <xdr:cxnSp macro="">
      <xdr:nvCxnSpPr>
        <xdr:cNvPr id="128" name="Conector recto 127">
          <a:extLst>
            <a:ext uri="{FF2B5EF4-FFF2-40B4-BE49-F238E27FC236}">
              <a16:creationId xmlns:a16="http://schemas.microsoft.com/office/drawing/2014/main" id="{00000000-0008-0000-0C00-000080000000}"/>
            </a:ext>
          </a:extLst>
        </xdr:cNvPr>
        <xdr:cNvCxnSpPr>
          <a:cxnSpLocks/>
        </xdr:cNvCxnSpPr>
      </xdr:nvCxnSpPr>
      <xdr:spPr>
        <a:xfrm flipH="1">
          <a:off x="2891118" y="3168714"/>
          <a:ext cx="2476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611842</xdr:colOff>
      <xdr:row>24</xdr:row>
      <xdr:rowOff>71408</xdr:rowOff>
    </xdr:from>
    <xdr:to>
      <xdr:col>7</xdr:col>
      <xdr:colOff>40342</xdr:colOff>
      <xdr:row>24</xdr:row>
      <xdr:rowOff>71408</xdr:rowOff>
    </xdr:to>
    <xdr:cxnSp macro="">
      <xdr:nvCxnSpPr>
        <xdr:cNvPr id="133" name="Conector recto 132">
          <a:extLst>
            <a:ext uri="{FF2B5EF4-FFF2-40B4-BE49-F238E27FC236}">
              <a16:creationId xmlns:a16="http://schemas.microsoft.com/office/drawing/2014/main" id="{00000000-0008-0000-0C00-000085000000}"/>
            </a:ext>
          </a:extLst>
        </xdr:cNvPr>
        <xdr:cNvCxnSpPr>
          <a:cxnSpLocks/>
        </xdr:cNvCxnSpPr>
      </xdr:nvCxnSpPr>
      <xdr:spPr>
        <a:xfrm flipH="1">
          <a:off x="2897842" y="3881408"/>
          <a:ext cx="2476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588065</xdr:colOff>
      <xdr:row>6</xdr:row>
      <xdr:rowOff>107674</xdr:rowOff>
    </xdr:from>
    <xdr:to>
      <xdr:col>5</xdr:col>
      <xdr:colOff>704022</xdr:colOff>
      <xdr:row>7</xdr:row>
      <xdr:rowOff>173935</xdr:rowOff>
    </xdr:to>
    <xdr:cxnSp macro="">
      <xdr:nvCxnSpPr>
        <xdr:cNvPr id="135" name="Conector: angular 134">
          <a:extLst>
            <a:ext uri="{FF2B5EF4-FFF2-40B4-BE49-F238E27FC236}">
              <a16:creationId xmlns:a16="http://schemas.microsoft.com/office/drawing/2014/main" id="{00000000-0008-0000-0C00-000087000000}"/>
            </a:ext>
          </a:extLst>
        </xdr:cNvPr>
        <xdr:cNvCxnSpPr/>
      </xdr:nvCxnSpPr>
      <xdr:spPr>
        <a:xfrm flipV="1">
          <a:off x="2874065" y="488674"/>
          <a:ext cx="1639957" cy="256761"/>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674204</xdr:colOff>
      <xdr:row>8</xdr:row>
      <xdr:rowOff>91109</xdr:rowOff>
    </xdr:from>
    <xdr:to>
      <xdr:col>5</xdr:col>
      <xdr:colOff>737152</xdr:colOff>
      <xdr:row>9</xdr:row>
      <xdr:rowOff>61291</xdr:rowOff>
    </xdr:to>
    <xdr:cxnSp macro="">
      <xdr:nvCxnSpPr>
        <xdr:cNvPr id="139" name="Conector: angular 138">
          <a:extLst>
            <a:ext uri="{FF2B5EF4-FFF2-40B4-BE49-F238E27FC236}">
              <a16:creationId xmlns:a16="http://schemas.microsoft.com/office/drawing/2014/main" id="{00000000-0008-0000-0C00-00008B000000}"/>
            </a:ext>
          </a:extLst>
        </xdr:cNvPr>
        <xdr:cNvCxnSpPr/>
      </xdr:nvCxnSpPr>
      <xdr:spPr>
        <a:xfrm flipV="1">
          <a:off x="2960204" y="853109"/>
          <a:ext cx="1586948" cy="160682"/>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670891</xdr:colOff>
      <xdr:row>16</xdr:row>
      <xdr:rowOff>123825</xdr:rowOff>
    </xdr:from>
    <xdr:to>
      <xdr:col>7</xdr:col>
      <xdr:colOff>0</xdr:colOff>
      <xdr:row>20</xdr:row>
      <xdr:rowOff>115957</xdr:rowOff>
    </xdr:to>
    <xdr:cxnSp macro="">
      <xdr:nvCxnSpPr>
        <xdr:cNvPr id="142" name="Conector: angular 141">
          <a:extLst>
            <a:ext uri="{FF2B5EF4-FFF2-40B4-BE49-F238E27FC236}">
              <a16:creationId xmlns:a16="http://schemas.microsoft.com/office/drawing/2014/main" id="{00000000-0008-0000-0C00-00008E000000}"/>
            </a:ext>
          </a:extLst>
        </xdr:cNvPr>
        <xdr:cNvCxnSpPr/>
      </xdr:nvCxnSpPr>
      <xdr:spPr>
        <a:xfrm flipV="1">
          <a:off x="4480891" y="3495675"/>
          <a:ext cx="853109" cy="754132"/>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626222</xdr:colOff>
      <xdr:row>14</xdr:row>
      <xdr:rowOff>78829</xdr:rowOff>
    </xdr:from>
    <xdr:to>
      <xdr:col>6</xdr:col>
      <xdr:colOff>670035</xdr:colOff>
      <xdr:row>21</xdr:row>
      <xdr:rowOff>31876</xdr:rowOff>
    </xdr:to>
    <xdr:cxnSp macro="">
      <xdr:nvCxnSpPr>
        <xdr:cNvPr id="150" name="Conector: angular 149">
          <a:extLst>
            <a:ext uri="{FF2B5EF4-FFF2-40B4-BE49-F238E27FC236}">
              <a16:creationId xmlns:a16="http://schemas.microsoft.com/office/drawing/2014/main" id="{00000000-0008-0000-0C00-000096000000}"/>
            </a:ext>
          </a:extLst>
        </xdr:cNvPr>
        <xdr:cNvCxnSpPr/>
      </xdr:nvCxnSpPr>
      <xdr:spPr>
        <a:xfrm rot="5400000" flipH="1" flipV="1">
          <a:off x="4195855" y="2224196"/>
          <a:ext cx="1286547" cy="805813"/>
        </a:xfrm>
        <a:prstGeom prst="bentConnector3">
          <a:avLst>
            <a:gd name="adj1" fmla="val 99527"/>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472523</xdr:colOff>
      <xdr:row>1</xdr:row>
      <xdr:rowOff>44726</xdr:rowOff>
    </xdr:from>
    <xdr:to>
      <xdr:col>1</xdr:col>
      <xdr:colOff>589624</xdr:colOff>
      <xdr:row>2</xdr:row>
      <xdr:rowOff>111401</xdr:rowOff>
    </xdr:to>
    <xdr:sp macro="" textlink="">
      <xdr:nvSpPr>
        <xdr:cNvPr id="155" name="Rectángulo: esquinas redondeadas 154">
          <a:hlinkClick xmlns:r="http://schemas.openxmlformats.org/officeDocument/2006/relationships" r:id="rId1"/>
          <a:extLst>
            <a:ext uri="{FF2B5EF4-FFF2-40B4-BE49-F238E27FC236}">
              <a16:creationId xmlns:a16="http://schemas.microsoft.com/office/drawing/2014/main" id="{00000000-0008-0000-0C00-00009B000000}"/>
            </a:ext>
          </a:extLst>
        </xdr:cNvPr>
        <xdr:cNvSpPr/>
      </xdr:nvSpPr>
      <xdr:spPr>
        <a:xfrm>
          <a:off x="472523" y="244751"/>
          <a:ext cx="879101"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122466</xdr:colOff>
      <xdr:row>11</xdr:row>
      <xdr:rowOff>40822</xdr:rowOff>
    </xdr:from>
    <xdr:to>
      <xdr:col>12</xdr:col>
      <xdr:colOff>666752</xdr:colOff>
      <xdr:row>23</xdr:row>
      <xdr:rowOff>85304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6437430" y="2027465"/>
          <a:ext cx="2068286" cy="2738696"/>
        </a:xfrm>
        <a:prstGeom prst="rect">
          <a:avLst/>
        </a:prstGeom>
      </xdr:spPr>
    </xdr:pic>
    <xdr:clientData/>
  </xdr:twoCellAnchor>
  <xdr:oneCellAnchor>
    <xdr:from>
      <xdr:col>2</xdr:col>
      <xdr:colOff>680198</xdr:colOff>
      <xdr:row>10</xdr:row>
      <xdr:rowOff>175932</xdr:rowOff>
    </xdr:from>
    <xdr:ext cx="65" cy="172227"/>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2734877" y="214896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p>
      </xdr:txBody>
    </xdr:sp>
    <xdr:clientData/>
  </xdr:oneCellAnchor>
  <xdr:oneCellAnchor>
    <xdr:from>
      <xdr:col>2</xdr:col>
      <xdr:colOff>661147</xdr:colOff>
      <xdr:row>19</xdr:row>
      <xdr:rowOff>190500</xdr:rowOff>
    </xdr:from>
    <xdr:ext cx="185435" cy="187872"/>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2709022" y="4061114"/>
              <a:ext cx="18543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s-MX" sz="1200" b="0" i="1">
                            <a:latin typeface="Cambria Math" panose="02040503050406030204" pitchFamily="18" charset="0"/>
                            <a:ea typeface="Cambria Math" panose="02040503050406030204" pitchFamily="18" charset="0"/>
                          </a:rPr>
                        </m:ctrlPr>
                      </m:sSubSupPr>
                      <m:e>
                        <m:r>
                          <a:rPr lang="es-MX" sz="1200" b="0" i="1">
                            <a:latin typeface="Cambria Math" panose="02040503050406030204" pitchFamily="18" charset="0"/>
                            <a:ea typeface="Cambria Math" panose="02040503050406030204" pitchFamily="18" charset="0"/>
                          </a:rPr>
                          <m:t>𝐶</m:t>
                        </m:r>
                      </m:e>
                      <m:sub>
                        <m:r>
                          <a:rPr lang="es-MX" sz="1200" b="0" i="1">
                            <a:latin typeface="Cambria Math" panose="02040503050406030204" pitchFamily="18" charset="0"/>
                            <a:ea typeface="Cambria Math" panose="02040503050406030204" pitchFamily="18" charset="0"/>
                          </a:rPr>
                          <m:t>1</m:t>
                        </m:r>
                      </m:sub>
                      <m:sup>
                        <m:r>
                          <a:rPr lang="es-MX" sz="1200" b="0" i="1">
                            <a:latin typeface="Cambria Math" panose="02040503050406030204" pitchFamily="18" charset="0"/>
                            <a:ea typeface="Cambria Math" panose="02040503050406030204" pitchFamily="18" charset="0"/>
                          </a:rPr>
                          <m:t>′</m:t>
                        </m:r>
                      </m:sup>
                    </m:sSubSup>
                  </m:oMath>
                </m:oMathPara>
              </a14:m>
              <a:endParaRPr lang="es-CO" sz="1050"/>
            </a:p>
          </xdr:txBody>
        </xdr:sp>
      </mc:Choice>
      <mc:Fallback xmlns="">
        <xdr:sp macro="" textlink="">
          <xdr:nvSpPr>
            <xdr:cNvPr id="9" name="CuadroTexto 8">
              <a:extLst>
                <a:ext uri="{FF2B5EF4-FFF2-40B4-BE49-F238E27FC236}">
                  <a16:creationId xmlns:a16="http://schemas.microsoft.com/office/drawing/2014/main" id="{31DFF97B-EDD2-466F-9467-BE7AF7D3D626}"/>
                </a:ext>
              </a:extLst>
            </xdr:cNvPr>
            <xdr:cNvSpPr txBox="1"/>
          </xdr:nvSpPr>
          <xdr:spPr>
            <a:xfrm>
              <a:off x="2709022" y="4061114"/>
              <a:ext cx="18543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200" b="0" i="0">
                  <a:latin typeface="Cambria Math" panose="02040503050406030204" pitchFamily="18" charset="0"/>
                  <a:ea typeface="Cambria Math" panose="02040503050406030204" pitchFamily="18" charset="0"/>
                </a:rPr>
                <a:t>𝐶_1^′</a:t>
              </a:r>
              <a:endParaRPr lang="es-CO" sz="1050"/>
            </a:p>
          </xdr:txBody>
        </xdr:sp>
      </mc:Fallback>
    </mc:AlternateContent>
    <xdr:clientData/>
  </xdr:oneCellAnchor>
  <xdr:oneCellAnchor>
    <xdr:from>
      <xdr:col>2</xdr:col>
      <xdr:colOff>656665</xdr:colOff>
      <xdr:row>20</xdr:row>
      <xdr:rowOff>186018</xdr:rowOff>
    </xdr:from>
    <xdr:ext cx="207749" cy="187872"/>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2707341" y="4276165"/>
              <a:ext cx="20774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10" name="CuadroTexto 9">
              <a:extLst>
                <a:ext uri="{FF2B5EF4-FFF2-40B4-BE49-F238E27FC236}">
                  <a16:creationId xmlns:a16="http://schemas.microsoft.com/office/drawing/2014/main" id="{5E5D875F-0C29-4B55-861C-1727E18A6E98}"/>
                </a:ext>
              </a:extLst>
            </xdr:cNvPr>
            <xdr:cNvSpPr txBox="1"/>
          </xdr:nvSpPr>
          <xdr:spPr>
            <a:xfrm>
              <a:off x="2707341" y="4276165"/>
              <a:ext cx="20774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_1</a:t>
              </a:r>
              <a:endParaRPr lang="es-CO" sz="1050"/>
            </a:p>
          </xdr:txBody>
        </xdr:sp>
      </mc:Fallback>
    </mc:AlternateContent>
    <xdr:clientData/>
  </xdr:oneCellAnchor>
  <xdr:oneCellAnchor>
    <xdr:from>
      <xdr:col>2</xdr:col>
      <xdr:colOff>652183</xdr:colOff>
      <xdr:row>22</xdr:row>
      <xdr:rowOff>2242</xdr:rowOff>
    </xdr:from>
    <xdr:ext cx="178382" cy="187872"/>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200-00000B000000}"/>
                </a:ext>
              </a:extLst>
            </xdr:cNvPr>
            <xdr:cNvSpPr txBox="1"/>
          </xdr:nvSpPr>
          <xdr:spPr>
            <a:xfrm>
              <a:off x="2700058" y="4453015"/>
              <a:ext cx="1783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11" name="CuadroTexto 10">
              <a:extLst>
                <a:ext uri="{FF2B5EF4-FFF2-40B4-BE49-F238E27FC236}">
                  <a16:creationId xmlns:a16="http://schemas.microsoft.com/office/drawing/2014/main" id="{4830255F-0D53-4ADE-99E7-9CF034BD182C}"/>
                </a:ext>
              </a:extLst>
            </xdr:cNvPr>
            <xdr:cNvSpPr txBox="1"/>
          </xdr:nvSpPr>
          <xdr:spPr>
            <a:xfrm>
              <a:off x="2700058" y="4453015"/>
              <a:ext cx="1783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200" b="0" i="0">
                  <a:latin typeface="Cambria Math" panose="02040503050406030204" pitchFamily="18" charset="0"/>
                  <a:ea typeface="Cambria Math" panose="02040503050406030204" pitchFamily="18" charset="0"/>
                </a:rPr>
                <a:t>𝛾_1</a:t>
              </a:r>
              <a:endParaRPr lang="es-CO" sz="1050"/>
            </a:p>
          </xdr:txBody>
        </xdr:sp>
      </mc:Fallback>
    </mc:AlternateContent>
    <xdr:clientData/>
  </xdr:oneCellAnchor>
  <xdr:oneCellAnchor>
    <xdr:from>
      <xdr:col>2</xdr:col>
      <xdr:colOff>658906</xdr:colOff>
      <xdr:row>22</xdr:row>
      <xdr:rowOff>177053</xdr:rowOff>
    </xdr:from>
    <xdr:ext cx="239681" cy="187872"/>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2706781" y="4627826"/>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𝑆</m:t>
                        </m:r>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12" name="CuadroTexto 11">
              <a:extLst>
                <a:ext uri="{FF2B5EF4-FFF2-40B4-BE49-F238E27FC236}">
                  <a16:creationId xmlns:a16="http://schemas.microsoft.com/office/drawing/2014/main" id="{8B339E79-12FF-4A11-A905-6CD7B3A58E1A}"/>
                </a:ext>
              </a:extLst>
            </xdr:cNvPr>
            <xdr:cNvSpPr txBox="1"/>
          </xdr:nvSpPr>
          <xdr:spPr>
            <a:xfrm>
              <a:off x="2706781" y="4627826"/>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200" b="0" i="0">
                  <a:latin typeface="Cambria Math" panose="02040503050406030204" pitchFamily="18" charset="0"/>
                  <a:ea typeface="Cambria Math" panose="02040503050406030204" pitchFamily="18" charset="0"/>
                </a:rPr>
                <a:t>𝛾_𝑆1</a:t>
              </a:r>
              <a:endParaRPr lang="es-CO" sz="1050"/>
            </a:p>
          </xdr:txBody>
        </xdr:sp>
      </mc:Fallback>
    </mc:AlternateContent>
    <xdr:clientData/>
  </xdr:oneCellAnchor>
  <xdr:oneCellAnchor>
    <xdr:from>
      <xdr:col>2</xdr:col>
      <xdr:colOff>610770</xdr:colOff>
      <xdr:row>26</xdr:row>
      <xdr:rowOff>0</xdr:rowOff>
    </xdr:from>
    <xdr:ext cx="189026" cy="187872"/>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200-00000D000000}"/>
                </a:ext>
              </a:extLst>
            </xdr:cNvPr>
            <xdr:cNvSpPr txBox="1"/>
          </xdr:nvSpPr>
          <xdr:spPr>
            <a:xfrm>
              <a:off x="2658645" y="5230091"/>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s-MX" sz="1200" b="0" i="1">
                            <a:latin typeface="Cambria Math" panose="02040503050406030204" pitchFamily="18" charset="0"/>
                            <a:ea typeface="Cambria Math" panose="02040503050406030204" pitchFamily="18" charset="0"/>
                          </a:rPr>
                        </m:ctrlPr>
                      </m:sSubSupPr>
                      <m:e>
                        <m:r>
                          <a:rPr lang="es-MX" sz="1200" b="0" i="1">
                            <a:latin typeface="Cambria Math" panose="02040503050406030204" pitchFamily="18" charset="0"/>
                            <a:ea typeface="Cambria Math" panose="02040503050406030204" pitchFamily="18" charset="0"/>
                          </a:rPr>
                          <m:t>𝐶</m:t>
                        </m:r>
                      </m:e>
                      <m:sub>
                        <m:r>
                          <a:rPr lang="es-MX" sz="1200" b="0" i="1">
                            <a:latin typeface="Cambria Math" panose="02040503050406030204" pitchFamily="18" charset="0"/>
                            <a:ea typeface="Cambria Math" panose="02040503050406030204" pitchFamily="18" charset="0"/>
                          </a:rPr>
                          <m:t>2</m:t>
                        </m:r>
                      </m:sub>
                      <m:sup>
                        <m:r>
                          <a:rPr lang="es-MX" sz="1200" b="0" i="1">
                            <a:latin typeface="Cambria Math" panose="02040503050406030204" pitchFamily="18" charset="0"/>
                            <a:ea typeface="Cambria Math" panose="02040503050406030204" pitchFamily="18" charset="0"/>
                          </a:rPr>
                          <m:t>′</m:t>
                        </m:r>
                      </m:sup>
                    </m:sSubSup>
                  </m:oMath>
                </m:oMathPara>
              </a14:m>
              <a:endParaRPr lang="es-CO" sz="1050"/>
            </a:p>
          </xdr:txBody>
        </xdr:sp>
      </mc:Choice>
      <mc:Fallback xmlns="">
        <xdr:sp macro="" textlink="">
          <xdr:nvSpPr>
            <xdr:cNvPr id="13" name="CuadroTexto 12">
              <a:extLst>
                <a:ext uri="{FF2B5EF4-FFF2-40B4-BE49-F238E27FC236}">
                  <a16:creationId xmlns:a16="http://schemas.microsoft.com/office/drawing/2014/main" id="{96D60E69-C418-4F3D-A993-4AEDE4CCBB5D}"/>
                </a:ext>
              </a:extLst>
            </xdr:cNvPr>
            <xdr:cNvSpPr txBox="1"/>
          </xdr:nvSpPr>
          <xdr:spPr>
            <a:xfrm>
              <a:off x="2658645" y="5230091"/>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200" b="0" i="0">
                  <a:latin typeface="Cambria Math" panose="02040503050406030204" pitchFamily="18" charset="0"/>
                  <a:ea typeface="Cambria Math" panose="02040503050406030204" pitchFamily="18" charset="0"/>
                </a:rPr>
                <a:t>𝐶_2^′</a:t>
              </a:r>
              <a:endParaRPr lang="es-CO" sz="1050"/>
            </a:p>
          </xdr:txBody>
        </xdr:sp>
      </mc:Fallback>
    </mc:AlternateContent>
    <xdr:clientData/>
  </xdr:oneCellAnchor>
  <xdr:oneCellAnchor>
    <xdr:from>
      <xdr:col>2</xdr:col>
      <xdr:colOff>606288</xdr:colOff>
      <xdr:row>26</xdr:row>
      <xdr:rowOff>194677</xdr:rowOff>
    </xdr:from>
    <xdr:ext cx="211340" cy="187872"/>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2654163" y="5424768"/>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14" name="CuadroTexto 13">
              <a:extLst>
                <a:ext uri="{FF2B5EF4-FFF2-40B4-BE49-F238E27FC236}">
                  <a16:creationId xmlns:a16="http://schemas.microsoft.com/office/drawing/2014/main" id="{A1034045-5A7B-4504-87EC-36697946BC37}"/>
                </a:ext>
              </a:extLst>
            </xdr:cNvPr>
            <xdr:cNvSpPr txBox="1"/>
          </xdr:nvSpPr>
          <xdr:spPr>
            <a:xfrm>
              <a:off x="2654163" y="5424768"/>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_2</a:t>
              </a:r>
              <a:endParaRPr lang="es-CO" sz="1050"/>
            </a:p>
          </xdr:txBody>
        </xdr:sp>
      </mc:Fallback>
    </mc:AlternateContent>
    <xdr:clientData/>
  </xdr:oneCellAnchor>
  <xdr:oneCellAnchor>
    <xdr:from>
      <xdr:col>2</xdr:col>
      <xdr:colOff>601806</xdr:colOff>
      <xdr:row>28</xdr:row>
      <xdr:rowOff>2242</xdr:rowOff>
    </xdr:from>
    <xdr:ext cx="181973" cy="187872"/>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2649681" y="5621992"/>
              <a:ext cx="18197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15" name="CuadroTexto 14">
              <a:extLst>
                <a:ext uri="{FF2B5EF4-FFF2-40B4-BE49-F238E27FC236}">
                  <a16:creationId xmlns:a16="http://schemas.microsoft.com/office/drawing/2014/main" id="{D1EE2E2D-6923-4593-AA06-868C629B1574}"/>
                </a:ext>
              </a:extLst>
            </xdr:cNvPr>
            <xdr:cNvSpPr txBox="1"/>
          </xdr:nvSpPr>
          <xdr:spPr>
            <a:xfrm>
              <a:off x="2649681" y="5621992"/>
              <a:ext cx="18197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200" b="0" i="0">
                  <a:latin typeface="Cambria Math" panose="02040503050406030204" pitchFamily="18" charset="0"/>
                  <a:ea typeface="Cambria Math" panose="02040503050406030204" pitchFamily="18" charset="0"/>
                </a:rPr>
                <a:t>𝛾_2</a:t>
              </a:r>
              <a:endParaRPr lang="es-CO" sz="1050"/>
            </a:p>
          </xdr:txBody>
        </xdr:sp>
      </mc:Fallback>
    </mc:AlternateContent>
    <xdr:clientData/>
  </xdr:oneCellAnchor>
  <xdr:oneCellAnchor>
    <xdr:from>
      <xdr:col>2</xdr:col>
      <xdr:colOff>608529</xdr:colOff>
      <xdr:row>28</xdr:row>
      <xdr:rowOff>177053</xdr:rowOff>
    </xdr:from>
    <xdr:ext cx="239681" cy="187872"/>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2656404" y="5796803"/>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𝑆</m:t>
                        </m:r>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16" name="CuadroTexto 15">
              <a:extLst>
                <a:ext uri="{FF2B5EF4-FFF2-40B4-BE49-F238E27FC236}">
                  <a16:creationId xmlns:a16="http://schemas.microsoft.com/office/drawing/2014/main" id="{2A07B028-DAD4-4F26-8931-FA37E3006C55}"/>
                </a:ext>
              </a:extLst>
            </xdr:cNvPr>
            <xdr:cNvSpPr txBox="1"/>
          </xdr:nvSpPr>
          <xdr:spPr>
            <a:xfrm>
              <a:off x="2656404" y="5796803"/>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200" b="0" i="0">
                  <a:latin typeface="Cambria Math" panose="02040503050406030204" pitchFamily="18" charset="0"/>
                  <a:ea typeface="Cambria Math" panose="02040503050406030204" pitchFamily="18" charset="0"/>
                </a:rPr>
                <a:t>𝛾_𝑆2</a:t>
              </a:r>
              <a:endParaRPr lang="es-CO" sz="1050"/>
            </a:p>
          </xdr:txBody>
        </xdr:sp>
      </mc:Fallback>
    </mc:AlternateContent>
    <xdr:clientData/>
  </xdr:oneCellAnchor>
  <xdr:oneCellAnchor>
    <xdr:from>
      <xdr:col>2</xdr:col>
      <xdr:colOff>599004</xdr:colOff>
      <xdr:row>32</xdr:row>
      <xdr:rowOff>177053</xdr:rowOff>
    </xdr:from>
    <xdr:ext cx="167675" cy="187872"/>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2646879" y="6387353"/>
              <a:ext cx="16767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𝑐</m:t>
                        </m:r>
                      </m:sub>
                    </m:sSub>
                  </m:oMath>
                </m:oMathPara>
              </a14:m>
              <a:endParaRPr lang="es-CO" sz="1050"/>
            </a:p>
          </xdr:txBody>
        </xdr:sp>
      </mc:Choice>
      <mc:Fallback xmlns="">
        <xdr:sp macro="" textlink="">
          <xdr:nvSpPr>
            <xdr:cNvPr id="17" name="CuadroTexto 16">
              <a:extLst>
                <a:ext uri="{FF2B5EF4-FFF2-40B4-BE49-F238E27FC236}">
                  <a16:creationId xmlns:a16="http://schemas.microsoft.com/office/drawing/2014/main" id="{474A64E1-8CBC-468E-A231-81895DCE224E}"/>
                </a:ext>
              </a:extLst>
            </xdr:cNvPr>
            <xdr:cNvSpPr txBox="1"/>
          </xdr:nvSpPr>
          <xdr:spPr>
            <a:xfrm>
              <a:off x="2646879" y="6387353"/>
              <a:ext cx="16767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200" b="0" i="0">
                  <a:latin typeface="Cambria Math" panose="02040503050406030204" pitchFamily="18" charset="0"/>
                  <a:ea typeface="Cambria Math" panose="02040503050406030204" pitchFamily="18" charset="0"/>
                </a:rPr>
                <a:t>𝛾_𝑐</a:t>
              </a:r>
              <a:endParaRPr lang="es-CO" sz="1050"/>
            </a:p>
          </xdr:txBody>
        </xdr:sp>
      </mc:Fallback>
    </mc:AlternateContent>
    <xdr:clientData/>
  </xdr:oneCellAnchor>
  <xdr:oneCellAnchor>
    <xdr:from>
      <xdr:col>2</xdr:col>
      <xdr:colOff>1288257</xdr:colOff>
      <xdr:row>36</xdr:row>
      <xdr:rowOff>214313</xdr:rowOff>
    </xdr:from>
    <xdr:ext cx="202107" cy="187872"/>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3336132" y="8036719"/>
              <a:ext cx="202107"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𝑤</m:t>
                        </m:r>
                      </m:sub>
                    </m:sSub>
                  </m:oMath>
                </m:oMathPara>
              </a14:m>
              <a:endParaRPr lang="es-CO" sz="1050"/>
            </a:p>
          </xdr:txBody>
        </xdr:sp>
      </mc:Choice>
      <mc:Fallback xmlns="">
        <xdr:sp macro="" textlink="">
          <xdr:nvSpPr>
            <xdr:cNvPr id="18" name="CuadroTexto 17">
              <a:extLst>
                <a:ext uri="{FF2B5EF4-FFF2-40B4-BE49-F238E27FC236}">
                  <a16:creationId xmlns:a16="http://schemas.microsoft.com/office/drawing/2014/main" id="{00000000-0008-0000-0100-000012000000}"/>
                </a:ext>
              </a:extLst>
            </xdr:cNvPr>
            <xdr:cNvSpPr txBox="1"/>
          </xdr:nvSpPr>
          <xdr:spPr>
            <a:xfrm>
              <a:off x="3336132" y="8036719"/>
              <a:ext cx="202107"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𝛾_𝑤</a:t>
              </a:r>
              <a:endParaRPr lang="es-CO" sz="1050"/>
            </a:p>
          </xdr:txBody>
        </xdr:sp>
      </mc:Fallback>
    </mc:AlternateContent>
    <xdr:clientData/>
  </xdr:oneCellAnchor>
  <xdr:twoCellAnchor editAs="oneCell">
    <xdr:from>
      <xdr:col>2</xdr:col>
      <xdr:colOff>180975</xdr:colOff>
      <xdr:row>45</xdr:row>
      <xdr:rowOff>76199</xdr:rowOff>
    </xdr:from>
    <xdr:to>
      <xdr:col>4</xdr:col>
      <xdr:colOff>98256</xdr:colOff>
      <xdr:row>67</xdr:row>
      <xdr:rowOff>128427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438" t="2339" r="3167" b="-1"/>
        <a:stretch/>
      </xdr:blipFill>
      <xdr:spPr>
        <a:xfrm>
          <a:off x="2225104" y="9355047"/>
          <a:ext cx="3449023" cy="4301020"/>
        </a:xfrm>
        <a:prstGeom prst="rect">
          <a:avLst/>
        </a:prstGeom>
        <a:ln>
          <a:solidFill>
            <a:schemeClr val="tx1"/>
          </a:solidFill>
        </a:ln>
      </xdr:spPr>
    </xdr:pic>
    <xdr:clientData/>
  </xdr:twoCellAnchor>
  <xdr:twoCellAnchor editAs="oneCell">
    <xdr:from>
      <xdr:col>8</xdr:col>
      <xdr:colOff>255494</xdr:colOff>
      <xdr:row>50</xdr:row>
      <xdr:rowOff>115981</xdr:rowOff>
    </xdr:from>
    <xdr:to>
      <xdr:col>8</xdr:col>
      <xdr:colOff>4668289</xdr:colOff>
      <xdr:row>58</xdr:row>
      <xdr:rowOff>114300</xdr:rowOff>
    </xdr:to>
    <xdr:pic>
      <xdr:nvPicPr>
        <xdr:cNvPr id="4" name="Imagen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95347" y="10660716"/>
          <a:ext cx="4412795"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206188</xdr:colOff>
      <xdr:row>0</xdr:row>
      <xdr:rowOff>147918</xdr:rowOff>
    </xdr:from>
    <xdr:to>
      <xdr:col>1</xdr:col>
      <xdr:colOff>1130113</xdr:colOff>
      <xdr:row>2</xdr:row>
      <xdr:rowOff>1681</xdr:rowOff>
    </xdr:to>
    <xdr:sp macro="" textlink="">
      <xdr:nvSpPr>
        <xdr:cNvPr id="7" name="Rectángulo: esquinas redondeadas 6">
          <a:hlinkClick xmlns:r="http://schemas.openxmlformats.org/officeDocument/2006/relationships" r:id="rId4"/>
          <a:extLst>
            <a:ext uri="{FF2B5EF4-FFF2-40B4-BE49-F238E27FC236}">
              <a16:creationId xmlns:a16="http://schemas.microsoft.com/office/drawing/2014/main" id="{00000000-0008-0000-0200-000007000000}"/>
            </a:ext>
          </a:extLst>
        </xdr:cNvPr>
        <xdr:cNvSpPr/>
      </xdr:nvSpPr>
      <xdr:spPr>
        <a:xfrm>
          <a:off x="968188" y="147918"/>
          <a:ext cx="923925"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oneCellAnchor>
    <xdr:from>
      <xdr:col>4</xdr:col>
      <xdr:colOff>37367</xdr:colOff>
      <xdr:row>79</xdr:row>
      <xdr:rowOff>158262</xdr:rowOff>
    </xdr:from>
    <xdr:ext cx="65" cy="172227"/>
    <xdr:sp macro="" textlink="">
      <xdr:nvSpPr>
        <xdr:cNvPr id="20" name="CuadroTexto 19">
          <a:extLst>
            <a:ext uri="{FF2B5EF4-FFF2-40B4-BE49-F238E27FC236}">
              <a16:creationId xmlns:a16="http://schemas.microsoft.com/office/drawing/2014/main" id="{00000000-0008-0000-0200-000014000000}"/>
            </a:ext>
          </a:extLst>
        </xdr:cNvPr>
        <xdr:cNvSpPr txBox="1"/>
      </xdr:nvSpPr>
      <xdr:spPr>
        <a:xfrm>
          <a:off x="4330944" y="15830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p>
      </xdr:txBody>
    </xdr:sp>
    <xdr:clientData/>
  </xdr:oneCellAnchor>
  <xdr:oneCellAnchor>
    <xdr:from>
      <xdr:col>4</xdr:col>
      <xdr:colOff>37367</xdr:colOff>
      <xdr:row>79</xdr:row>
      <xdr:rowOff>158262</xdr:rowOff>
    </xdr:from>
    <xdr:ext cx="65" cy="172227"/>
    <xdr:sp macro="" textlink="">
      <xdr:nvSpPr>
        <xdr:cNvPr id="21" name="CuadroTexto 20">
          <a:extLst>
            <a:ext uri="{FF2B5EF4-FFF2-40B4-BE49-F238E27FC236}">
              <a16:creationId xmlns:a16="http://schemas.microsoft.com/office/drawing/2014/main" id="{00000000-0008-0000-0200-000015000000}"/>
            </a:ext>
          </a:extLst>
        </xdr:cNvPr>
        <xdr:cNvSpPr txBox="1"/>
      </xdr:nvSpPr>
      <xdr:spPr>
        <a:xfrm>
          <a:off x="4330944" y="15830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p>
      </xdr:txBody>
    </xdr:sp>
    <xdr:clientData/>
  </xdr:oneCellAnchor>
  <xdr:twoCellAnchor>
    <xdr:from>
      <xdr:col>5</xdr:col>
      <xdr:colOff>611378</xdr:colOff>
      <xdr:row>81</xdr:row>
      <xdr:rowOff>14026</xdr:rowOff>
    </xdr:from>
    <xdr:to>
      <xdr:col>8</xdr:col>
      <xdr:colOff>2099653</xdr:colOff>
      <xdr:row>93</xdr:row>
      <xdr:rowOff>54919</xdr:rowOff>
    </xdr:to>
    <xdr:grpSp>
      <xdr:nvGrpSpPr>
        <xdr:cNvPr id="29" name="Grupo 28">
          <a:extLst>
            <a:ext uri="{FF2B5EF4-FFF2-40B4-BE49-F238E27FC236}">
              <a16:creationId xmlns:a16="http://schemas.microsoft.com/office/drawing/2014/main" id="{00000000-0008-0000-0200-00001D000000}"/>
            </a:ext>
          </a:extLst>
        </xdr:cNvPr>
        <xdr:cNvGrpSpPr/>
      </xdr:nvGrpSpPr>
      <xdr:grpSpPr>
        <a:xfrm>
          <a:off x="6947108" y="16324251"/>
          <a:ext cx="3767854" cy="2352578"/>
          <a:chOff x="2182134" y="15909378"/>
          <a:chExt cx="3774275" cy="2326893"/>
        </a:xfrm>
      </xdr:grpSpPr>
      <xdr:pic>
        <xdr:nvPicPr>
          <xdr:cNvPr id="19" name="Imagen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5"/>
          <a:srcRect l="6497" t="5420" r="3107"/>
          <a:stretch/>
        </xdr:blipFill>
        <xdr:spPr>
          <a:xfrm>
            <a:off x="2906766" y="15909378"/>
            <a:ext cx="3049643" cy="2326893"/>
          </a:xfrm>
          <a:prstGeom prst="rect">
            <a:avLst/>
          </a:prstGeom>
          <a:ln>
            <a:solidFill>
              <a:schemeClr val="tx1"/>
            </a:solidFill>
          </a:ln>
        </xdr:spPr>
      </xdr:pic>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2182134" y="17162282"/>
                <a:ext cx="541459" cy="182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ea typeface="Cambria Math" panose="02040503050406030204" pitchFamily="18" charset="0"/>
                            </a:rPr>
                          </m:ctrlPr>
                        </m:sSubPr>
                        <m:e>
                          <m:r>
                            <a:rPr lang="es-CO" sz="1100" i="1">
                              <a:latin typeface="Cambria Math" panose="02040503050406030204" pitchFamily="18" charset="0"/>
                              <a:ea typeface="Cambria Math" panose="02040503050406030204" pitchFamily="18" charset="0"/>
                            </a:rPr>
                            <m:t>𝜃</m:t>
                          </m:r>
                        </m:e>
                        <m:sub>
                          <m:r>
                            <a:rPr lang="en-US" sz="1100" b="0" i="1">
                              <a:latin typeface="Cambria Math" panose="02040503050406030204" pitchFamily="18" charset="0"/>
                              <a:ea typeface="Cambria Math" panose="02040503050406030204" pitchFamily="18" charset="0"/>
                            </a:rPr>
                            <m:t>𝑖𝑚𝑝𝑎𝑐𝑡𝑜</m:t>
                          </m:r>
                        </m:sub>
                      </m:sSub>
                    </m:oMath>
                  </m:oMathPara>
                </a14:m>
                <a:endParaRPr lang="es-CO" sz="1100"/>
              </a:p>
            </xdr:txBody>
          </xdr:sp>
        </mc:Choice>
        <mc:Fallback xmlns="">
          <xdr:sp macro="" textlink="">
            <xdr:nvSpPr>
              <xdr:cNvPr id="22" name="CuadroTexto 21">
                <a:extLst>
                  <a:ext uri="{FF2B5EF4-FFF2-40B4-BE49-F238E27FC236}">
                    <a16:creationId xmlns:a16="http://schemas.microsoft.com/office/drawing/2014/main" id="{1E8AC00E-E4A3-8E1B-5925-CEF70FFED59B}"/>
                  </a:ext>
                </a:extLst>
              </xdr:cNvPr>
              <xdr:cNvSpPr txBox="1"/>
            </xdr:nvSpPr>
            <xdr:spPr>
              <a:xfrm>
                <a:off x="2182134" y="17162282"/>
                <a:ext cx="541459" cy="182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CO" sz="1100" i="0">
                    <a:latin typeface="Cambria Math" panose="02040503050406030204" pitchFamily="18" charset="0"/>
                    <a:ea typeface="Cambria Math" panose="02040503050406030204" pitchFamily="18" charset="0"/>
                  </a:rPr>
                  <a:t>𝜃</a:t>
                </a:r>
                <a:r>
                  <a:rPr lang="en-US" sz="1100" b="0" i="0">
                    <a:latin typeface="Cambria Math" panose="02040503050406030204" pitchFamily="18" charset="0"/>
                    <a:ea typeface="Cambria Math" panose="02040503050406030204" pitchFamily="18" charset="0"/>
                  </a:rPr>
                  <a:t>_𝑖𝑚𝑝𝑎𝑐𝑡𝑜</a:t>
                </a:r>
                <a:endParaRPr lang="es-CO" sz="1100"/>
              </a:p>
            </xdr:txBody>
          </xdr:sp>
        </mc:Fallback>
      </mc:AlternateContent>
      <xdr:cxnSp macro="">
        <xdr:nvCxnSpPr>
          <xdr:cNvPr id="24" name="Conector: curvado 23">
            <a:extLst>
              <a:ext uri="{FF2B5EF4-FFF2-40B4-BE49-F238E27FC236}">
                <a16:creationId xmlns:a16="http://schemas.microsoft.com/office/drawing/2014/main" id="{00000000-0008-0000-0200-000018000000}"/>
              </a:ext>
            </a:extLst>
          </xdr:cNvPr>
          <xdr:cNvCxnSpPr/>
        </xdr:nvCxnSpPr>
        <xdr:spPr>
          <a:xfrm rot="10800000" flipV="1">
            <a:off x="2745580" y="16806193"/>
            <a:ext cx="622785" cy="483577"/>
          </a:xfrm>
          <a:prstGeom prst="curved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161365</xdr:colOff>
      <xdr:row>3</xdr:row>
      <xdr:rowOff>44263</xdr:rowOff>
    </xdr:from>
    <xdr:to>
      <xdr:col>1</xdr:col>
      <xdr:colOff>1085290</xdr:colOff>
      <xdr:row>4</xdr:row>
      <xdr:rowOff>110421</xdr:rowOff>
    </xdr:to>
    <xdr:sp macro="" textlink="">
      <xdr:nvSpPr>
        <xdr:cNvPr id="5" name="Rectángulo: esquinas redondeadas 4">
          <a:hlinkClick xmlns:r="http://schemas.openxmlformats.org/officeDocument/2006/relationships" r:id="rId6"/>
          <a:extLst>
            <a:ext uri="{FF2B5EF4-FFF2-40B4-BE49-F238E27FC236}">
              <a16:creationId xmlns:a16="http://schemas.microsoft.com/office/drawing/2014/main" id="{00000000-0008-0000-0200-000005000000}"/>
            </a:ext>
          </a:extLst>
        </xdr:cNvPr>
        <xdr:cNvSpPr/>
      </xdr:nvSpPr>
      <xdr:spPr>
        <a:xfrm>
          <a:off x="923365" y="649381"/>
          <a:ext cx="923925" cy="256658"/>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RESULTADOS</a:t>
          </a:r>
        </a:p>
      </xdr:txBody>
    </xdr:sp>
    <xdr:clientData/>
  </xdr:twoCellAnchor>
  <xdr:twoCellAnchor>
    <xdr:from>
      <xdr:col>1</xdr:col>
      <xdr:colOff>151279</xdr:colOff>
      <xdr:row>5</xdr:row>
      <xdr:rowOff>41322</xdr:rowOff>
    </xdr:from>
    <xdr:to>
      <xdr:col>1</xdr:col>
      <xdr:colOff>1120588</xdr:colOff>
      <xdr:row>6</xdr:row>
      <xdr:rowOff>123264</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00000000-0008-0000-0200-000017000000}"/>
            </a:ext>
          </a:extLst>
        </xdr:cNvPr>
        <xdr:cNvSpPr/>
      </xdr:nvSpPr>
      <xdr:spPr>
        <a:xfrm>
          <a:off x="913279" y="1027440"/>
          <a:ext cx="969309" cy="272442"/>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DIMENSIONES</a:t>
          </a:r>
        </a:p>
      </xdr:txBody>
    </xdr:sp>
    <xdr:clientData/>
  </xdr:twoCellAnchor>
  <xdr:oneCellAnchor>
    <xdr:from>
      <xdr:col>2</xdr:col>
      <xdr:colOff>1336933</xdr:colOff>
      <xdr:row>11</xdr:row>
      <xdr:rowOff>13607</xdr:rowOff>
    </xdr:from>
    <xdr:ext cx="116186" cy="164404"/>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8F8C3AED-3884-40F2-AC42-D1EA15A8D24B}"/>
                </a:ext>
              </a:extLst>
            </xdr:cNvPr>
            <xdr:cNvSpPr txBox="1"/>
          </xdr:nvSpPr>
          <xdr:spPr>
            <a:xfrm>
              <a:off x="3391612" y="2190750"/>
              <a:ext cx="116186"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050" b="0" i="1">
                        <a:latin typeface="Cambria Math" panose="02040503050406030204" pitchFamily="18" charset="0"/>
                      </a:rPr>
                      <m:t>𝛽</m:t>
                    </m:r>
                  </m:oMath>
                </m:oMathPara>
              </a14:m>
              <a:endParaRPr lang="es-CO" sz="1050"/>
            </a:p>
          </xdr:txBody>
        </xdr:sp>
      </mc:Choice>
      <mc:Fallback xmlns="">
        <xdr:sp macro="" textlink="">
          <xdr:nvSpPr>
            <xdr:cNvPr id="6" name="CuadroTexto 5">
              <a:extLst>
                <a:ext uri="{FF2B5EF4-FFF2-40B4-BE49-F238E27FC236}">
                  <a16:creationId xmlns:a16="http://schemas.microsoft.com/office/drawing/2014/main" id="{8F8C3AED-3884-40F2-AC42-D1EA15A8D24B}"/>
                </a:ext>
              </a:extLst>
            </xdr:cNvPr>
            <xdr:cNvSpPr txBox="1"/>
          </xdr:nvSpPr>
          <xdr:spPr>
            <a:xfrm>
              <a:off x="3391612" y="2190750"/>
              <a:ext cx="116186"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050" b="0" i="0">
                  <a:latin typeface="Cambria Math" panose="02040503050406030204" pitchFamily="18" charset="0"/>
                </a:rPr>
                <a:t>𝛽</a:t>
              </a:r>
              <a:endParaRPr lang="es-CO" sz="1050"/>
            </a:p>
          </xdr:txBody>
        </xdr:sp>
      </mc:Fallback>
    </mc:AlternateContent>
    <xdr:clientData/>
  </xdr:oneCellAnchor>
  <xdr:oneCellAnchor>
    <xdr:from>
      <xdr:col>2</xdr:col>
      <xdr:colOff>1322146</xdr:colOff>
      <xdr:row>17</xdr:row>
      <xdr:rowOff>10332</xdr:rowOff>
    </xdr:from>
    <xdr:ext cx="168444" cy="172227"/>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B9095F5A-352D-5ABA-41E7-F4DB7D5E265A}"/>
                </a:ext>
              </a:extLst>
            </xdr:cNvPr>
            <xdr:cNvSpPr txBox="1"/>
          </xdr:nvSpPr>
          <xdr:spPr>
            <a:xfrm>
              <a:off x="3369576" y="3633393"/>
              <a:ext cx="16844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𝜃</m:t>
                        </m:r>
                      </m:e>
                      <m:sub>
                        <m:r>
                          <a:rPr lang="es-ES" sz="1100" b="0" i="0">
                            <a:latin typeface="Cambria Math" panose="02040503050406030204" pitchFamily="18" charset="0"/>
                          </a:rPr>
                          <m:t>1</m:t>
                        </m:r>
                      </m:sub>
                    </m:sSub>
                  </m:oMath>
                </m:oMathPara>
              </a14:m>
              <a:endParaRPr lang="es-ES" sz="1100" b="0"/>
            </a:p>
          </xdr:txBody>
        </xdr:sp>
      </mc:Choice>
      <mc:Fallback xmlns="">
        <xdr:sp macro="" textlink="">
          <xdr:nvSpPr>
            <xdr:cNvPr id="25" name="CuadroTexto 24">
              <a:extLst>
                <a:ext uri="{FF2B5EF4-FFF2-40B4-BE49-F238E27FC236}">
                  <a16:creationId xmlns:a16="http://schemas.microsoft.com/office/drawing/2014/main" id="{B9095F5A-352D-5ABA-41E7-F4DB7D5E265A}"/>
                </a:ext>
              </a:extLst>
            </xdr:cNvPr>
            <xdr:cNvSpPr txBox="1"/>
          </xdr:nvSpPr>
          <xdr:spPr>
            <a:xfrm>
              <a:off x="3369576" y="3633393"/>
              <a:ext cx="16844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100" b="0" i="0">
                  <a:latin typeface="Cambria Math" panose="02040503050406030204" pitchFamily="18" charset="0"/>
                </a:rPr>
                <a:t>𝜃_1</a:t>
              </a:r>
              <a:endParaRPr lang="es-ES" sz="1100" b="0"/>
            </a:p>
          </xdr:txBody>
        </xdr:sp>
      </mc:Fallback>
    </mc:AlternateContent>
    <xdr:clientData/>
  </xdr:oneCellAnchor>
  <xdr:oneCellAnchor>
    <xdr:from>
      <xdr:col>2</xdr:col>
      <xdr:colOff>645604</xdr:colOff>
      <xdr:row>30</xdr:row>
      <xdr:rowOff>10332</xdr:rowOff>
    </xdr:from>
    <xdr:ext cx="171714" cy="172227"/>
    <mc:AlternateContent xmlns:mc="http://schemas.openxmlformats.org/markup-compatibility/2006" xmlns:a14="http://schemas.microsoft.com/office/drawing/2010/main">
      <mc:Choice Requires="a14">
        <xdr:sp macro="" textlink="">
          <xdr:nvSpPr>
            <xdr:cNvPr id="2075" name="CuadroTexto 2074">
              <a:extLst>
                <a:ext uri="{FF2B5EF4-FFF2-40B4-BE49-F238E27FC236}">
                  <a16:creationId xmlns:a16="http://schemas.microsoft.com/office/drawing/2014/main" id="{62CE41D6-629F-4F58-B074-876EF5DDFE11}"/>
                </a:ext>
              </a:extLst>
            </xdr:cNvPr>
            <xdr:cNvSpPr txBox="1"/>
          </xdr:nvSpPr>
          <xdr:spPr>
            <a:xfrm>
              <a:off x="2693034" y="6108112"/>
              <a:ext cx="17171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100" b="0" i="1">
                            <a:latin typeface="Cambria Math" panose="02040503050406030204" pitchFamily="18" charset="0"/>
                          </a:rPr>
                        </m:ctrlPr>
                      </m:sSubPr>
                      <m:e>
                        <m:r>
                          <a:rPr lang="es-ES" sz="1100" b="0" i="1">
                            <a:latin typeface="Cambria Math" panose="02040503050406030204" pitchFamily="18" charset="0"/>
                          </a:rPr>
                          <m:t>𝜃</m:t>
                        </m:r>
                      </m:e>
                      <m:sub>
                        <m:r>
                          <a:rPr lang="es-ES" sz="1100" b="0" i="0">
                            <a:latin typeface="Cambria Math" panose="02040503050406030204" pitchFamily="18" charset="0"/>
                          </a:rPr>
                          <m:t>2</m:t>
                        </m:r>
                      </m:sub>
                    </m:sSub>
                  </m:oMath>
                </m:oMathPara>
              </a14:m>
              <a:endParaRPr lang="es-ES" sz="1100" b="0"/>
            </a:p>
          </xdr:txBody>
        </xdr:sp>
      </mc:Choice>
      <mc:Fallback xmlns="">
        <xdr:sp macro="" textlink="">
          <xdr:nvSpPr>
            <xdr:cNvPr id="2075" name="CuadroTexto 2074">
              <a:extLst>
                <a:ext uri="{FF2B5EF4-FFF2-40B4-BE49-F238E27FC236}">
                  <a16:creationId xmlns:a16="http://schemas.microsoft.com/office/drawing/2014/main" id="{62CE41D6-629F-4F58-B074-876EF5DDFE11}"/>
                </a:ext>
              </a:extLst>
            </xdr:cNvPr>
            <xdr:cNvSpPr txBox="1"/>
          </xdr:nvSpPr>
          <xdr:spPr>
            <a:xfrm>
              <a:off x="2693034" y="6108112"/>
              <a:ext cx="17171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100" b="0" i="0">
                  <a:latin typeface="Cambria Math" panose="02040503050406030204" pitchFamily="18" charset="0"/>
                </a:rPr>
                <a:t>𝜃_2</a:t>
              </a:r>
              <a:endParaRPr lang="es-ES" sz="1100" b="0"/>
            </a:p>
          </xdr:txBody>
        </xdr:sp>
      </mc:Fallback>
    </mc:AlternateContent>
    <xdr:clientData/>
  </xdr:oneCellAnchor>
  <xdr:oneCellAnchor>
    <xdr:from>
      <xdr:col>1</xdr:col>
      <xdr:colOff>294714</xdr:colOff>
      <xdr:row>106</xdr:row>
      <xdr:rowOff>6927</xdr:rowOff>
    </xdr:from>
    <xdr:ext cx="189026" cy="187872"/>
    <mc:AlternateContent xmlns:mc="http://schemas.openxmlformats.org/markup-compatibility/2006" xmlns:a14="http://schemas.microsoft.com/office/drawing/2010/main">
      <mc:Choice Requires="a14">
        <xdr:sp macro="" textlink="">
          <xdr:nvSpPr>
            <xdr:cNvPr id="2076" name="CuadroTexto 2075">
              <a:extLst>
                <a:ext uri="{FF2B5EF4-FFF2-40B4-BE49-F238E27FC236}">
                  <a16:creationId xmlns:a16="http://schemas.microsoft.com/office/drawing/2014/main" id="{C7431C3D-5603-4270-BB83-FC8FFD4555C9}"/>
                </a:ext>
              </a:extLst>
            </xdr:cNvPr>
            <xdr:cNvSpPr txBox="1"/>
          </xdr:nvSpPr>
          <xdr:spPr>
            <a:xfrm>
              <a:off x="4380939" y="1864302"/>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s-MX" sz="1200" b="0" i="1">
                            <a:latin typeface="Cambria Math" panose="02040503050406030204" pitchFamily="18" charset="0"/>
                            <a:ea typeface="Cambria Math" panose="02040503050406030204" pitchFamily="18" charset="0"/>
                          </a:rPr>
                        </m:ctrlPr>
                      </m:sSubSupPr>
                      <m:e>
                        <m:r>
                          <a:rPr lang="es-MX" sz="1200" b="0" i="1">
                            <a:latin typeface="Cambria Math" panose="02040503050406030204" pitchFamily="18" charset="0"/>
                            <a:ea typeface="Cambria Math" panose="02040503050406030204" pitchFamily="18" charset="0"/>
                          </a:rPr>
                          <m:t>𝐶</m:t>
                        </m:r>
                      </m:e>
                      <m:sub>
                        <m:r>
                          <a:rPr lang="es-ES" sz="1200" b="0" i="1">
                            <a:latin typeface="Cambria Math" panose="02040503050406030204" pitchFamily="18" charset="0"/>
                            <a:ea typeface="Cambria Math" panose="02040503050406030204" pitchFamily="18" charset="0"/>
                          </a:rPr>
                          <m:t>3</m:t>
                        </m:r>
                      </m:sub>
                      <m:sup>
                        <m:r>
                          <a:rPr lang="es-MX" sz="1200" b="0" i="1">
                            <a:latin typeface="Cambria Math" panose="02040503050406030204" pitchFamily="18" charset="0"/>
                            <a:ea typeface="Cambria Math" panose="02040503050406030204" pitchFamily="18" charset="0"/>
                          </a:rPr>
                          <m:t>′</m:t>
                        </m:r>
                      </m:sup>
                    </m:sSubSup>
                  </m:oMath>
                </m:oMathPara>
              </a14:m>
              <a:endParaRPr lang="es-CO" sz="1050"/>
            </a:p>
          </xdr:txBody>
        </xdr:sp>
      </mc:Choice>
      <mc:Fallback xmlns="">
        <xdr:sp macro="" textlink="">
          <xdr:nvSpPr>
            <xdr:cNvPr id="2076" name="CuadroTexto 2075">
              <a:extLst>
                <a:ext uri="{FF2B5EF4-FFF2-40B4-BE49-F238E27FC236}">
                  <a16:creationId xmlns:a16="http://schemas.microsoft.com/office/drawing/2014/main" id="{C7431C3D-5603-4270-BB83-FC8FFD4555C9}"/>
                </a:ext>
              </a:extLst>
            </xdr:cNvPr>
            <xdr:cNvSpPr txBox="1"/>
          </xdr:nvSpPr>
          <xdr:spPr>
            <a:xfrm>
              <a:off x="4380939" y="1864302"/>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𝐶_</a:t>
              </a:r>
              <a:r>
                <a:rPr lang="es-ES" sz="1200" b="0" i="0">
                  <a:latin typeface="Cambria Math" panose="02040503050406030204" pitchFamily="18" charset="0"/>
                  <a:ea typeface="Cambria Math" panose="02040503050406030204" pitchFamily="18" charset="0"/>
                </a:rPr>
                <a:t>3^</a:t>
              </a:r>
              <a:r>
                <a:rPr lang="es-MX" sz="1200" b="0" i="0">
                  <a:latin typeface="Cambria Math" panose="02040503050406030204" pitchFamily="18" charset="0"/>
                  <a:ea typeface="Cambria Math" panose="02040503050406030204" pitchFamily="18" charset="0"/>
                </a:rPr>
                <a:t>′</a:t>
              </a:r>
              <a:endParaRPr lang="es-CO" sz="1050"/>
            </a:p>
          </xdr:txBody>
        </xdr:sp>
      </mc:Fallback>
    </mc:AlternateContent>
    <xdr:clientData/>
  </xdr:oneCellAnchor>
  <xdr:oneCellAnchor>
    <xdr:from>
      <xdr:col>1</xdr:col>
      <xdr:colOff>290232</xdr:colOff>
      <xdr:row>107</xdr:row>
      <xdr:rowOff>11104</xdr:rowOff>
    </xdr:from>
    <xdr:ext cx="211340" cy="187872"/>
    <mc:AlternateContent xmlns:mc="http://schemas.openxmlformats.org/markup-compatibility/2006" xmlns:a14="http://schemas.microsoft.com/office/drawing/2010/main">
      <mc:Choice Requires="a14">
        <xdr:sp macro="" textlink="">
          <xdr:nvSpPr>
            <xdr:cNvPr id="2077" name="CuadroTexto 2076">
              <a:extLst>
                <a:ext uri="{FF2B5EF4-FFF2-40B4-BE49-F238E27FC236}">
                  <a16:creationId xmlns:a16="http://schemas.microsoft.com/office/drawing/2014/main" id="{A7E5FC81-63E4-45FF-A826-8E00119F38EE}"/>
                </a:ext>
              </a:extLst>
            </xdr:cNvPr>
            <xdr:cNvSpPr txBox="1"/>
          </xdr:nvSpPr>
          <xdr:spPr>
            <a:xfrm>
              <a:off x="4376457" y="2058979"/>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ES" sz="1200" b="0" i="1">
                            <a:latin typeface="Cambria Math" panose="02040503050406030204" pitchFamily="18" charset="0"/>
                            <a:ea typeface="Cambria Math" panose="02040503050406030204" pitchFamily="18" charset="0"/>
                          </a:rPr>
                          <m:t>3</m:t>
                        </m:r>
                      </m:sub>
                    </m:sSub>
                  </m:oMath>
                </m:oMathPara>
              </a14:m>
              <a:endParaRPr lang="es-CO" sz="1050"/>
            </a:p>
          </xdr:txBody>
        </xdr:sp>
      </mc:Choice>
      <mc:Fallback xmlns="">
        <xdr:sp macro="" textlink="">
          <xdr:nvSpPr>
            <xdr:cNvPr id="2077" name="CuadroTexto 2076">
              <a:extLst>
                <a:ext uri="{FF2B5EF4-FFF2-40B4-BE49-F238E27FC236}">
                  <a16:creationId xmlns:a16="http://schemas.microsoft.com/office/drawing/2014/main" id="{A7E5FC81-63E4-45FF-A826-8E00119F38EE}"/>
                </a:ext>
              </a:extLst>
            </xdr:cNvPr>
            <xdr:cNvSpPr txBox="1"/>
          </xdr:nvSpPr>
          <xdr:spPr>
            <a:xfrm>
              <a:off x="4376457" y="2058979"/>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a:t>
              </a:r>
              <a:r>
                <a:rPr lang="es-ES" sz="1200" b="0" i="0">
                  <a:latin typeface="Cambria Math" panose="02040503050406030204" pitchFamily="18" charset="0"/>
                  <a:ea typeface="Cambria Math" panose="02040503050406030204" pitchFamily="18" charset="0"/>
                </a:rPr>
                <a:t>3</a:t>
              </a:r>
              <a:endParaRPr lang="es-CO" sz="1050"/>
            </a:p>
          </xdr:txBody>
        </xdr:sp>
      </mc:Fallback>
    </mc:AlternateContent>
    <xdr:clientData/>
  </xdr:oneCellAnchor>
  <xdr:oneCellAnchor>
    <xdr:from>
      <xdr:col>1</xdr:col>
      <xdr:colOff>285750</xdr:colOff>
      <xdr:row>108</xdr:row>
      <xdr:rowOff>17828</xdr:rowOff>
    </xdr:from>
    <xdr:ext cx="181973" cy="187872"/>
    <mc:AlternateContent xmlns:mc="http://schemas.openxmlformats.org/markup-compatibility/2006" xmlns:a14="http://schemas.microsoft.com/office/drawing/2010/main">
      <mc:Choice Requires="a14">
        <xdr:sp macro="" textlink="">
          <xdr:nvSpPr>
            <xdr:cNvPr id="2078" name="CuadroTexto 2077">
              <a:extLst>
                <a:ext uri="{FF2B5EF4-FFF2-40B4-BE49-F238E27FC236}">
                  <a16:creationId xmlns:a16="http://schemas.microsoft.com/office/drawing/2014/main" id="{411305CB-A0AF-471F-9735-C1F3C3EC05E8}"/>
                </a:ext>
              </a:extLst>
            </xdr:cNvPr>
            <xdr:cNvSpPr txBox="1"/>
          </xdr:nvSpPr>
          <xdr:spPr>
            <a:xfrm>
              <a:off x="1051006" y="21355456"/>
              <a:ext cx="18197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ES" sz="1200" b="0" i="1">
                            <a:latin typeface="Cambria Math" panose="02040503050406030204" pitchFamily="18" charset="0"/>
                            <a:ea typeface="Cambria Math" panose="02040503050406030204" pitchFamily="18" charset="0"/>
                          </a:rPr>
                          <m:t>3</m:t>
                        </m:r>
                      </m:sub>
                    </m:sSub>
                  </m:oMath>
                </m:oMathPara>
              </a14:m>
              <a:endParaRPr lang="es-CO" sz="1050"/>
            </a:p>
          </xdr:txBody>
        </xdr:sp>
      </mc:Choice>
      <mc:Fallback xmlns="">
        <xdr:sp macro="" textlink="">
          <xdr:nvSpPr>
            <xdr:cNvPr id="2078" name="CuadroTexto 2077">
              <a:extLst>
                <a:ext uri="{FF2B5EF4-FFF2-40B4-BE49-F238E27FC236}">
                  <a16:creationId xmlns:a16="http://schemas.microsoft.com/office/drawing/2014/main" id="{411305CB-A0AF-471F-9735-C1F3C3EC05E8}"/>
                </a:ext>
              </a:extLst>
            </xdr:cNvPr>
            <xdr:cNvSpPr txBox="1"/>
          </xdr:nvSpPr>
          <xdr:spPr>
            <a:xfrm>
              <a:off x="1051006" y="21355456"/>
              <a:ext cx="18197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a:t>
              </a:r>
              <a:r>
                <a:rPr lang="es-ES" sz="1200" b="0" i="0">
                  <a:latin typeface="Cambria Math" panose="02040503050406030204" pitchFamily="18" charset="0"/>
                  <a:ea typeface="Cambria Math" panose="02040503050406030204" pitchFamily="18" charset="0"/>
                </a:rPr>
                <a:t>3</a:t>
              </a:r>
              <a:endParaRPr lang="es-CO" sz="105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2</xdr:col>
      <xdr:colOff>42016</xdr:colOff>
      <xdr:row>20</xdr:row>
      <xdr:rowOff>124736</xdr:rowOff>
    </xdr:from>
    <xdr:ext cx="1908920" cy="2657156"/>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79425" y="5883031"/>
          <a:ext cx="1908920" cy="2657156"/>
        </a:xfrm>
        <a:prstGeom prst="rect">
          <a:avLst/>
        </a:prstGeom>
        <a:ln w="28575">
          <a:solidFill>
            <a:schemeClr val="tx1"/>
          </a:solidFill>
        </a:ln>
      </xdr:spPr>
    </xdr:pic>
    <xdr:clientData/>
  </xdr:oneCellAnchor>
  <xdr:twoCellAnchor>
    <xdr:from>
      <xdr:col>0</xdr:col>
      <xdr:colOff>470647</xdr:colOff>
      <xdr:row>2</xdr:row>
      <xdr:rowOff>22412</xdr:rowOff>
    </xdr:from>
    <xdr:to>
      <xdr:col>1</xdr:col>
      <xdr:colOff>632572</xdr:colOff>
      <xdr:row>2</xdr:row>
      <xdr:rowOff>279587</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470647" y="414618"/>
          <a:ext cx="923925"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twoCellAnchor>
    <xdr:from>
      <xdr:col>0</xdr:col>
      <xdr:colOff>476250</xdr:colOff>
      <xdr:row>7</xdr:row>
      <xdr:rowOff>158751</xdr:rowOff>
    </xdr:from>
    <xdr:to>
      <xdr:col>1</xdr:col>
      <xdr:colOff>611281</xdr:colOff>
      <xdr:row>8</xdr:row>
      <xdr:rowOff>185507</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476250" y="1905001"/>
          <a:ext cx="897031" cy="259589"/>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INPUT</a:t>
          </a:r>
        </a:p>
      </xdr:txBody>
    </xdr:sp>
    <xdr:clientData/>
  </xdr:twoCellAnchor>
  <xdr:twoCellAnchor>
    <xdr:from>
      <xdr:col>0</xdr:col>
      <xdr:colOff>486833</xdr:colOff>
      <xdr:row>9</xdr:row>
      <xdr:rowOff>31750</xdr:rowOff>
    </xdr:from>
    <xdr:to>
      <xdr:col>1</xdr:col>
      <xdr:colOff>648758</xdr:colOff>
      <xdr:row>9</xdr:row>
      <xdr:rowOff>289108</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300-000006000000}"/>
            </a:ext>
          </a:extLst>
        </xdr:cNvPr>
        <xdr:cNvSpPr/>
      </xdr:nvSpPr>
      <xdr:spPr>
        <a:xfrm>
          <a:off x="486833" y="2391833"/>
          <a:ext cx="923925" cy="257358"/>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RESULTADOS</a:t>
          </a:r>
        </a:p>
      </xdr:txBody>
    </xdr:sp>
    <xdr:clientData/>
  </xdr:twoCellAnchor>
  <xdr:twoCellAnchor>
    <xdr:from>
      <xdr:col>6</xdr:col>
      <xdr:colOff>105833</xdr:colOff>
      <xdr:row>22</xdr:row>
      <xdr:rowOff>158750</xdr:rowOff>
    </xdr:from>
    <xdr:to>
      <xdr:col>6</xdr:col>
      <xdr:colOff>306916</xdr:colOff>
      <xdr:row>30</xdr:row>
      <xdr:rowOff>179917</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5429250" y="6350000"/>
          <a:ext cx="201083" cy="154516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592667</xdr:colOff>
      <xdr:row>30</xdr:row>
      <xdr:rowOff>169333</xdr:rowOff>
    </xdr:from>
    <xdr:to>
      <xdr:col>7</xdr:col>
      <xdr:colOff>497417</xdr:colOff>
      <xdr:row>32</xdr:row>
      <xdr:rowOff>10583</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5058834" y="7884583"/>
          <a:ext cx="1915583" cy="2222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63500</xdr:colOff>
      <xdr:row>22</xdr:row>
      <xdr:rowOff>74084</xdr:rowOff>
    </xdr:from>
    <xdr:to>
      <xdr:col>6</xdr:col>
      <xdr:colOff>338667</xdr:colOff>
      <xdr:row>22</xdr:row>
      <xdr:rowOff>74084</xdr:rowOff>
    </xdr:to>
    <xdr:cxnSp macro="">
      <xdr:nvCxnSpPr>
        <xdr:cNvPr id="12" name="Conector recto de flecha 11">
          <a:extLst>
            <a:ext uri="{FF2B5EF4-FFF2-40B4-BE49-F238E27FC236}">
              <a16:creationId xmlns:a16="http://schemas.microsoft.com/office/drawing/2014/main" id="{00000000-0008-0000-0300-00000C000000}"/>
            </a:ext>
          </a:extLst>
        </xdr:cNvPr>
        <xdr:cNvCxnSpPr/>
      </xdr:nvCxnSpPr>
      <xdr:spPr>
        <a:xfrm>
          <a:off x="5386917" y="6265334"/>
          <a:ext cx="275167"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624416</xdr:colOff>
      <xdr:row>23</xdr:row>
      <xdr:rowOff>31750</xdr:rowOff>
    </xdr:from>
    <xdr:to>
      <xdr:col>6</xdr:col>
      <xdr:colOff>624416</xdr:colOff>
      <xdr:row>25</xdr:row>
      <xdr:rowOff>179917</xdr:rowOff>
    </xdr:to>
    <xdr:cxnSp macro="">
      <xdr:nvCxnSpPr>
        <xdr:cNvPr id="14" name="Conector recto de flecha 13">
          <a:extLst>
            <a:ext uri="{FF2B5EF4-FFF2-40B4-BE49-F238E27FC236}">
              <a16:creationId xmlns:a16="http://schemas.microsoft.com/office/drawing/2014/main" id="{00000000-0008-0000-0300-00000E000000}"/>
            </a:ext>
          </a:extLst>
        </xdr:cNvPr>
        <xdr:cNvCxnSpPr/>
      </xdr:nvCxnSpPr>
      <xdr:spPr>
        <a:xfrm flipV="1">
          <a:off x="5852583" y="6413500"/>
          <a:ext cx="0" cy="5291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624416</xdr:colOff>
      <xdr:row>27</xdr:row>
      <xdr:rowOff>31750</xdr:rowOff>
    </xdr:from>
    <xdr:to>
      <xdr:col>6</xdr:col>
      <xdr:colOff>624416</xdr:colOff>
      <xdr:row>30</xdr:row>
      <xdr:rowOff>116417</xdr:rowOff>
    </xdr:to>
    <xdr:cxnSp macro="">
      <xdr:nvCxnSpPr>
        <xdr:cNvPr id="16" name="Conector recto de flecha 15">
          <a:extLst>
            <a:ext uri="{FF2B5EF4-FFF2-40B4-BE49-F238E27FC236}">
              <a16:creationId xmlns:a16="http://schemas.microsoft.com/office/drawing/2014/main" id="{00000000-0008-0000-0300-000010000000}"/>
            </a:ext>
          </a:extLst>
        </xdr:cNvPr>
        <xdr:cNvCxnSpPr/>
      </xdr:nvCxnSpPr>
      <xdr:spPr>
        <a:xfrm>
          <a:off x="5852583" y="7175500"/>
          <a:ext cx="0" cy="6561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349250</xdr:colOff>
      <xdr:row>30</xdr:row>
      <xdr:rowOff>95250</xdr:rowOff>
    </xdr:from>
    <xdr:to>
      <xdr:col>6</xdr:col>
      <xdr:colOff>603250</xdr:colOff>
      <xdr:row>30</xdr:row>
      <xdr:rowOff>95250</xdr:rowOff>
    </xdr:to>
    <xdr:cxnSp macro="">
      <xdr:nvCxnSpPr>
        <xdr:cNvPr id="18" name="Conector recto de flecha 17">
          <a:extLst>
            <a:ext uri="{FF2B5EF4-FFF2-40B4-BE49-F238E27FC236}">
              <a16:creationId xmlns:a16="http://schemas.microsoft.com/office/drawing/2014/main" id="{00000000-0008-0000-0300-000012000000}"/>
            </a:ext>
          </a:extLst>
        </xdr:cNvPr>
        <xdr:cNvCxnSpPr/>
      </xdr:nvCxnSpPr>
      <xdr:spPr>
        <a:xfrm flipH="1">
          <a:off x="5672667" y="7810500"/>
          <a:ext cx="254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10583</xdr:colOff>
      <xdr:row>30</xdr:row>
      <xdr:rowOff>95250</xdr:rowOff>
    </xdr:from>
    <xdr:to>
      <xdr:col>7</xdr:col>
      <xdr:colOff>518583</xdr:colOff>
      <xdr:row>30</xdr:row>
      <xdr:rowOff>95250</xdr:rowOff>
    </xdr:to>
    <xdr:cxnSp macro="">
      <xdr:nvCxnSpPr>
        <xdr:cNvPr id="20" name="Conector recto de flecha 19">
          <a:extLst>
            <a:ext uri="{FF2B5EF4-FFF2-40B4-BE49-F238E27FC236}">
              <a16:creationId xmlns:a16="http://schemas.microsoft.com/office/drawing/2014/main" id="{00000000-0008-0000-0300-000014000000}"/>
            </a:ext>
          </a:extLst>
        </xdr:cNvPr>
        <xdr:cNvCxnSpPr/>
      </xdr:nvCxnSpPr>
      <xdr:spPr>
        <a:xfrm>
          <a:off x="6508750" y="7810500"/>
          <a:ext cx="508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613833</xdr:colOff>
      <xdr:row>30</xdr:row>
      <xdr:rowOff>179917</xdr:rowOff>
    </xdr:from>
    <xdr:to>
      <xdr:col>7</xdr:col>
      <xdr:colOff>613833</xdr:colOff>
      <xdr:row>32</xdr:row>
      <xdr:rowOff>21167</xdr:rowOff>
    </xdr:to>
    <xdr:cxnSp macro="">
      <xdr:nvCxnSpPr>
        <xdr:cNvPr id="22" name="Conector recto de flecha 21">
          <a:extLst>
            <a:ext uri="{FF2B5EF4-FFF2-40B4-BE49-F238E27FC236}">
              <a16:creationId xmlns:a16="http://schemas.microsoft.com/office/drawing/2014/main" id="{00000000-0008-0000-0300-000016000000}"/>
            </a:ext>
          </a:extLst>
        </xdr:cNvPr>
        <xdr:cNvCxnSpPr/>
      </xdr:nvCxnSpPr>
      <xdr:spPr>
        <a:xfrm flipV="1">
          <a:off x="7090833" y="7895167"/>
          <a:ext cx="0" cy="296333"/>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910166</xdr:colOff>
      <xdr:row>32</xdr:row>
      <xdr:rowOff>105833</xdr:rowOff>
    </xdr:from>
    <xdr:to>
      <xdr:col>7</xdr:col>
      <xdr:colOff>476250</xdr:colOff>
      <xdr:row>32</xdr:row>
      <xdr:rowOff>105833</xdr:rowOff>
    </xdr:to>
    <xdr:cxnSp macro="">
      <xdr:nvCxnSpPr>
        <xdr:cNvPr id="23" name="Conector recto de flecha 22">
          <a:extLst>
            <a:ext uri="{FF2B5EF4-FFF2-40B4-BE49-F238E27FC236}">
              <a16:creationId xmlns:a16="http://schemas.microsoft.com/office/drawing/2014/main" id="{00000000-0008-0000-0300-000017000000}"/>
            </a:ext>
          </a:extLst>
        </xdr:cNvPr>
        <xdr:cNvCxnSpPr/>
      </xdr:nvCxnSpPr>
      <xdr:spPr>
        <a:xfrm>
          <a:off x="6233583" y="8276166"/>
          <a:ext cx="74083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624416</xdr:colOff>
      <xdr:row>32</xdr:row>
      <xdr:rowOff>105834</xdr:rowOff>
    </xdr:from>
    <xdr:to>
      <xdr:col>6</xdr:col>
      <xdr:colOff>317500</xdr:colOff>
      <xdr:row>32</xdr:row>
      <xdr:rowOff>105834</xdr:rowOff>
    </xdr:to>
    <xdr:cxnSp macro="">
      <xdr:nvCxnSpPr>
        <xdr:cNvPr id="25" name="Conector recto de flecha 24">
          <a:extLst>
            <a:ext uri="{FF2B5EF4-FFF2-40B4-BE49-F238E27FC236}">
              <a16:creationId xmlns:a16="http://schemas.microsoft.com/office/drawing/2014/main" id="{00000000-0008-0000-0300-000019000000}"/>
            </a:ext>
          </a:extLst>
        </xdr:cNvPr>
        <xdr:cNvCxnSpPr/>
      </xdr:nvCxnSpPr>
      <xdr:spPr>
        <a:xfrm flipH="1">
          <a:off x="5090583" y="8276167"/>
          <a:ext cx="550334"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30</xdr:row>
      <xdr:rowOff>95250</xdr:rowOff>
    </xdr:from>
    <xdr:to>
      <xdr:col>6</xdr:col>
      <xdr:colOff>95250</xdr:colOff>
      <xdr:row>30</xdr:row>
      <xdr:rowOff>95250</xdr:rowOff>
    </xdr:to>
    <xdr:cxnSp macro="">
      <xdr:nvCxnSpPr>
        <xdr:cNvPr id="27" name="Conector recto de flecha 26">
          <a:extLst>
            <a:ext uri="{FF2B5EF4-FFF2-40B4-BE49-F238E27FC236}">
              <a16:creationId xmlns:a16="http://schemas.microsoft.com/office/drawing/2014/main" id="{00000000-0008-0000-0300-00001B000000}"/>
            </a:ext>
          </a:extLst>
        </xdr:cNvPr>
        <xdr:cNvCxnSpPr/>
      </xdr:nvCxnSpPr>
      <xdr:spPr>
        <a:xfrm>
          <a:off x="5101167" y="7810500"/>
          <a:ext cx="31750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105833</xdr:colOff>
      <xdr:row>22</xdr:row>
      <xdr:rowOff>179917</xdr:rowOff>
    </xdr:from>
    <xdr:to>
      <xdr:col>5</xdr:col>
      <xdr:colOff>105833</xdr:colOff>
      <xdr:row>32</xdr:row>
      <xdr:rowOff>31750</xdr:rowOff>
    </xdr:to>
    <xdr:cxnSp macro="">
      <xdr:nvCxnSpPr>
        <xdr:cNvPr id="29" name="Conector recto de flecha 28">
          <a:extLst>
            <a:ext uri="{FF2B5EF4-FFF2-40B4-BE49-F238E27FC236}">
              <a16:creationId xmlns:a16="http://schemas.microsoft.com/office/drawing/2014/main" id="{00000000-0008-0000-0300-00001D000000}"/>
            </a:ext>
          </a:extLst>
        </xdr:cNvPr>
        <xdr:cNvCxnSpPr/>
      </xdr:nvCxnSpPr>
      <xdr:spPr>
        <a:xfrm flipV="1">
          <a:off x="4572000" y="6371167"/>
          <a:ext cx="0" cy="1830916"/>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644448</xdr:colOff>
      <xdr:row>4</xdr:row>
      <xdr:rowOff>195944</xdr:rowOff>
    </xdr:from>
    <xdr:ext cx="185435" cy="187872"/>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3599919" y="979715"/>
              <a:ext cx="18543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s-MX" sz="1200" b="0" i="1">
                            <a:latin typeface="Cambria Math" panose="02040503050406030204" pitchFamily="18" charset="0"/>
                            <a:ea typeface="Cambria Math" panose="02040503050406030204" pitchFamily="18" charset="0"/>
                          </a:rPr>
                        </m:ctrlPr>
                      </m:sSubSupPr>
                      <m:e>
                        <m:r>
                          <a:rPr lang="es-MX" sz="1200" b="0" i="1">
                            <a:latin typeface="Cambria Math" panose="02040503050406030204" pitchFamily="18" charset="0"/>
                            <a:ea typeface="Cambria Math" panose="02040503050406030204" pitchFamily="18" charset="0"/>
                          </a:rPr>
                          <m:t>𝐶</m:t>
                        </m:r>
                      </m:e>
                      <m:sub>
                        <m:r>
                          <a:rPr lang="es-MX" sz="1200" b="0" i="1">
                            <a:latin typeface="Cambria Math" panose="02040503050406030204" pitchFamily="18" charset="0"/>
                            <a:ea typeface="Cambria Math" panose="02040503050406030204" pitchFamily="18" charset="0"/>
                          </a:rPr>
                          <m:t>1</m:t>
                        </m:r>
                      </m:sub>
                      <m:sup>
                        <m:r>
                          <a:rPr lang="es-MX" sz="1200" b="0" i="1">
                            <a:latin typeface="Cambria Math" panose="02040503050406030204" pitchFamily="18" charset="0"/>
                            <a:ea typeface="Cambria Math" panose="02040503050406030204" pitchFamily="18" charset="0"/>
                          </a:rPr>
                          <m:t>′</m:t>
                        </m:r>
                      </m:sup>
                    </m:sSubSup>
                  </m:oMath>
                </m:oMathPara>
              </a14:m>
              <a:endParaRPr lang="es-CO" sz="1050"/>
            </a:p>
          </xdr:txBody>
        </xdr:sp>
      </mc:Choice>
      <mc:Fallback xmlns="">
        <xdr:sp macro="" textlink="">
          <xdr:nvSpPr>
            <xdr:cNvPr id="3" name="CuadroTexto 2">
              <a:extLst>
                <a:ext uri="{FF2B5EF4-FFF2-40B4-BE49-F238E27FC236}">
                  <a16:creationId xmlns:a16="http://schemas.microsoft.com/office/drawing/2014/main" id="{AE2F379A-68B1-450A-B445-7F007BB89D4C}"/>
                </a:ext>
              </a:extLst>
            </xdr:cNvPr>
            <xdr:cNvSpPr txBox="1"/>
          </xdr:nvSpPr>
          <xdr:spPr>
            <a:xfrm>
              <a:off x="3599919" y="979715"/>
              <a:ext cx="18543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𝐶_1^′</a:t>
              </a:r>
              <a:endParaRPr lang="es-CO" sz="1050"/>
            </a:p>
          </xdr:txBody>
        </xdr:sp>
      </mc:Fallback>
    </mc:AlternateContent>
    <xdr:clientData/>
  </xdr:oneCellAnchor>
  <xdr:oneCellAnchor>
    <xdr:from>
      <xdr:col>3</xdr:col>
      <xdr:colOff>639966</xdr:colOff>
      <xdr:row>5</xdr:row>
      <xdr:rowOff>189235</xdr:rowOff>
    </xdr:from>
    <xdr:ext cx="207749" cy="187872"/>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3595437" y="1174392"/>
              <a:ext cx="20774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4" name="CuadroTexto 3">
              <a:extLst>
                <a:ext uri="{FF2B5EF4-FFF2-40B4-BE49-F238E27FC236}">
                  <a16:creationId xmlns:a16="http://schemas.microsoft.com/office/drawing/2014/main" id="{02803DB9-A4FD-41C6-878B-0C0E804CC7EB}"/>
                </a:ext>
              </a:extLst>
            </xdr:cNvPr>
            <xdr:cNvSpPr txBox="1"/>
          </xdr:nvSpPr>
          <xdr:spPr>
            <a:xfrm>
              <a:off x="3595437" y="1174392"/>
              <a:ext cx="20774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_1</a:t>
              </a:r>
              <a:endParaRPr lang="es-CO" sz="1050"/>
            </a:p>
          </xdr:txBody>
        </xdr:sp>
      </mc:Fallback>
    </mc:AlternateContent>
    <xdr:clientData/>
  </xdr:oneCellAnchor>
  <xdr:oneCellAnchor>
    <xdr:from>
      <xdr:col>3</xdr:col>
      <xdr:colOff>635484</xdr:colOff>
      <xdr:row>7</xdr:row>
      <xdr:rowOff>5459</xdr:rowOff>
    </xdr:from>
    <xdr:ext cx="178382" cy="1878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3590955" y="1371616"/>
              <a:ext cx="1783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5" name="CuadroTexto 4">
              <a:extLst>
                <a:ext uri="{FF2B5EF4-FFF2-40B4-BE49-F238E27FC236}">
                  <a16:creationId xmlns:a16="http://schemas.microsoft.com/office/drawing/2014/main" id="{9B7CDE04-C1D8-45F0-88A8-AE31912EC9AE}"/>
                </a:ext>
              </a:extLst>
            </xdr:cNvPr>
            <xdr:cNvSpPr txBox="1"/>
          </xdr:nvSpPr>
          <xdr:spPr>
            <a:xfrm>
              <a:off x="3590955" y="1371616"/>
              <a:ext cx="1783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𝛾_1</a:t>
              </a:r>
              <a:endParaRPr lang="es-CO" sz="1050"/>
            </a:p>
          </xdr:txBody>
        </xdr:sp>
      </mc:Fallback>
    </mc:AlternateContent>
    <xdr:clientData/>
  </xdr:oneCellAnchor>
  <xdr:oneCellAnchor>
    <xdr:from>
      <xdr:col>3</xdr:col>
      <xdr:colOff>642207</xdr:colOff>
      <xdr:row>7</xdr:row>
      <xdr:rowOff>180270</xdr:rowOff>
    </xdr:from>
    <xdr:ext cx="239681" cy="18787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400-000006000000}"/>
                </a:ext>
              </a:extLst>
            </xdr:cNvPr>
            <xdr:cNvSpPr txBox="1"/>
          </xdr:nvSpPr>
          <xdr:spPr>
            <a:xfrm>
              <a:off x="3597678" y="1546427"/>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𝑆</m:t>
                        </m:r>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6" name="CuadroTexto 5">
              <a:extLst>
                <a:ext uri="{FF2B5EF4-FFF2-40B4-BE49-F238E27FC236}">
                  <a16:creationId xmlns:a16="http://schemas.microsoft.com/office/drawing/2014/main" id="{EF1A5AAC-8A76-46B4-AEA7-8BE8ACDC5DC3}"/>
                </a:ext>
              </a:extLst>
            </xdr:cNvPr>
            <xdr:cNvSpPr txBox="1"/>
          </xdr:nvSpPr>
          <xdr:spPr>
            <a:xfrm>
              <a:off x="3597678" y="1546427"/>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𝛾_𝑆1</a:t>
              </a:r>
              <a:endParaRPr lang="es-CO" sz="1050"/>
            </a:p>
          </xdr:txBody>
        </xdr:sp>
      </mc:Fallback>
    </mc:AlternateContent>
    <xdr:clientData/>
  </xdr:oneCellAnchor>
  <xdr:oneCellAnchor>
    <xdr:from>
      <xdr:col>3</xdr:col>
      <xdr:colOff>594071</xdr:colOff>
      <xdr:row>11</xdr:row>
      <xdr:rowOff>1485</xdr:rowOff>
    </xdr:from>
    <xdr:ext cx="189026" cy="187872"/>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400-000007000000}"/>
                </a:ext>
              </a:extLst>
            </xdr:cNvPr>
            <xdr:cNvSpPr txBox="1"/>
          </xdr:nvSpPr>
          <xdr:spPr>
            <a:xfrm>
              <a:off x="3549542" y="2151414"/>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s-MX" sz="1200" b="0" i="1">
                            <a:latin typeface="Cambria Math" panose="02040503050406030204" pitchFamily="18" charset="0"/>
                            <a:ea typeface="Cambria Math" panose="02040503050406030204" pitchFamily="18" charset="0"/>
                          </a:rPr>
                        </m:ctrlPr>
                      </m:sSubSupPr>
                      <m:e>
                        <m:r>
                          <a:rPr lang="es-MX" sz="1200" b="0" i="1">
                            <a:latin typeface="Cambria Math" panose="02040503050406030204" pitchFamily="18" charset="0"/>
                            <a:ea typeface="Cambria Math" panose="02040503050406030204" pitchFamily="18" charset="0"/>
                          </a:rPr>
                          <m:t>𝐶</m:t>
                        </m:r>
                      </m:e>
                      <m:sub>
                        <m:r>
                          <a:rPr lang="es-MX" sz="1200" b="0" i="1">
                            <a:latin typeface="Cambria Math" panose="02040503050406030204" pitchFamily="18" charset="0"/>
                            <a:ea typeface="Cambria Math" panose="02040503050406030204" pitchFamily="18" charset="0"/>
                          </a:rPr>
                          <m:t>2</m:t>
                        </m:r>
                      </m:sub>
                      <m:sup>
                        <m:r>
                          <a:rPr lang="es-MX" sz="1200" b="0" i="1">
                            <a:latin typeface="Cambria Math" panose="02040503050406030204" pitchFamily="18" charset="0"/>
                            <a:ea typeface="Cambria Math" panose="02040503050406030204" pitchFamily="18" charset="0"/>
                          </a:rPr>
                          <m:t>′</m:t>
                        </m:r>
                      </m:sup>
                    </m:sSubSup>
                  </m:oMath>
                </m:oMathPara>
              </a14:m>
              <a:endParaRPr lang="es-CO" sz="1050"/>
            </a:p>
          </xdr:txBody>
        </xdr:sp>
      </mc:Choice>
      <mc:Fallback xmlns="">
        <xdr:sp macro="" textlink="">
          <xdr:nvSpPr>
            <xdr:cNvPr id="7" name="CuadroTexto 6">
              <a:extLst>
                <a:ext uri="{FF2B5EF4-FFF2-40B4-BE49-F238E27FC236}">
                  <a16:creationId xmlns:a16="http://schemas.microsoft.com/office/drawing/2014/main" id="{BAA94BDB-2476-4282-A4A8-B7691D7B2513}"/>
                </a:ext>
              </a:extLst>
            </xdr:cNvPr>
            <xdr:cNvSpPr txBox="1"/>
          </xdr:nvSpPr>
          <xdr:spPr>
            <a:xfrm>
              <a:off x="3549542" y="2151414"/>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𝐶_2^′</a:t>
              </a:r>
              <a:endParaRPr lang="es-CO" sz="1050"/>
            </a:p>
          </xdr:txBody>
        </xdr:sp>
      </mc:Fallback>
    </mc:AlternateContent>
    <xdr:clientData/>
  </xdr:oneCellAnchor>
  <xdr:oneCellAnchor>
    <xdr:from>
      <xdr:col>3</xdr:col>
      <xdr:colOff>589590</xdr:colOff>
      <xdr:row>11</xdr:row>
      <xdr:rowOff>179833</xdr:rowOff>
    </xdr:from>
    <xdr:ext cx="211340" cy="187872"/>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00000000-0008-0000-0400-000008000000}"/>
                </a:ext>
              </a:extLst>
            </xdr:cNvPr>
            <xdr:cNvSpPr txBox="1"/>
          </xdr:nvSpPr>
          <xdr:spPr>
            <a:xfrm>
              <a:off x="3545061" y="2329762"/>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8" name="CuadroTexto 7">
              <a:extLst>
                <a:ext uri="{FF2B5EF4-FFF2-40B4-BE49-F238E27FC236}">
                  <a16:creationId xmlns:a16="http://schemas.microsoft.com/office/drawing/2014/main" id="{E03A6904-ADCA-4DCB-BF39-DBAD714508B9}"/>
                </a:ext>
              </a:extLst>
            </xdr:cNvPr>
            <xdr:cNvSpPr txBox="1"/>
          </xdr:nvSpPr>
          <xdr:spPr>
            <a:xfrm>
              <a:off x="3545061" y="2329762"/>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_2</a:t>
              </a:r>
              <a:endParaRPr lang="es-CO" sz="1050"/>
            </a:p>
          </xdr:txBody>
        </xdr:sp>
      </mc:Fallback>
    </mc:AlternateContent>
    <xdr:clientData/>
  </xdr:oneCellAnchor>
  <xdr:oneCellAnchor>
    <xdr:from>
      <xdr:col>3</xdr:col>
      <xdr:colOff>585107</xdr:colOff>
      <xdr:row>13</xdr:row>
      <xdr:rowOff>12386</xdr:rowOff>
    </xdr:from>
    <xdr:ext cx="181973" cy="187872"/>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00000000-0008-0000-0400-000009000000}"/>
                </a:ext>
              </a:extLst>
            </xdr:cNvPr>
            <xdr:cNvSpPr txBox="1"/>
          </xdr:nvSpPr>
          <xdr:spPr>
            <a:xfrm>
              <a:off x="3540578" y="2543315"/>
              <a:ext cx="18197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9" name="CuadroTexto 8">
              <a:extLst>
                <a:ext uri="{FF2B5EF4-FFF2-40B4-BE49-F238E27FC236}">
                  <a16:creationId xmlns:a16="http://schemas.microsoft.com/office/drawing/2014/main" id="{E6B9EA07-B67A-4321-B7D3-13867160591C}"/>
                </a:ext>
              </a:extLst>
            </xdr:cNvPr>
            <xdr:cNvSpPr txBox="1"/>
          </xdr:nvSpPr>
          <xdr:spPr>
            <a:xfrm>
              <a:off x="3540578" y="2543315"/>
              <a:ext cx="18197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𝛾_2</a:t>
              </a:r>
              <a:endParaRPr lang="es-CO" sz="1050"/>
            </a:p>
          </xdr:txBody>
        </xdr:sp>
      </mc:Fallback>
    </mc:AlternateContent>
    <xdr:clientData/>
  </xdr:oneCellAnchor>
  <xdr:oneCellAnchor>
    <xdr:from>
      <xdr:col>3</xdr:col>
      <xdr:colOff>591830</xdr:colOff>
      <xdr:row>13</xdr:row>
      <xdr:rowOff>187197</xdr:rowOff>
    </xdr:from>
    <xdr:ext cx="239681" cy="187872"/>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400-00000A000000}"/>
                </a:ext>
              </a:extLst>
            </xdr:cNvPr>
            <xdr:cNvSpPr txBox="1"/>
          </xdr:nvSpPr>
          <xdr:spPr>
            <a:xfrm>
              <a:off x="3547301" y="2718126"/>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𝑆</m:t>
                        </m:r>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10" name="CuadroTexto 9">
              <a:extLst>
                <a:ext uri="{FF2B5EF4-FFF2-40B4-BE49-F238E27FC236}">
                  <a16:creationId xmlns:a16="http://schemas.microsoft.com/office/drawing/2014/main" id="{96879093-DF8C-4743-9208-C7DA8AB8EE0B}"/>
                </a:ext>
              </a:extLst>
            </xdr:cNvPr>
            <xdr:cNvSpPr txBox="1"/>
          </xdr:nvSpPr>
          <xdr:spPr>
            <a:xfrm>
              <a:off x="3547301" y="2718126"/>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𝛾_𝑆2</a:t>
              </a:r>
              <a:endParaRPr lang="es-CO" sz="1050"/>
            </a:p>
          </xdr:txBody>
        </xdr:sp>
      </mc:Fallback>
    </mc:AlternateContent>
    <xdr:clientData/>
  </xdr:oneCellAnchor>
  <xdr:oneCellAnchor>
    <xdr:from>
      <xdr:col>9</xdr:col>
      <xdr:colOff>306456</xdr:colOff>
      <xdr:row>8</xdr:row>
      <xdr:rowOff>173934</xdr:rowOff>
    </xdr:from>
    <xdr:ext cx="153695" cy="219163"/>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00000000-0008-0000-0400-00000F000000}"/>
                </a:ext>
              </a:extLst>
            </xdr:cNvPr>
            <xdr:cNvSpPr txBox="1"/>
          </xdr:nvSpPr>
          <xdr:spPr>
            <a:xfrm>
              <a:off x="5781260" y="1714499"/>
              <a:ext cx="15369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400" i="1">
                        <a:latin typeface="Cambria Math" panose="02040503050406030204" pitchFamily="18" charset="0"/>
                        <a:ea typeface="Cambria Math" panose="02040503050406030204" pitchFamily="18" charset="0"/>
                      </a:rPr>
                      <m:t>𝛼</m:t>
                    </m:r>
                  </m:oMath>
                </m:oMathPara>
              </a14:m>
              <a:endParaRPr lang="es-CO" sz="1100"/>
            </a:p>
          </xdr:txBody>
        </xdr:sp>
      </mc:Choice>
      <mc:Fallback xmlns="">
        <xdr:sp macro="" textlink="">
          <xdr:nvSpPr>
            <xdr:cNvPr id="15" name="CuadroTexto 14">
              <a:extLst>
                <a:ext uri="{FF2B5EF4-FFF2-40B4-BE49-F238E27FC236}">
                  <a16:creationId xmlns:a16="http://schemas.microsoft.com/office/drawing/2014/main" id="{79DCE894-1575-4AD8-AB4C-E85A3C6BC557}"/>
                </a:ext>
              </a:extLst>
            </xdr:cNvPr>
            <xdr:cNvSpPr txBox="1"/>
          </xdr:nvSpPr>
          <xdr:spPr>
            <a:xfrm>
              <a:off x="5781260" y="1714499"/>
              <a:ext cx="15369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400" i="0">
                  <a:latin typeface="Cambria Math" panose="02040503050406030204" pitchFamily="18" charset="0"/>
                  <a:ea typeface="Cambria Math" panose="02040503050406030204" pitchFamily="18" charset="0"/>
                </a:rPr>
                <a:t>𝛼</a:t>
              </a:r>
              <a:endParaRPr lang="es-CO" sz="1100"/>
            </a:p>
          </xdr:txBody>
        </xdr:sp>
      </mc:Fallback>
    </mc:AlternateContent>
    <xdr:clientData/>
  </xdr:oneCellAnchor>
  <xdr:oneCellAnchor>
    <xdr:from>
      <xdr:col>3</xdr:col>
      <xdr:colOff>495300</xdr:colOff>
      <xdr:row>26</xdr:row>
      <xdr:rowOff>0</xdr:rowOff>
    </xdr:from>
    <xdr:ext cx="207749" cy="187872"/>
    <mc:AlternateContent xmlns:mc="http://schemas.openxmlformats.org/markup-compatibility/2006" xmlns:a14="http://schemas.microsoft.com/office/drawing/2010/main">
      <mc:Choice Requires="a14">
        <xdr:sp macro="" textlink="">
          <xdr:nvSpPr>
            <xdr:cNvPr id="19" name="CuadroTexto 18">
              <a:extLst>
                <a:ext uri="{FF2B5EF4-FFF2-40B4-BE49-F238E27FC236}">
                  <a16:creationId xmlns:a16="http://schemas.microsoft.com/office/drawing/2014/main" id="{00000000-0008-0000-0400-000013000000}"/>
                </a:ext>
              </a:extLst>
            </xdr:cNvPr>
            <xdr:cNvSpPr txBox="1"/>
          </xdr:nvSpPr>
          <xdr:spPr>
            <a:xfrm>
              <a:off x="1257300" y="10963275"/>
              <a:ext cx="20774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19" name="CuadroTexto 18">
              <a:extLst>
                <a:ext uri="{FF2B5EF4-FFF2-40B4-BE49-F238E27FC236}">
                  <a16:creationId xmlns:a16="http://schemas.microsoft.com/office/drawing/2014/main" id="{73612AD2-4748-4CA8-B2F5-0EAB447E7394}"/>
                </a:ext>
              </a:extLst>
            </xdr:cNvPr>
            <xdr:cNvSpPr txBox="1"/>
          </xdr:nvSpPr>
          <xdr:spPr>
            <a:xfrm>
              <a:off x="1257300" y="10963275"/>
              <a:ext cx="20774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_1</a:t>
              </a:r>
              <a:endParaRPr lang="es-CO" sz="1050"/>
            </a:p>
          </xdr:txBody>
        </xdr:sp>
      </mc:Fallback>
    </mc:AlternateContent>
    <xdr:clientData/>
  </xdr:oneCellAnchor>
  <xdr:oneCellAnchor>
    <xdr:from>
      <xdr:col>3</xdr:col>
      <xdr:colOff>502937</xdr:colOff>
      <xdr:row>25</xdr:row>
      <xdr:rowOff>42905</xdr:rowOff>
    </xdr:from>
    <xdr:ext cx="183832" cy="187872"/>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0400-000014000000}"/>
                </a:ext>
              </a:extLst>
            </xdr:cNvPr>
            <xdr:cNvSpPr txBox="1"/>
          </xdr:nvSpPr>
          <xdr:spPr>
            <a:xfrm>
              <a:off x="3463410" y="5912364"/>
              <a:ext cx="18383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𝜃</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20" name="CuadroTexto 19">
              <a:extLst>
                <a:ext uri="{FF2B5EF4-FFF2-40B4-BE49-F238E27FC236}">
                  <a16:creationId xmlns:a16="http://schemas.microsoft.com/office/drawing/2014/main" id="{00000000-0008-0000-0400-000014000000}"/>
                </a:ext>
              </a:extLst>
            </xdr:cNvPr>
            <xdr:cNvSpPr txBox="1"/>
          </xdr:nvSpPr>
          <xdr:spPr>
            <a:xfrm>
              <a:off x="3463410" y="5912364"/>
              <a:ext cx="18383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𝜃_1</a:t>
              </a:r>
              <a:endParaRPr lang="es-CO" sz="1050"/>
            </a:p>
          </xdr:txBody>
        </xdr:sp>
      </mc:Fallback>
    </mc:AlternateContent>
    <xdr:clientData/>
  </xdr:oneCellAnchor>
  <xdr:oneCellAnchor>
    <xdr:from>
      <xdr:col>3</xdr:col>
      <xdr:colOff>521987</xdr:colOff>
      <xdr:row>24</xdr:row>
      <xdr:rowOff>69592</xdr:rowOff>
    </xdr:from>
    <xdr:ext cx="180882" cy="187872"/>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id="{00000000-0008-0000-0400-000015000000}"/>
                </a:ext>
              </a:extLst>
            </xdr:cNvPr>
            <xdr:cNvSpPr txBox="1"/>
          </xdr:nvSpPr>
          <xdr:spPr>
            <a:xfrm>
              <a:off x="3482460" y="5587227"/>
              <a:ext cx="1808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𝛿</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21" name="CuadroTexto 20">
              <a:extLst>
                <a:ext uri="{FF2B5EF4-FFF2-40B4-BE49-F238E27FC236}">
                  <a16:creationId xmlns:a16="http://schemas.microsoft.com/office/drawing/2014/main" id="{00000000-0008-0000-0400-000015000000}"/>
                </a:ext>
              </a:extLst>
            </xdr:cNvPr>
            <xdr:cNvSpPr txBox="1"/>
          </xdr:nvSpPr>
          <xdr:spPr>
            <a:xfrm>
              <a:off x="3482460" y="5587227"/>
              <a:ext cx="1808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𝛿_1</a:t>
              </a:r>
              <a:endParaRPr lang="es-CO" sz="1050"/>
            </a:p>
          </xdr:txBody>
        </xdr:sp>
      </mc:Fallback>
    </mc:AlternateContent>
    <xdr:clientData/>
  </xdr:oneCellAnchor>
  <xdr:oneCellAnchor>
    <xdr:from>
      <xdr:col>3</xdr:col>
      <xdr:colOff>1146362</xdr:colOff>
      <xdr:row>22</xdr:row>
      <xdr:rowOff>171450</xdr:rowOff>
    </xdr:from>
    <xdr:ext cx="180882" cy="187872"/>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400-000016000000}"/>
                </a:ext>
              </a:extLst>
            </xdr:cNvPr>
            <xdr:cNvSpPr txBox="1"/>
          </xdr:nvSpPr>
          <xdr:spPr>
            <a:xfrm>
              <a:off x="3925421" y="10727391"/>
              <a:ext cx="1808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𝛿</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22" name="CuadroTexto 21">
              <a:extLst>
                <a:ext uri="{FF2B5EF4-FFF2-40B4-BE49-F238E27FC236}">
                  <a16:creationId xmlns:a16="http://schemas.microsoft.com/office/drawing/2014/main" id="{1EC30757-28A9-403F-BE68-B9FB62A5F2BD}"/>
                </a:ext>
              </a:extLst>
            </xdr:cNvPr>
            <xdr:cNvSpPr txBox="1"/>
          </xdr:nvSpPr>
          <xdr:spPr>
            <a:xfrm>
              <a:off x="3925421" y="10727391"/>
              <a:ext cx="1808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𝛿_1</a:t>
              </a:r>
              <a:endParaRPr lang="es-CO" sz="1050"/>
            </a:p>
          </xdr:txBody>
        </xdr:sp>
      </mc:Fallback>
    </mc:AlternateContent>
    <xdr:clientData/>
  </xdr:oneCellAnchor>
  <xdr:oneCellAnchor>
    <xdr:from>
      <xdr:col>3</xdr:col>
      <xdr:colOff>523875</xdr:colOff>
      <xdr:row>37</xdr:row>
      <xdr:rowOff>333375</xdr:rowOff>
    </xdr:from>
    <xdr:ext cx="154851" cy="219163"/>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477831" y="9110843"/>
              <a:ext cx="15485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400" b="0" i="1">
                        <a:latin typeface="Cambria Math" panose="02040503050406030204" pitchFamily="18" charset="0"/>
                        <a:ea typeface="Cambria Math" panose="02040503050406030204" pitchFamily="18" charset="0"/>
                      </a:rPr>
                      <m:t>𝛽</m:t>
                    </m:r>
                  </m:oMath>
                </m:oMathPara>
              </a14:m>
              <a:endParaRPr lang="es-CO" sz="1100"/>
            </a:p>
          </xdr:txBody>
        </xdr:sp>
      </mc:Choice>
      <mc:Fallback xmlns="">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477831" y="9110843"/>
              <a:ext cx="15485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400" b="0" i="0">
                  <a:latin typeface="Cambria Math" panose="02040503050406030204" pitchFamily="18" charset="0"/>
                  <a:ea typeface="Cambria Math" panose="02040503050406030204" pitchFamily="18" charset="0"/>
                </a:rPr>
                <a:t>𝛽</a:t>
              </a:r>
              <a:endParaRPr lang="es-CO" sz="1100"/>
            </a:p>
          </xdr:txBody>
        </xdr:sp>
      </mc:Fallback>
    </mc:AlternateContent>
    <xdr:clientData/>
  </xdr:oneCellAnchor>
  <xdr:oneCellAnchor>
    <xdr:from>
      <xdr:col>3</xdr:col>
      <xdr:colOff>1229846</xdr:colOff>
      <xdr:row>37</xdr:row>
      <xdr:rowOff>95250</xdr:rowOff>
    </xdr:from>
    <xdr:ext cx="184474" cy="187872"/>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400-000018000000}"/>
                </a:ext>
              </a:extLst>
            </xdr:cNvPr>
            <xdr:cNvSpPr txBox="1"/>
          </xdr:nvSpPr>
          <xdr:spPr>
            <a:xfrm>
              <a:off x="4008905" y="14449985"/>
              <a:ext cx="184474"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𝛿</m:t>
                        </m:r>
                      </m:e>
                      <m:sub>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24" name="CuadroTexto 23">
              <a:extLst>
                <a:ext uri="{FF2B5EF4-FFF2-40B4-BE49-F238E27FC236}">
                  <a16:creationId xmlns:a16="http://schemas.microsoft.com/office/drawing/2014/main" id="{E8BE99B5-9088-4108-91C2-453C5E461BF3}"/>
                </a:ext>
              </a:extLst>
            </xdr:cNvPr>
            <xdr:cNvSpPr txBox="1"/>
          </xdr:nvSpPr>
          <xdr:spPr>
            <a:xfrm>
              <a:off x="4008905" y="14449985"/>
              <a:ext cx="184474"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𝛿_2</a:t>
              </a:r>
              <a:endParaRPr lang="es-CO" sz="1050"/>
            </a:p>
          </xdr:txBody>
        </xdr:sp>
      </mc:Fallback>
    </mc:AlternateContent>
    <xdr:clientData/>
  </xdr:oneCellAnchor>
  <xdr:oneCellAnchor>
    <xdr:from>
      <xdr:col>3</xdr:col>
      <xdr:colOff>514350</xdr:colOff>
      <xdr:row>38</xdr:row>
      <xdr:rowOff>180975</xdr:rowOff>
    </xdr:from>
    <xdr:ext cx="187423" cy="187872"/>
    <mc:AlternateContent xmlns:mc="http://schemas.openxmlformats.org/markup-compatibility/2006" xmlns:a14="http://schemas.microsoft.com/office/drawing/2010/main">
      <mc:Choice Requires="a14">
        <xdr:sp macro="" textlink="">
          <xdr:nvSpPr>
            <xdr:cNvPr id="25" name="CuadroTexto 24">
              <a:extLst>
                <a:ext uri="{FF2B5EF4-FFF2-40B4-BE49-F238E27FC236}">
                  <a16:creationId xmlns:a16="http://schemas.microsoft.com/office/drawing/2014/main" id="{00000000-0008-0000-0400-000019000000}"/>
                </a:ext>
              </a:extLst>
            </xdr:cNvPr>
            <xdr:cNvSpPr txBox="1"/>
          </xdr:nvSpPr>
          <xdr:spPr>
            <a:xfrm>
              <a:off x="1276350" y="13754100"/>
              <a:ext cx="18742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𝜃</m:t>
                        </m:r>
                      </m:e>
                      <m:sub>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25" name="CuadroTexto 24">
              <a:extLst>
                <a:ext uri="{FF2B5EF4-FFF2-40B4-BE49-F238E27FC236}">
                  <a16:creationId xmlns:a16="http://schemas.microsoft.com/office/drawing/2014/main" id="{CD0C9747-F9B8-4DEA-A3BA-F3E63BB35793}"/>
                </a:ext>
              </a:extLst>
            </xdr:cNvPr>
            <xdr:cNvSpPr txBox="1"/>
          </xdr:nvSpPr>
          <xdr:spPr>
            <a:xfrm>
              <a:off x="1276350" y="13754100"/>
              <a:ext cx="18742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200" b="0" i="0">
                  <a:latin typeface="Cambria Math" panose="02040503050406030204" pitchFamily="18" charset="0"/>
                  <a:ea typeface="Cambria Math" panose="02040503050406030204" pitchFamily="18" charset="0"/>
                </a:rPr>
                <a:t>𝜃_2</a:t>
              </a:r>
              <a:endParaRPr lang="es-CO" sz="1050"/>
            </a:p>
          </xdr:txBody>
        </xdr:sp>
      </mc:Fallback>
    </mc:AlternateContent>
    <xdr:clientData/>
  </xdr:oneCellAnchor>
  <xdr:oneCellAnchor>
    <xdr:from>
      <xdr:col>3</xdr:col>
      <xdr:colOff>476250</xdr:colOff>
      <xdr:row>40</xdr:row>
      <xdr:rowOff>104775</xdr:rowOff>
    </xdr:from>
    <xdr:ext cx="184474" cy="187872"/>
    <mc:AlternateContent xmlns:mc="http://schemas.openxmlformats.org/markup-compatibility/2006" xmlns:a14="http://schemas.microsoft.com/office/drawing/2010/main">
      <mc:Choice Requires="a14">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1238250" y="15201900"/>
              <a:ext cx="184474"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𝛿</m:t>
                        </m:r>
                      </m:e>
                      <m:sub>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26" name="CuadroTexto 25">
              <a:extLst>
                <a:ext uri="{FF2B5EF4-FFF2-40B4-BE49-F238E27FC236}">
                  <a16:creationId xmlns:a16="http://schemas.microsoft.com/office/drawing/2014/main" id="{0CED2F27-CA72-440F-B5A5-C86EFBC90D29}"/>
                </a:ext>
              </a:extLst>
            </xdr:cNvPr>
            <xdr:cNvSpPr txBox="1"/>
          </xdr:nvSpPr>
          <xdr:spPr>
            <a:xfrm>
              <a:off x="1238250" y="15201900"/>
              <a:ext cx="184474"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𝛿_2</a:t>
              </a:r>
              <a:endParaRPr lang="es-CO" sz="1050"/>
            </a:p>
          </xdr:txBody>
        </xdr:sp>
      </mc:Fallback>
    </mc:AlternateContent>
    <xdr:clientData/>
  </xdr:oneCellAnchor>
  <xdr:oneCellAnchor>
    <xdr:from>
      <xdr:col>3</xdr:col>
      <xdr:colOff>457200</xdr:colOff>
      <xdr:row>41</xdr:row>
      <xdr:rowOff>0</xdr:rowOff>
    </xdr:from>
    <xdr:ext cx="211340" cy="187872"/>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00000000-0008-0000-0400-00001B000000}"/>
                </a:ext>
              </a:extLst>
            </xdr:cNvPr>
            <xdr:cNvSpPr txBox="1"/>
          </xdr:nvSpPr>
          <xdr:spPr>
            <a:xfrm>
              <a:off x="1219200" y="15497175"/>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27" name="CuadroTexto 26">
              <a:extLst>
                <a:ext uri="{FF2B5EF4-FFF2-40B4-BE49-F238E27FC236}">
                  <a16:creationId xmlns:a16="http://schemas.microsoft.com/office/drawing/2014/main" id="{BAFECB79-5768-4CB6-BA58-8A0A6EDA4CBA}"/>
                </a:ext>
              </a:extLst>
            </xdr:cNvPr>
            <xdr:cNvSpPr txBox="1"/>
          </xdr:nvSpPr>
          <xdr:spPr>
            <a:xfrm>
              <a:off x="1219200" y="15497175"/>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_2</a:t>
              </a:r>
              <a:endParaRPr lang="es-CO" sz="1050"/>
            </a:p>
          </xdr:txBody>
        </xdr:sp>
      </mc:Fallback>
    </mc:AlternateContent>
    <xdr:clientData/>
  </xdr:oneCellAnchor>
  <xdr:oneCellAnchor>
    <xdr:from>
      <xdr:col>3</xdr:col>
      <xdr:colOff>594773</xdr:colOff>
      <xdr:row>62</xdr:row>
      <xdr:rowOff>209032</xdr:rowOff>
    </xdr:from>
    <xdr:ext cx="178382" cy="187872"/>
    <mc:AlternateContent xmlns:mc="http://schemas.openxmlformats.org/markup-compatibility/2006" xmlns:a14="http://schemas.microsoft.com/office/drawing/2010/main">
      <mc:Choice Requires="a14">
        <xdr:sp macro="" textlink="">
          <xdr:nvSpPr>
            <xdr:cNvPr id="33" name="CuadroTexto 32">
              <a:extLst>
                <a:ext uri="{FF2B5EF4-FFF2-40B4-BE49-F238E27FC236}">
                  <a16:creationId xmlns:a16="http://schemas.microsoft.com/office/drawing/2014/main" id="{00000000-0008-0000-0400-000021000000}"/>
                </a:ext>
              </a:extLst>
            </xdr:cNvPr>
            <xdr:cNvSpPr txBox="1"/>
          </xdr:nvSpPr>
          <xdr:spPr>
            <a:xfrm>
              <a:off x="1356773" y="21662263"/>
              <a:ext cx="1783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33" name="CuadroTexto 32">
              <a:extLst>
                <a:ext uri="{FF2B5EF4-FFF2-40B4-BE49-F238E27FC236}">
                  <a16:creationId xmlns:a16="http://schemas.microsoft.com/office/drawing/2014/main" id="{6D5883B3-2106-4AFE-80D1-53EE35432229}"/>
                </a:ext>
              </a:extLst>
            </xdr:cNvPr>
            <xdr:cNvSpPr txBox="1"/>
          </xdr:nvSpPr>
          <xdr:spPr>
            <a:xfrm>
              <a:off x="1356773" y="21662263"/>
              <a:ext cx="1783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𝛾_1</a:t>
              </a:r>
              <a:endParaRPr lang="es-CO" sz="1050"/>
            </a:p>
          </xdr:txBody>
        </xdr:sp>
      </mc:Fallback>
    </mc:AlternateContent>
    <xdr:clientData/>
  </xdr:oneCellAnchor>
  <xdr:oneCellAnchor>
    <xdr:from>
      <xdr:col>3</xdr:col>
      <xdr:colOff>601496</xdr:colOff>
      <xdr:row>63</xdr:row>
      <xdr:rowOff>159726</xdr:rowOff>
    </xdr:from>
    <xdr:ext cx="239681" cy="187872"/>
    <mc:AlternateContent xmlns:mc="http://schemas.openxmlformats.org/markup-compatibility/2006" xmlns:a14="http://schemas.microsoft.com/office/drawing/2010/main">
      <mc:Choice Requires="a14">
        <xdr:sp macro="" textlink="">
          <xdr:nvSpPr>
            <xdr:cNvPr id="34" name="CuadroTexto 33">
              <a:extLst>
                <a:ext uri="{FF2B5EF4-FFF2-40B4-BE49-F238E27FC236}">
                  <a16:creationId xmlns:a16="http://schemas.microsoft.com/office/drawing/2014/main" id="{00000000-0008-0000-0400-000022000000}"/>
                </a:ext>
              </a:extLst>
            </xdr:cNvPr>
            <xdr:cNvSpPr txBox="1"/>
          </xdr:nvSpPr>
          <xdr:spPr>
            <a:xfrm>
              <a:off x="1363496" y="21840091"/>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𝑆</m:t>
                        </m:r>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34" name="CuadroTexto 33">
              <a:extLst>
                <a:ext uri="{FF2B5EF4-FFF2-40B4-BE49-F238E27FC236}">
                  <a16:creationId xmlns:a16="http://schemas.microsoft.com/office/drawing/2014/main" id="{267B64FE-4E85-40C3-9D42-818C07167FE5}"/>
                </a:ext>
              </a:extLst>
            </xdr:cNvPr>
            <xdr:cNvSpPr txBox="1"/>
          </xdr:nvSpPr>
          <xdr:spPr>
            <a:xfrm>
              <a:off x="1363496" y="21840091"/>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𝛾_𝑆1</a:t>
              </a:r>
              <a:endParaRPr lang="es-CO" sz="1050"/>
            </a:p>
          </xdr:txBody>
        </xdr:sp>
      </mc:Fallback>
    </mc:AlternateContent>
    <xdr:clientData/>
  </xdr:oneCellAnchor>
  <xdr:oneCellAnchor>
    <xdr:from>
      <xdr:col>3</xdr:col>
      <xdr:colOff>597014</xdr:colOff>
      <xdr:row>64</xdr:row>
      <xdr:rowOff>177656</xdr:rowOff>
    </xdr:from>
    <xdr:ext cx="202107" cy="187872"/>
    <mc:AlternateContent xmlns:mc="http://schemas.openxmlformats.org/markup-compatibility/2006" xmlns:a14="http://schemas.microsoft.com/office/drawing/2010/main">
      <mc:Choice Requires="a14">
        <xdr:sp macro="" textlink="">
          <xdr:nvSpPr>
            <xdr:cNvPr id="37" name="CuadroTexto 36">
              <a:extLst>
                <a:ext uri="{FF2B5EF4-FFF2-40B4-BE49-F238E27FC236}">
                  <a16:creationId xmlns:a16="http://schemas.microsoft.com/office/drawing/2014/main" id="{00000000-0008-0000-0400-000025000000}"/>
                </a:ext>
              </a:extLst>
            </xdr:cNvPr>
            <xdr:cNvSpPr txBox="1"/>
          </xdr:nvSpPr>
          <xdr:spPr>
            <a:xfrm>
              <a:off x="1359014" y="22048521"/>
              <a:ext cx="202107"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𝑤</m:t>
                        </m:r>
                      </m:sub>
                    </m:sSub>
                  </m:oMath>
                </m:oMathPara>
              </a14:m>
              <a:endParaRPr lang="es-CO" sz="1050"/>
            </a:p>
          </xdr:txBody>
        </xdr:sp>
      </mc:Choice>
      <mc:Fallback xmlns="">
        <xdr:sp macro="" textlink="">
          <xdr:nvSpPr>
            <xdr:cNvPr id="37" name="CuadroTexto 36">
              <a:extLst>
                <a:ext uri="{FF2B5EF4-FFF2-40B4-BE49-F238E27FC236}">
                  <a16:creationId xmlns:a16="http://schemas.microsoft.com/office/drawing/2014/main" id="{2056388C-9CFF-4371-890A-07FDD4FF24F5}"/>
                </a:ext>
              </a:extLst>
            </xdr:cNvPr>
            <xdr:cNvSpPr txBox="1"/>
          </xdr:nvSpPr>
          <xdr:spPr>
            <a:xfrm>
              <a:off x="1359014" y="22048521"/>
              <a:ext cx="202107"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𝛾_𝑤</a:t>
              </a:r>
              <a:endParaRPr lang="es-CO" sz="1050"/>
            </a:p>
          </xdr:txBody>
        </xdr:sp>
      </mc:Fallback>
    </mc:AlternateContent>
    <xdr:clientData/>
  </xdr:oneCellAnchor>
  <xdr:twoCellAnchor>
    <xdr:from>
      <xdr:col>1</xdr:col>
      <xdr:colOff>1131794</xdr:colOff>
      <xdr:row>0</xdr:row>
      <xdr:rowOff>168088</xdr:rowOff>
    </xdr:from>
    <xdr:to>
      <xdr:col>2</xdr:col>
      <xdr:colOff>621366</xdr:colOff>
      <xdr:row>2</xdr:row>
      <xdr:rowOff>33057</xdr:rowOff>
    </xdr:to>
    <xdr:sp macro="" textlink="">
      <xdr:nvSpPr>
        <xdr:cNvPr id="35" name="Rectángulo: esquinas redondeadas 34">
          <a:hlinkClick xmlns:r="http://schemas.openxmlformats.org/officeDocument/2006/relationships" r:id="rId1"/>
          <a:extLst>
            <a:ext uri="{FF2B5EF4-FFF2-40B4-BE49-F238E27FC236}">
              <a16:creationId xmlns:a16="http://schemas.microsoft.com/office/drawing/2014/main" id="{00000000-0008-0000-0400-000023000000}"/>
            </a:ext>
          </a:extLst>
        </xdr:cNvPr>
        <xdr:cNvSpPr/>
      </xdr:nvSpPr>
      <xdr:spPr>
        <a:xfrm>
          <a:off x="1893794" y="168088"/>
          <a:ext cx="923925"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oneCellAnchor>
    <xdr:from>
      <xdr:col>3</xdr:col>
      <xdr:colOff>674387</xdr:colOff>
      <xdr:row>24</xdr:row>
      <xdr:rowOff>221992</xdr:rowOff>
    </xdr:from>
    <xdr:ext cx="65" cy="164404"/>
    <xdr:sp macro="" textlink="">
      <xdr:nvSpPr>
        <xdr:cNvPr id="43" name="CuadroTexto 42">
          <a:extLst>
            <a:ext uri="{FF2B5EF4-FFF2-40B4-BE49-F238E27FC236}">
              <a16:creationId xmlns:a16="http://schemas.microsoft.com/office/drawing/2014/main" id="{97A4562F-2123-4804-9CE6-10ACA37FF865}"/>
            </a:ext>
          </a:extLst>
        </xdr:cNvPr>
        <xdr:cNvSpPr txBox="1"/>
      </xdr:nvSpPr>
      <xdr:spPr>
        <a:xfrm>
          <a:off x="3634860" y="5739627"/>
          <a:ext cx="65"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050"/>
        </a:p>
      </xdr:txBody>
    </xdr:sp>
    <xdr:clientData/>
  </xdr:oneCellAnchor>
  <xdr:oneCellAnchor>
    <xdr:from>
      <xdr:col>3</xdr:col>
      <xdr:colOff>574933</xdr:colOff>
      <xdr:row>23</xdr:row>
      <xdr:rowOff>0</xdr:rowOff>
    </xdr:from>
    <xdr:ext cx="116186" cy="164404"/>
    <mc:AlternateContent xmlns:mc="http://schemas.openxmlformats.org/markup-compatibility/2006" xmlns:a14="http://schemas.microsoft.com/office/drawing/2010/main">
      <mc:Choice Requires="a14">
        <xdr:sp macro="" textlink="">
          <xdr:nvSpPr>
            <xdr:cNvPr id="44" name="CuadroTexto 43">
              <a:extLst>
                <a:ext uri="{FF2B5EF4-FFF2-40B4-BE49-F238E27FC236}">
                  <a16:creationId xmlns:a16="http://schemas.microsoft.com/office/drawing/2014/main" id="{2355B8D1-976A-4A0E-8166-114E5E29E278}"/>
                </a:ext>
              </a:extLst>
            </xdr:cNvPr>
            <xdr:cNvSpPr txBox="1"/>
          </xdr:nvSpPr>
          <xdr:spPr>
            <a:xfrm>
              <a:off x="3535406" y="5328851"/>
              <a:ext cx="116186"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050" b="0" i="1">
                        <a:latin typeface="Cambria Math" panose="02040503050406030204" pitchFamily="18" charset="0"/>
                      </a:rPr>
                      <m:t>𝛽</m:t>
                    </m:r>
                  </m:oMath>
                </m:oMathPara>
              </a14:m>
              <a:endParaRPr lang="es-CO" sz="1050"/>
            </a:p>
          </xdr:txBody>
        </xdr:sp>
      </mc:Choice>
      <mc:Fallback xmlns="">
        <xdr:sp macro="" textlink="">
          <xdr:nvSpPr>
            <xdr:cNvPr id="44" name="CuadroTexto 43">
              <a:extLst>
                <a:ext uri="{FF2B5EF4-FFF2-40B4-BE49-F238E27FC236}">
                  <a16:creationId xmlns:a16="http://schemas.microsoft.com/office/drawing/2014/main" id="{2355B8D1-976A-4A0E-8166-114E5E29E278}"/>
                </a:ext>
              </a:extLst>
            </xdr:cNvPr>
            <xdr:cNvSpPr txBox="1"/>
          </xdr:nvSpPr>
          <xdr:spPr>
            <a:xfrm>
              <a:off x="3535406" y="5328851"/>
              <a:ext cx="116186" cy="164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050" b="0" i="0">
                  <a:latin typeface="Cambria Math" panose="02040503050406030204" pitchFamily="18" charset="0"/>
                </a:rPr>
                <a:t>𝛽</a:t>
              </a:r>
              <a:endParaRPr lang="es-CO" sz="1050"/>
            </a:p>
          </xdr:txBody>
        </xdr:sp>
      </mc:Fallback>
    </mc:AlternateContent>
    <xdr:clientData/>
  </xdr:oneCellAnchor>
  <xdr:oneCellAnchor>
    <xdr:from>
      <xdr:col>4</xdr:col>
      <xdr:colOff>319390</xdr:colOff>
      <xdr:row>34</xdr:row>
      <xdr:rowOff>184376</xdr:rowOff>
    </xdr:from>
    <xdr:ext cx="2381228" cy="431337"/>
    <mc:AlternateContent xmlns:mc="http://schemas.openxmlformats.org/markup-compatibility/2006" xmlns:a14="http://schemas.microsoft.com/office/drawing/2010/main">
      <mc:Choice Requires="a14">
        <xdr:sp macro="" textlink="">
          <xdr:nvSpPr>
            <xdr:cNvPr id="46" name="CuadroTexto 45">
              <a:extLst>
                <a:ext uri="{FF2B5EF4-FFF2-40B4-BE49-F238E27FC236}">
                  <a16:creationId xmlns:a16="http://schemas.microsoft.com/office/drawing/2014/main" id="{FB9CB27E-B1D0-D10F-379D-7DC0FA2BDAB7}"/>
                </a:ext>
              </a:extLst>
            </xdr:cNvPr>
            <xdr:cNvSpPr txBox="1"/>
          </xdr:nvSpPr>
          <xdr:spPr>
            <a:xfrm>
              <a:off x="5093096" y="7983670"/>
              <a:ext cx="2381228" cy="4313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
                    <m:sSubPr>
                      <m:ctrlPr>
                        <a:rPr lang="es-CO" sz="1100" i="1">
                          <a:solidFill>
                            <a:schemeClr val="tx1"/>
                          </a:solidFill>
                          <a:effectLst/>
                          <a:latin typeface="Cambria Math" panose="02040503050406030204" pitchFamily="18" charset="0"/>
                          <a:ea typeface="+mn-ea"/>
                          <a:cs typeface="+mn-cs"/>
                        </a:rPr>
                      </m:ctrlPr>
                    </m:sSubPr>
                    <m:e>
                      <m:r>
                        <a:rPr lang="es-ES" sz="1100" i="1">
                          <a:solidFill>
                            <a:schemeClr val="tx1"/>
                          </a:solidFill>
                          <a:effectLst/>
                          <a:latin typeface="Cambria Math" panose="02040503050406030204" pitchFamily="18" charset="0"/>
                          <a:ea typeface="+mn-ea"/>
                          <a:cs typeface="+mn-cs"/>
                        </a:rPr>
                        <m:t>𝑘</m:t>
                      </m:r>
                    </m:e>
                    <m:sub>
                      <m:r>
                        <a:rPr lang="es-ES" sz="1100" i="1">
                          <a:solidFill>
                            <a:schemeClr val="tx1"/>
                          </a:solidFill>
                          <a:effectLst/>
                          <a:latin typeface="Cambria Math" panose="02040503050406030204" pitchFamily="18" charset="0"/>
                          <a:ea typeface="+mn-ea"/>
                          <a:cs typeface="+mn-cs"/>
                        </a:rPr>
                        <m:t>𝑝</m:t>
                      </m:r>
                    </m:sub>
                  </m:sSub>
                  <m:r>
                    <a:rPr lang="es-ES" sz="1100" i="1">
                      <a:solidFill>
                        <a:schemeClr val="tx1"/>
                      </a:solidFill>
                      <a:effectLst/>
                      <a:latin typeface="Cambria Math" panose="02040503050406030204" pitchFamily="18" charset="0"/>
                      <a:ea typeface="+mn-ea"/>
                      <a:cs typeface="+mn-cs"/>
                    </a:rPr>
                    <m:t>=</m:t>
                  </m:r>
                  <m:f>
                    <m:fPr>
                      <m:ctrlPr>
                        <a:rPr lang="es-CO" sz="1100" i="1">
                          <a:solidFill>
                            <a:schemeClr val="tx1"/>
                          </a:solidFill>
                          <a:effectLst/>
                          <a:latin typeface="Cambria Math" panose="02040503050406030204" pitchFamily="18" charset="0"/>
                          <a:ea typeface="+mn-ea"/>
                          <a:cs typeface="+mn-cs"/>
                        </a:rPr>
                      </m:ctrlPr>
                    </m:fPr>
                    <m:num>
                      <m:func>
                        <m:funcPr>
                          <m:ctrlPr>
                            <a:rPr lang="es-CO" sz="1100" i="1">
                              <a:solidFill>
                                <a:schemeClr val="tx1"/>
                              </a:solidFill>
                              <a:effectLst/>
                              <a:latin typeface="Cambria Math" panose="02040503050406030204" pitchFamily="18" charset="0"/>
                              <a:ea typeface="+mn-ea"/>
                              <a:cs typeface="+mn-cs"/>
                            </a:rPr>
                          </m:ctrlPr>
                        </m:funcPr>
                        <m:fName>
                          <m:sSup>
                            <m:sSupPr>
                              <m:ctrlPr>
                                <a:rPr lang="es-CO" sz="1100" i="1">
                                  <a:solidFill>
                                    <a:schemeClr val="tx1"/>
                                  </a:solidFill>
                                  <a:effectLst/>
                                  <a:latin typeface="Cambria Math" panose="02040503050406030204" pitchFamily="18" charset="0"/>
                                  <a:ea typeface="+mn-ea"/>
                                  <a:cs typeface="+mn-cs"/>
                                </a:rPr>
                              </m:ctrlPr>
                            </m:sSupPr>
                            <m:e>
                              <m:r>
                                <m:rPr>
                                  <m:sty m:val="p"/>
                                </m:rPr>
                                <a:rPr lang="es-CO" sz="1100">
                                  <a:solidFill>
                                    <a:schemeClr val="tx1"/>
                                  </a:solidFill>
                                  <a:effectLst/>
                                  <a:latin typeface="Cambria Math" panose="02040503050406030204" pitchFamily="18" charset="0"/>
                                  <a:ea typeface="+mn-ea"/>
                                  <a:cs typeface="+mn-cs"/>
                                </a:rPr>
                                <m:t>cos</m:t>
                              </m:r>
                            </m:e>
                            <m:sup>
                              <m:r>
                                <a:rPr lang="es-CO" sz="1100" i="1">
                                  <a:solidFill>
                                    <a:schemeClr val="tx1"/>
                                  </a:solidFill>
                                  <a:effectLst/>
                                  <a:latin typeface="Cambria Math" panose="02040503050406030204" pitchFamily="18" charset="0"/>
                                  <a:ea typeface="+mn-ea"/>
                                  <a:cs typeface="+mn-cs"/>
                                </a:rPr>
                                <m:t>2</m:t>
                              </m:r>
                            </m:sup>
                          </m:sSup>
                        </m:fName>
                        <m:e>
                          <m:d>
                            <m:dPr>
                              <m:ctrlPr>
                                <a:rPr lang="es-CO" sz="1100" i="1">
                                  <a:solidFill>
                                    <a:schemeClr val="tx1"/>
                                  </a:solidFill>
                                  <a:effectLst/>
                                  <a:latin typeface="Cambria Math" panose="02040503050406030204" pitchFamily="18" charset="0"/>
                                  <a:ea typeface="+mn-ea"/>
                                  <a:cs typeface="+mn-cs"/>
                                </a:rPr>
                              </m:ctrlPr>
                            </m:dPr>
                            <m:e>
                              <m:r>
                                <a:rPr lang="es-CO" sz="1100" i="1">
                                  <a:solidFill>
                                    <a:schemeClr val="tx1"/>
                                  </a:solidFill>
                                  <a:effectLst/>
                                  <a:latin typeface="Cambria Math" panose="02040503050406030204" pitchFamily="18" charset="0"/>
                                  <a:ea typeface="+mn-ea"/>
                                  <a:cs typeface="+mn-cs"/>
                                </a:rPr>
                                <m:t>𝜙</m:t>
                              </m:r>
                              <m:r>
                                <a:rPr lang="es-CO" sz="1100" i="1">
                                  <a:solidFill>
                                    <a:schemeClr val="tx1"/>
                                  </a:solidFill>
                                  <a:effectLst/>
                                  <a:latin typeface="Cambria Math" panose="02040503050406030204" pitchFamily="18" charset="0"/>
                                  <a:ea typeface="+mn-ea"/>
                                  <a:cs typeface="+mn-cs"/>
                                </a:rPr>
                                <m:t>+</m:t>
                              </m:r>
                              <m:r>
                                <a:rPr lang="es-CO" sz="1100" i="1">
                                  <a:solidFill>
                                    <a:schemeClr val="tx1"/>
                                  </a:solidFill>
                                  <a:effectLst/>
                                  <a:latin typeface="Cambria Math" panose="02040503050406030204" pitchFamily="18" charset="0"/>
                                  <a:ea typeface="+mn-ea"/>
                                  <a:cs typeface="+mn-cs"/>
                                </a:rPr>
                                <m:t>𝜃</m:t>
                              </m:r>
                            </m:e>
                          </m:d>
                        </m:e>
                      </m:func>
                    </m:num>
                    <m:den>
                      <m:func>
                        <m:funcPr>
                          <m:ctrlPr>
                            <a:rPr lang="es-CO" sz="1100" i="1">
                              <a:solidFill>
                                <a:schemeClr val="tx1"/>
                              </a:solidFill>
                              <a:effectLst/>
                              <a:latin typeface="Cambria Math" panose="02040503050406030204" pitchFamily="18" charset="0"/>
                              <a:ea typeface="+mn-ea"/>
                              <a:cs typeface="+mn-cs"/>
                            </a:rPr>
                          </m:ctrlPr>
                        </m:funcPr>
                        <m:fName>
                          <m:sSup>
                            <m:sSupPr>
                              <m:ctrlPr>
                                <a:rPr lang="es-CO" sz="1100" i="1">
                                  <a:solidFill>
                                    <a:schemeClr val="tx1"/>
                                  </a:solidFill>
                                  <a:effectLst/>
                                  <a:latin typeface="Cambria Math" panose="02040503050406030204" pitchFamily="18" charset="0"/>
                                  <a:ea typeface="+mn-ea"/>
                                  <a:cs typeface="+mn-cs"/>
                                </a:rPr>
                              </m:ctrlPr>
                            </m:sSupPr>
                            <m:e>
                              <m:r>
                                <m:rPr>
                                  <m:sty m:val="p"/>
                                </m:rPr>
                                <a:rPr lang="es-CO" sz="1100">
                                  <a:solidFill>
                                    <a:schemeClr val="tx1"/>
                                  </a:solidFill>
                                  <a:effectLst/>
                                  <a:latin typeface="Cambria Math" panose="02040503050406030204" pitchFamily="18" charset="0"/>
                                  <a:ea typeface="+mn-ea"/>
                                  <a:cs typeface="+mn-cs"/>
                                </a:rPr>
                                <m:t>cos</m:t>
                              </m:r>
                            </m:e>
                            <m:sup>
                              <m:r>
                                <a:rPr lang="es-CO" sz="1100" i="1">
                                  <a:solidFill>
                                    <a:schemeClr val="tx1"/>
                                  </a:solidFill>
                                  <a:effectLst/>
                                  <a:latin typeface="Cambria Math" panose="02040503050406030204" pitchFamily="18" charset="0"/>
                                  <a:ea typeface="+mn-ea"/>
                                  <a:cs typeface="+mn-cs"/>
                                </a:rPr>
                                <m:t>2</m:t>
                              </m:r>
                            </m:sup>
                          </m:sSup>
                        </m:fName>
                        <m:e>
                          <m:r>
                            <a:rPr lang="es-CO" sz="1100" i="1">
                              <a:solidFill>
                                <a:schemeClr val="tx1"/>
                              </a:solidFill>
                              <a:effectLst/>
                              <a:latin typeface="Cambria Math" panose="02040503050406030204" pitchFamily="18" charset="0"/>
                              <a:ea typeface="+mn-ea"/>
                              <a:cs typeface="+mn-cs"/>
                            </a:rPr>
                            <m:t>𝜃</m:t>
                          </m:r>
                        </m:e>
                      </m:func>
                      <m:func>
                        <m:funcPr>
                          <m:ctrlPr>
                            <a:rPr lang="es-CO" sz="1100" i="1">
                              <a:solidFill>
                                <a:schemeClr val="tx1"/>
                              </a:solidFill>
                              <a:effectLst/>
                              <a:latin typeface="Cambria Math" panose="02040503050406030204" pitchFamily="18" charset="0"/>
                              <a:ea typeface="+mn-ea"/>
                              <a:cs typeface="+mn-cs"/>
                            </a:rPr>
                          </m:ctrlPr>
                        </m:funcPr>
                        <m:fName>
                          <m:r>
                            <m:rPr>
                              <m:sty m:val="p"/>
                            </m:rPr>
                            <a:rPr lang="es-CO" sz="1100">
                              <a:solidFill>
                                <a:schemeClr val="tx1"/>
                              </a:solidFill>
                              <a:effectLst/>
                              <a:latin typeface="Cambria Math" panose="02040503050406030204" pitchFamily="18" charset="0"/>
                              <a:ea typeface="+mn-ea"/>
                              <a:cs typeface="+mn-cs"/>
                            </a:rPr>
                            <m:t>cos</m:t>
                          </m:r>
                        </m:fName>
                        <m:e>
                          <m:d>
                            <m:dPr>
                              <m:ctrlPr>
                                <a:rPr lang="es-CO" sz="1100" i="1">
                                  <a:solidFill>
                                    <a:schemeClr val="tx1"/>
                                  </a:solidFill>
                                  <a:effectLst/>
                                  <a:latin typeface="Cambria Math" panose="02040503050406030204" pitchFamily="18" charset="0"/>
                                  <a:ea typeface="+mn-ea"/>
                                  <a:cs typeface="+mn-cs"/>
                                </a:rPr>
                              </m:ctrlPr>
                            </m:dPr>
                            <m:e>
                              <m:r>
                                <a:rPr lang="es-CO" sz="1100" i="1">
                                  <a:solidFill>
                                    <a:schemeClr val="tx1"/>
                                  </a:solidFill>
                                  <a:effectLst/>
                                  <a:latin typeface="Cambria Math" panose="02040503050406030204" pitchFamily="18" charset="0"/>
                                  <a:ea typeface="+mn-ea"/>
                                  <a:cs typeface="+mn-cs"/>
                                </a:rPr>
                                <m:t>𝛿</m:t>
                              </m:r>
                              <m:r>
                                <a:rPr lang="es-CO" sz="1100" i="1">
                                  <a:solidFill>
                                    <a:schemeClr val="tx1"/>
                                  </a:solidFill>
                                  <a:effectLst/>
                                  <a:latin typeface="Cambria Math" panose="02040503050406030204" pitchFamily="18" charset="0"/>
                                  <a:ea typeface="+mn-ea"/>
                                  <a:cs typeface="+mn-cs"/>
                                </a:rPr>
                                <m:t>−</m:t>
                              </m:r>
                              <m:r>
                                <a:rPr lang="es-CO" sz="1100" i="1">
                                  <a:solidFill>
                                    <a:schemeClr val="tx1"/>
                                  </a:solidFill>
                                  <a:effectLst/>
                                  <a:latin typeface="Cambria Math" panose="02040503050406030204" pitchFamily="18" charset="0"/>
                                  <a:ea typeface="+mn-ea"/>
                                  <a:cs typeface="+mn-cs"/>
                                </a:rPr>
                                <m:t>𝜃</m:t>
                              </m:r>
                            </m:e>
                          </m:d>
                        </m:e>
                      </m:func>
                      <m:d>
                        <m:dPr>
                          <m:begChr m:val="["/>
                          <m:endChr m:val="]"/>
                          <m:ctrlPr>
                            <a:rPr lang="es-CO" sz="1100" i="1">
                              <a:solidFill>
                                <a:schemeClr val="tx1"/>
                              </a:solidFill>
                              <a:effectLst/>
                              <a:latin typeface="Cambria Math" panose="02040503050406030204" pitchFamily="18" charset="0"/>
                              <a:ea typeface="+mn-ea"/>
                              <a:cs typeface="+mn-cs"/>
                            </a:rPr>
                          </m:ctrlPr>
                        </m:dPr>
                        <m:e>
                          <m:r>
                            <a:rPr lang="es-CO" sz="1100" i="1">
                              <a:solidFill>
                                <a:schemeClr val="tx1"/>
                              </a:solidFill>
                              <a:effectLst/>
                              <a:latin typeface="Cambria Math" panose="02040503050406030204" pitchFamily="18" charset="0"/>
                              <a:ea typeface="+mn-ea"/>
                              <a:cs typeface="+mn-cs"/>
                            </a:rPr>
                            <m:t>1−</m:t>
                          </m:r>
                          <m:rad>
                            <m:radPr>
                              <m:degHide m:val="on"/>
                              <m:ctrlPr>
                                <a:rPr lang="es-CO" sz="1100" i="1">
                                  <a:solidFill>
                                    <a:schemeClr val="tx1"/>
                                  </a:solidFill>
                                  <a:effectLst/>
                                  <a:latin typeface="Cambria Math" panose="02040503050406030204" pitchFamily="18" charset="0"/>
                                  <a:ea typeface="+mn-ea"/>
                                  <a:cs typeface="+mn-cs"/>
                                </a:rPr>
                              </m:ctrlPr>
                            </m:radPr>
                            <m:deg/>
                            <m:e>
                              <m:f>
                                <m:fPr>
                                  <m:ctrlPr>
                                    <a:rPr lang="es-CO" sz="1100" i="1">
                                      <a:solidFill>
                                        <a:schemeClr val="tx1"/>
                                      </a:solidFill>
                                      <a:effectLst/>
                                      <a:latin typeface="Cambria Math" panose="02040503050406030204" pitchFamily="18" charset="0"/>
                                      <a:ea typeface="+mn-ea"/>
                                      <a:cs typeface="+mn-cs"/>
                                    </a:rPr>
                                  </m:ctrlPr>
                                </m:fPr>
                                <m:num>
                                  <m:func>
                                    <m:funcPr>
                                      <m:ctrlPr>
                                        <a:rPr lang="es-CO" sz="1100" i="1">
                                          <a:solidFill>
                                            <a:schemeClr val="tx1"/>
                                          </a:solidFill>
                                          <a:effectLst/>
                                          <a:latin typeface="Cambria Math" panose="02040503050406030204" pitchFamily="18" charset="0"/>
                                          <a:ea typeface="+mn-ea"/>
                                          <a:cs typeface="+mn-cs"/>
                                        </a:rPr>
                                      </m:ctrlPr>
                                    </m:funcPr>
                                    <m:fName>
                                      <m:r>
                                        <m:rPr>
                                          <m:sty m:val="p"/>
                                        </m:rPr>
                                        <a:rPr lang="es-CO" sz="1100">
                                          <a:solidFill>
                                            <a:schemeClr val="tx1"/>
                                          </a:solidFill>
                                          <a:effectLst/>
                                          <a:latin typeface="Cambria Math" panose="02040503050406030204" pitchFamily="18" charset="0"/>
                                          <a:ea typeface="+mn-ea"/>
                                          <a:cs typeface="+mn-cs"/>
                                        </a:rPr>
                                        <m:t>sin</m:t>
                                      </m:r>
                                    </m:fName>
                                    <m:e>
                                      <m:d>
                                        <m:dPr>
                                          <m:ctrlPr>
                                            <a:rPr lang="es-CO" sz="1100" i="1">
                                              <a:solidFill>
                                                <a:schemeClr val="tx1"/>
                                              </a:solidFill>
                                              <a:effectLst/>
                                              <a:latin typeface="Cambria Math" panose="02040503050406030204" pitchFamily="18" charset="0"/>
                                              <a:ea typeface="+mn-ea"/>
                                              <a:cs typeface="+mn-cs"/>
                                            </a:rPr>
                                          </m:ctrlPr>
                                        </m:dPr>
                                        <m:e>
                                          <m:r>
                                            <a:rPr lang="es-CO" sz="1100" i="1">
                                              <a:solidFill>
                                                <a:schemeClr val="tx1"/>
                                              </a:solidFill>
                                              <a:effectLst/>
                                              <a:latin typeface="Cambria Math" panose="02040503050406030204" pitchFamily="18" charset="0"/>
                                              <a:ea typeface="+mn-ea"/>
                                              <a:cs typeface="+mn-cs"/>
                                            </a:rPr>
                                            <m:t>𝜙</m:t>
                                          </m:r>
                                          <m:r>
                                            <a:rPr lang="es-CO" sz="1100" i="1">
                                              <a:solidFill>
                                                <a:schemeClr val="tx1"/>
                                              </a:solidFill>
                                              <a:effectLst/>
                                              <a:latin typeface="Cambria Math" panose="02040503050406030204" pitchFamily="18" charset="0"/>
                                              <a:ea typeface="+mn-ea"/>
                                              <a:cs typeface="+mn-cs"/>
                                            </a:rPr>
                                            <m:t>−</m:t>
                                          </m:r>
                                          <m:r>
                                            <a:rPr lang="es-CO" sz="1100" i="1">
                                              <a:solidFill>
                                                <a:schemeClr val="tx1"/>
                                              </a:solidFill>
                                              <a:effectLst/>
                                              <a:latin typeface="Cambria Math" panose="02040503050406030204" pitchFamily="18" charset="0"/>
                                              <a:ea typeface="+mn-ea"/>
                                              <a:cs typeface="+mn-cs"/>
                                            </a:rPr>
                                            <m:t>𝛿</m:t>
                                          </m:r>
                                        </m:e>
                                      </m:d>
                                    </m:e>
                                  </m:func>
                                  <m:func>
                                    <m:funcPr>
                                      <m:ctrlPr>
                                        <a:rPr lang="es-CO" sz="1100" i="1">
                                          <a:solidFill>
                                            <a:schemeClr val="tx1"/>
                                          </a:solidFill>
                                          <a:effectLst/>
                                          <a:latin typeface="Cambria Math" panose="02040503050406030204" pitchFamily="18" charset="0"/>
                                          <a:ea typeface="+mn-ea"/>
                                          <a:cs typeface="+mn-cs"/>
                                        </a:rPr>
                                      </m:ctrlPr>
                                    </m:funcPr>
                                    <m:fName>
                                      <m:r>
                                        <m:rPr>
                                          <m:sty m:val="p"/>
                                        </m:rPr>
                                        <a:rPr lang="es-CO" sz="1100">
                                          <a:solidFill>
                                            <a:schemeClr val="tx1"/>
                                          </a:solidFill>
                                          <a:effectLst/>
                                          <a:latin typeface="Cambria Math" panose="02040503050406030204" pitchFamily="18" charset="0"/>
                                          <a:ea typeface="+mn-ea"/>
                                          <a:cs typeface="+mn-cs"/>
                                        </a:rPr>
                                        <m:t>sin</m:t>
                                      </m:r>
                                    </m:fName>
                                    <m:e>
                                      <m:d>
                                        <m:dPr>
                                          <m:ctrlPr>
                                            <a:rPr lang="es-CO" sz="1100" i="1">
                                              <a:solidFill>
                                                <a:schemeClr val="tx1"/>
                                              </a:solidFill>
                                              <a:effectLst/>
                                              <a:latin typeface="Cambria Math" panose="02040503050406030204" pitchFamily="18" charset="0"/>
                                              <a:ea typeface="+mn-ea"/>
                                              <a:cs typeface="+mn-cs"/>
                                            </a:rPr>
                                          </m:ctrlPr>
                                        </m:dPr>
                                        <m:e>
                                          <m:r>
                                            <a:rPr lang="es-CO" sz="1100" i="1">
                                              <a:solidFill>
                                                <a:schemeClr val="tx1"/>
                                              </a:solidFill>
                                              <a:effectLst/>
                                              <a:latin typeface="Cambria Math" panose="02040503050406030204" pitchFamily="18" charset="0"/>
                                              <a:ea typeface="+mn-ea"/>
                                              <a:cs typeface="+mn-cs"/>
                                            </a:rPr>
                                            <m:t>𝜙</m:t>
                                          </m:r>
                                          <m:r>
                                            <a:rPr lang="es-CO" sz="1100" i="1">
                                              <a:solidFill>
                                                <a:schemeClr val="tx1"/>
                                              </a:solidFill>
                                              <a:effectLst/>
                                              <a:latin typeface="Cambria Math" panose="02040503050406030204" pitchFamily="18" charset="0"/>
                                              <a:ea typeface="+mn-ea"/>
                                              <a:cs typeface="+mn-cs"/>
                                            </a:rPr>
                                            <m:t>+</m:t>
                                          </m:r>
                                          <m:r>
                                            <a:rPr lang="es-CO" sz="1100" i="1">
                                              <a:solidFill>
                                                <a:schemeClr val="tx1"/>
                                              </a:solidFill>
                                              <a:effectLst/>
                                              <a:latin typeface="Cambria Math" panose="02040503050406030204" pitchFamily="18" charset="0"/>
                                              <a:ea typeface="+mn-ea"/>
                                              <a:cs typeface="+mn-cs"/>
                                            </a:rPr>
                                            <m:t>𝛽</m:t>
                                          </m:r>
                                        </m:e>
                                      </m:d>
                                    </m:e>
                                  </m:func>
                                </m:num>
                                <m:den>
                                  <m:func>
                                    <m:funcPr>
                                      <m:ctrlPr>
                                        <a:rPr lang="es-CO" sz="1100" i="1">
                                          <a:solidFill>
                                            <a:schemeClr val="tx1"/>
                                          </a:solidFill>
                                          <a:effectLst/>
                                          <a:latin typeface="Cambria Math" panose="02040503050406030204" pitchFamily="18" charset="0"/>
                                          <a:ea typeface="+mn-ea"/>
                                          <a:cs typeface="+mn-cs"/>
                                        </a:rPr>
                                      </m:ctrlPr>
                                    </m:funcPr>
                                    <m:fName>
                                      <m:r>
                                        <m:rPr>
                                          <m:sty m:val="p"/>
                                        </m:rPr>
                                        <a:rPr lang="es-CO" sz="1100">
                                          <a:solidFill>
                                            <a:schemeClr val="tx1"/>
                                          </a:solidFill>
                                          <a:effectLst/>
                                          <a:latin typeface="Cambria Math" panose="02040503050406030204" pitchFamily="18" charset="0"/>
                                          <a:ea typeface="+mn-ea"/>
                                          <a:cs typeface="+mn-cs"/>
                                        </a:rPr>
                                        <m:t>cos</m:t>
                                      </m:r>
                                    </m:fName>
                                    <m:e>
                                      <m:d>
                                        <m:dPr>
                                          <m:ctrlPr>
                                            <a:rPr lang="es-CO" sz="1100" i="1">
                                              <a:solidFill>
                                                <a:schemeClr val="tx1"/>
                                              </a:solidFill>
                                              <a:effectLst/>
                                              <a:latin typeface="Cambria Math" panose="02040503050406030204" pitchFamily="18" charset="0"/>
                                              <a:ea typeface="+mn-ea"/>
                                              <a:cs typeface="+mn-cs"/>
                                            </a:rPr>
                                          </m:ctrlPr>
                                        </m:dPr>
                                        <m:e>
                                          <m:r>
                                            <a:rPr lang="es-CO" sz="1100" i="1">
                                              <a:solidFill>
                                                <a:schemeClr val="tx1"/>
                                              </a:solidFill>
                                              <a:effectLst/>
                                              <a:latin typeface="Cambria Math" panose="02040503050406030204" pitchFamily="18" charset="0"/>
                                              <a:ea typeface="+mn-ea"/>
                                              <a:cs typeface="+mn-cs"/>
                                            </a:rPr>
                                            <m:t>𝛿</m:t>
                                          </m:r>
                                          <m:r>
                                            <a:rPr lang="es-CO" sz="1100" i="1">
                                              <a:solidFill>
                                                <a:schemeClr val="tx1"/>
                                              </a:solidFill>
                                              <a:effectLst/>
                                              <a:latin typeface="Cambria Math" panose="02040503050406030204" pitchFamily="18" charset="0"/>
                                              <a:ea typeface="+mn-ea"/>
                                              <a:cs typeface="+mn-cs"/>
                                            </a:rPr>
                                            <m:t>−</m:t>
                                          </m:r>
                                          <m:r>
                                            <a:rPr lang="es-CO" sz="1100" i="1">
                                              <a:solidFill>
                                                <a:schemeClr val="tx1"/>
                                              </a:solidFill>
                                              <a:effectLst/>
                                              <a:latin typeface="Cambria Math" panose="02040503050406030204" pitchFamily="18" charset="0"/>
                                              <a:ea typeface="+mn-ea"/>
                                              <a:cs typeface="+mn-cs"/>
                                            </a:rPr>
                                            <m:t>𝛽</m:t>
                                          </m:r>
                                        </m:e>
                                      </m:d>
                                    </m:e>
                                  </m:func>
                                  <m:func>
                                    <m:funcPr>
                                      <m:ctrlPr>
                                        <a:rPr lang="es-CO" sz="1100" i="1">
                                          <a:solidFill>
                                            <a:schemeClr val="tx1"/>
                                          </a:solidFill>
                                          <a:effectLst/>
                                          <a:latin typeface="Cambria Math" panose="02040503050406030204" pitchFamily="18" charset="0"/>
                                          <a:ea typeface="+mn-ea"/>
                                          <a:cs typeface="+mn-cs"/>
                                        </a:rPr>
                                      </m:ctrlPr>
                                    </m:funcPr>
                                    <m:fName>
                                      <m:r>
                                        <m:rPr>
                                          <m:sty m:val="p"/>
                                        </m:rPr>
                                        <a:rPr lang="es-CO" sz="1100">
                                          <a:solidFill>
                                            <a:schemeClr val="tx1"/>
                                          </a:solidFill>
                                          <a:effectLst/>
                                          <a:latin typeface="Cambria Math" panose="02040503050406030204" pitchFamily="18" charset="0"/>
                                          <a:ea typeface="+mn-ea"/>
                                          <a:cs typeface="+mn-cs"/>
                                        </a:rPr>
                                        <m:t>cos</m:t>
                                      </m:r>
                                    </m:fName>
                                    <m:e>
                                      <m:d>
                                        <m:dPr>
                                          <m:ctrlPr>
                                            <a:rPr lang="es-CO" sz="1100" i="1">
                                              <a:solidFill>
                                                <a:schemeClr val="tx1"/>
                                              </a:solidFill>
                                              <a:effectLst/>
                                              <a:latin typeface="Cambria Math" panose="02040503050406030204" pitchFamily="18" charset="0"/>
                                              <a:ea typeface="+mn-ea"/>
                                              <a:cs typeface="+mn-cs"/>
                                            </a:rPr>
                                          </m:ctrlPr>
                                        </m:dPr>
                                        <m:e>
                                          <m:r>
                                            <a:rPr lang="es-CO" sz="1100" i="1">
                                              <a:solidFill>
                                                <a:schemeClr val="tx1"/>
                                              </a:solidFill>
                                              <a:effectLst/>
                                              <a:latin typeface="Cambria Math" panose="02040503050406030204" pitchFamily="18" charset="0"/>
                                              <a:ea typeface="+mn-ea"/>
                                              <a:cs typeface="+mn-cs"/>
                                            </a:rPr>
                                            <m:t>𝛽</m:t>
                                          </m:r>
                                          <m:r>
                                            <a:rPr lang="es-CO" sz="1100" i="1">
                                              <a:solidFill>
                                                <a:schemeClr val="tx1"/>
                                              </a:solidFill>
                                              <a:effectLst/>
                                              <a:latin typeface="Cambria Math" panose="02040503050406030204" pitchFamily="18" charset="0"/>
                                              <a:ea typeface="+mn-ea"/>
                                              <a:cs typeface="+mn-cs"/>
                                            </a:rPr>
                                            <m:t>−</m:t>
                                          </m:r>
                                          <m:r>
                                            <a:rPr lang="es-CO" sz="1100" i="1">
                                              <a:solidFill>
                                                <a:schemeClr val="tx1"/>
                                              </a:solidFill>
                                              <a:effectLst/>
                                              <a:latin typeface="Cambria Math" panose="02040503050406030204" pitchFamily="18" charset="0"/>
                                              <a:ea typeface="+mn-ea"/>
                                              <a:cs typeface="+mn-cs"/>
                                            </a:rPr>
                                            <m:t>𝜃</m:t>
                                          </m:r>
                                        </m:e>
                                      </m:d>
                                    </m:e>
                                  </m:func>
                                </m:den>
                              </m:f>
                            </m:e>
                          </m:rad>
                        </m:e>
                      </m:d>
                    </m:den>
                  </m:f>
                </m:oMath>
              </a14:m>
              <a:r>
                <a:rPr lang="es-CO" sz="1100"/>
                <a:t> </a:t>
              </a:r>
            </a:p>
          </xdr:txBody>
        </xdr:sp>
      </mc:Choice>
      <mc:Fallback xmlns="">
        <xdr:sp macro="" textlink="">
          <xdr:nvSpPr>
            <xdr:cNvPr id="46" name="CuadroTexto 45">
              <a:extLst>
                <a:ext uri="{FF2B5EF4-FFF2-40B4-BE49-F238E27FC236}">
                  <a16:creationId xmlns:a16="http://schemas.microsoft.com/office/drawing/2014/main" id="{FB9CB27E-B1D0-D10F-379D-7DC0FA2BDAB7}"/>
                </a:ext>
              </a:extLst>
            </xdr:cNvPr>
            <xdr:cNvSpPr txBox="1"/>
          </xdr:nvSpPr>
          <xdr:spPr>
            <a:xfrm>
              <a:off x="5093096" y="7983670"/>
              <a:ext cx="2381228" cy="4313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ES" sz="1100" i="0">
                  <a:solidFill>
                    <a:schemeClr val="tx1"/>
                  </a:solidFill>
                  <a:effectLst/>
                  <a:latin typeface="+mn-lt"/>
                  <a:ea typeface="+mn-ea"/>
                  <a:cs typeface="+mn-cs"/>
                </a:rPr>
                <a:t>𝑘</a:t>
              </a:r>
              <a:r>
                <a:rPr lang="es-CO" sz="1100" i="0">
                  <a:solidFill>
                    <a:schemeClr val="tx1"/>
                  </a:solidFill>
                  <a:effectLst/>
                  <a:latin typeface="+mn-lt"/>
                  <a:ea typeface="+mn-ea"/>
                  <a:cs typeface="+mn-cs"/>
                </a:rPr>
                <a:t>_</a:t>
              </a:r>
              <a:r>
                <a:rPr lang="es-ES" sz="1100" i="0">
                  <a:solidFill>
                    <a:schemeClr val="tx1"/>
                  </a:solidFill>
                  <a:effectLst/>
                  <a:latin typeface="+mn-lt"/>
                  <a:ea typeface="+mn-ea"/>
                  <a:cs typeface="+mn-cs"/>
                </a:rPr>
                <a:t>𝑝=</a:t>
              </a:r>
              <a:r>
                <a:rPr lang="es-CO" sz="1100" i="0">
                  <a:solidFill>
                    <a:schemeClr val="tx1"/>
                  </a:solidFill>
                  <a:effectLst/>
                  <a:latin typeface="+mn-lt"/>
                  <a:ea typeface="+mn-ea"/>
                  <a:cs typeface="+mn-cs"/>
                </a:rPr>
                <a:t>cos^2⁡(𝜙+𝜃)/(cos^2⁡𝜃  cos⁡(𝛿−𝜃)</a:t>
              </a:r>
              <a:r>
                <a:rPr lang="es-CO" sz="1100" i="0">
                  <a:solidFill>
                    <a:schemeClr val="tx1"/>
                  </a:solidFill>
                  <a:effectLst/>
                  <a:latin typeface="Cambria Math" panose="02040503050406030204" pitchFamily="18" charset="0"/>
                  <a:ea typeface="+mn-ea"/>
                  <a:cs typeface="+mn-cs"/>
                </a:rPr>
                <a:t> [</a:t>
              </a:r>
              <a:r>
                <a:rPr lang="es-CO" sz="1100" i="0">
                  <a:solidFill>
                    <a:schemeClr val="tx1"/>
                  </a:solidFill>
                  <a:effectLst/>
                  <a:latin typeface="+mn-lt"/>
                  <a:ea typeface="+mn-ea"/>
                  <a:cs typeface="+mn-cs"/>
                </a:rPr>
                <a:t>1−√((sin⁡(𝜙−𝛿)  sin⁡(𝜙+𝛽))/(cos⁡(𝛿−𝛽)  cos⁡(𝛽−𝜃) ))</a:t>
              </a:r>
              <a:r>
                <a:rPr lang="es-CO" sz="1100" b="0" i="0">
                  <a:solidFill>
                    <a:schemeClr val="tx1"/>
                  </a:solidFill>
                  <a:effectLst/>
                  <a:latin typeface="Cambria Math" panose="02040503050406030204" pitchFamily="18" charset="0"/>
                  <a:ea typeface="+mn-ea"/>
                  <a:cs typeface="+mn-cs"/>
                </a:rPr>
                <a:t>]</a:t>
              </a:r>
              <a:r>
                <a:rPr lang="es-CO" sz="1100" b="0" i="0">
                  <a:solidFill>
                    <a:schemeClr val="tx1"/>
                  </a:solidFill>
                  <a:effectLst/>
                  <a:latin typeface="+mn-lt"/>
                  <a:ea typeface="+mn-ea"/>
                  <a:cs typeface="+mn-cs"/>
                </a:rPr>
                <a:t> )</a:t>
              </a:r>
              <a:r>
                <a:rPr lang="es-CO" sz="1100"/>
                <a:t> </a:t>
              </a:r>
            </a:p>
          </xdr:txBody>
        </xdr:sp>
      </mc:Fallback>
    </mc:AlternateContent>
    <xdr:clientData/>
  </xdr:oneCellAnchor>
  <xdr:oneCellAnchor>
    <xdr:from>
      <xdr:col>5</xdr:col>
      <xdr:colOff>411254</xdr:colOff>
      <xdr:row>54</xdr:row>
      <xdr:rowOff>108698</xdr:rowOff>
    </xdr:from>
    <xdr:ext cx="1688924" cy="518860"/>
    <mc:AlternateContent xmlns:mc="http://schemas.openxmlformats.org/markup-compatibility/2006" xmlns:a14="http://schemas.microsoft.com/office/drawing/2010/main">
      <mc:Choice Requires="a14">
        <xdr:sp macro="" textlink="">
          <xdr:nvSpPr>
            <xdr:cNvPr id="48" name="CuadroTexto 47">
              <a:extLst>
                <a:ext uri="{FF2B5EF4-FFF2-40B4-BE49-F238E27FC236}">
                  <a16:creationId xmlns:a16="http://schemas.microsoft.com/office/drawing/2014/main" id="{7C2247F0-BBE1-6DE9-5604-4DD31499230F}"/>
                </a:ext>
              </a:extLst>
            </xdr:cNvPr>
            <xdr:cNvSpPr txBox="1"/>
          </xdr:nvSpPr>
          <xdr:spPr>
            <a:xfrm>
              <a:off x="5980578" y="13533345"/>
              <a:ext cx="1688924" cy="518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𝐸</m:t>
                        </m:r>
                      </m:e>
                      <m:sub>
                        <m:r>
                          <a:rPr lang="es-CO" sz="1100" i="1">
                            <a:solidFill>
                              <a:schemeClr val="tx1"/>
                            </a:solidFill>
                            <a:effectLst/>
                            <a:latin typeface="Cambria Math" panose="02040503050406030204" pitchFamily="18" charset="0"/>
                            <a:ea typeface="+mn-ea"/>
                            <a:cs typeface="+mn-cs"/>
                          </a:rPr>
                          <m:t>𝑝</m:t>
                        </m:r>
                      </m:sub>
                    </m:sSub>
                    <m:r>
                      <a:rPr lang="es-CO" sz="1100">
                        <a:solidFill>
                          <a:schemeClr val="tx1"/>
                        </a:solidFill>
                        <a:effectLst/>
                        <a:latin typeface="Cambria Math" panose="02040503050406030204" pitchFamily="18" charset="0"/>
                        <a:ea typeface="+mn-ea"/>
                        <a:cs typeface="+mn-cs"/>
                      </a:rPr>
                      <m:t>=</m:t>
                    </m:r>
                    <m:f>
                      <m:fPr>
                        <m:ctrlPr>
                          <a:rPr lang="es-CO" sz="1100" i="1">
                            <a:solidFill>
                              <a:schemeClr val="tx1"/>
                            </a:solidFill>
                            <a:effectLst/>
                            <a:latin typeface="Cambria Math" panose="02040503050406030204" pitchFamily="18" charset="0"/>
                            <a:ea typeface="+mn-ea"/>
                            <a:cs typeface="+mn-cs"/>
                          </a:rPr>
                        </m:ctrlPr>
                      </m:fPr>
                      <m:num>
                        <m:r>
                          <a:rPr lang="es-CO" sz="1100">
                            <a:solidFill>
                              <a:schemeClr val="tx1"/>
                            </a:solidFill>
                            <a:effectLst/>
                            <a:latin typeface="Cambria Math" panose="02040503050406030204" pitchFamily="18" charset="0"/>
                            <a:ea typeface="+mn-ea"/>
                            <a:cs typeface="+mn-cs"/>
                          </a:rPr>
                          <m:t>1</m:t>
                        </m:r>
                      </m:num>
                      <m:den>
                        <m:r>
                          <a:rPr lang="es-CO" sz="1100">
                            <a:solidFill>
                              <a:schemeClr val="tx1"/>
                            </a:solidFill>
                            <a:effectLst/>
                            <a:latin typeface="Cambria Math" panose="02040503050406030204" pitchFamily="18" charset="0"/>
                            <a:ea typeface="+mn-ea"/>
                            <a:cs typeface="+mn-cs"/>
                          </a:rPr>
                          <m:t>2</m:t>
                        </m:r>
                      </m:den>
                    </m:f>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𝑘</m:t>
                        </m:r>
                      </m:e>
                      <m:sub>
                        <m:r>
                          <a:rPr lang="es-CO" sz="1100" i="1">
                            <a:solidFill>
                              <a:schemeClr val="tx1"/>
                            </a:solidFill>
                            <a:effectLst/>
                            <a:latin typeface="Cambria Math" panose="02040503050406030204" pitchFamily="18" charset="0"/>
                            <a:ea typeface="+mn-ea"/>
                            <a:cs typeface="+mn-cs"/>
                          </a:rPr>
                          <m:t>𝑝</m:t>
                        </m:r>
                      </m:sub>
                    </m:sSub>
                    <m:r>
                      <a:rPr lang="es-CO" sz="1100" i="1">
                        <a:solidFill>
                          <a:schemeClr val="tx1"/>
                        </a:solidFill>
                        <a:effectLst/>
                        <a:latin typeface="Cambria Math" panose="02040503050406030204" pitchFamily="18" charset="0"/>
                        <a:ea typeface="+mn-ea"/>
                        <a:cs typeface="+mn-cs"/>
                      </a:rPr>
                      <m:t>𝛾</m:t>
                    </m:r>
                    <m:sSubSup>
                      <m:sSubSupPr>
                        <m:ctrlPr>
                          <a:rPr lang="es-CO" sz="1100" i="1">
                            <a:solidFill>
                              <a:schemeClr val="tx1"/>
                            </a:solidFill>
                            <a:effectLst/>
                            <a:latin typeface="Cambria Math" panose="02040503050406030204" pitchFamily="18" charset="0"/>
                            <a:ea typeface="+mn-ea"/>
                            <a:cs typeface="+mn-cs"/>
                          </a:rPr>
                        </m:ctrlPr>
                      </m:sSubSupPr>
                      <m:e>
                        <m:r>
                          <a:rPr lang="es-CO" sz="1100" i="1">
                            <a:solidFill>
                              <a:schemeClr val="tx1"/>
                            </a:solidFill>
                            <a:effectLst/>
                            <a:latin typeface="Cambria Math" panose="02040503050406030204" pitchFamily="18" charset="0"/>
                            <a:ea typeface="+mn-ea"/>
                            <a:cs typeface="+mn-cs"/>
                          </a:rPr>
                          <m:t>𝐷</m:t>
                        </m:r>
                      </m:e>
                      <m:sub>
                        <m:r>
                          <a:rPr lang="es-CO" sz="1100" i="1">
                            <a:solidFill>
                              <a:schemeClr val="tx1"/>
                            </a:solidFill>
                            <a:effectLst/>
                            <a:latin typeface="Cambria Math" panose="02040503050406030204" pitchFamily="18" charset="0"/>
                            <a:ea typeface="+mn-ea"/>
                            <a:cs typeface="+mn-cs"/>
                          </a:rPr>
                          <m:t>𝑓</m:t>
                        </m:r>
                      </m:sub>
                      <m:sup>
                        <m:r>
                          <a:rPr lang="es-CO" sz="1100">
                            <a:solidFill>
                              <a:schemeClr val="tx1"/>
                            </a:solidFill>
                            <a:effectLst/>
                            <a:latin typeface="Cambria Math" panose="02040503050406030204" pitchFamily="18" charset="0"/>
                            <a:ea typeface="+mn-ea"/>
                            <a:cs typeface="+mn-cs"/>
                          </a:rPr>
                          <m:t>2</m:t>
                        </m:r>
                      </m:sup>
                    </m:sSubSup>
                    <m:r>
                      <a:rPr lang="es-CO" sz="1100">
                        <a:solidFill>
                          <a:schemeClr val="tx1"/>
                        </a:solidFill>
                        <a:effectLst/>
                        <a:latin typeface="Cambria Math" panose="02040503050406030204" pitchFamily="18" charset="0"/>
                        <a:ea typeface="+mn-ea"/>
                        <a:cs typeface="+mn-cs"/>
                      </a:rPr>
                      <m:t>+2</m:t>
                    </m:r>
                    <m:r>
                      <a:rPr lang="es-CO" sz="1100" i="1">
                        <a:solidFill>
                          <a:schemeClr val="tx1"/>
                        </a:solidFill>
                        <a:effectLst/>
                        <a:latin typeface="Cambria Math" panose="02040503050406030204" pitchFamily="18" charset="0"/>
                        <a:ea typeface="+mn-ea"/>
                        <a:cs typeface="+mn-cs"/>
                      </a:rPr>
                      <m:t>𝑐</m:t>
                    </m:r>
                    <m:rad>
                      <m:radPr>
                        <m:degHide m:val="on"/>
                        <m:ctrlPr>
                          <a:rPr lang="es-CO" sz="1100" i="1">
                            <a:solidFill>
                              <a:schemeClr val="tx1"/>
                            </a:solidFill>
                            <a:effectLst/>
                            <a:latin typeface="Cambria Math" panose="02040503050406030204" pitchFamily="18" charset="0"/>
                            <a:ea typeface="+mn-ea"/>
                            <a:cs typeface="+mn-cs"/>
                          </a:rPr>
                        </m:ctrlPr>
                      </m:radPr>
                      <m:deg/>
                      <m:e>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𝑘</m:t>
                            </m:r>
                          </m:e>
                          <m:sub>
                            <m:r>
                              <a:rPr lang="es-CO" sz="1100" i="1">
                                <a:solidFill>
                                  <a:schemeClr val="tx1"/>
                                </a:solidFill>
                                <a:effectLst/>
                                <a:latin typeface="Cambria Math" panose="02040503050406030204" pitchFamily="18" charset="0"/>
                                <a:ea typeface="+mn-ea"/>
                                <a:cs typeface="+mn-cs"/>
                              </a:rPr>
                              <m:t>𝑝</m:t>
                            </m:r>
                          </m:sub>
                        </m:sSub>
                      </m:e>
                    </m:rad>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𝐷</m:t>
                        </m:r>
                      </m:e>
                      <m:sub>
                        <m:r>
                          <a:rPr lang="es-CO" sz="1100" i="1">
                            <a:solidFill>
                              <a:schemeClr val="tx1"/>
                            </a:solidFill>
                            <a:effectLst/>
                            <a:latin typeface="Cambria Math" panose="02040503050406030204" pitchFamily="18" charset="0"/>
                            <a:ea typeface="+mn-ea"/>
                            <a:cs typeface="+mn-cs"/>
                          </a:rPr>
                          <m:t>𝑓</m:t>
                        </m:r>
                      </m:sub>
                    </m:sSub>
                  </m:oMath>
                </m:oMathPara>
              </a14:m>
              <a:endParaRPr lang="es-CO" sz="1100">
                <a:solidFill>
                  <a:schemeClr val="tx1"/>
                </a:solidFill>
                <a:effectLst/>
                <a:latin typeface="+mn-lt"/>
                <a:ea typeface="+mn-ea"/>
                <a:cs typeface="+mn-cs"/>
              </a:endParaRPr>
            </a:p>
            <a:p>
              <a:endParaRPr lang="es-CO" sz="1100"/>
            </a:p>
          </xdr:txBody>
        </xdr:sp>
      </mc:Choice>
      <mc:Fallback xmlns="">
        <xdr:sp macro="" textlink="">
          <xdr:nvSpPr>
            <xdr:cNvPr id="48" name="CuadroTexto 47">
              <a:extLst>
                <a:ext uri="{FF2B5EF4-FFF2-40B4-BE49-F238E27FC236}">
                  <a16:creationId xmlns:a16="http://schemas.microsoft.com/office/drawing/2014/main" id="{7C2247F0-BBE1-6DE9-5604-4DD31499230F}"/>
                </a:ext>
              </a:extLst>
            </xdr:cNvPr>
            <xdr:cNvSpPr txBox="1"/>
          </xdr:nvSpPr>
          <xdr:spPr>
            <a:xfrm>
              <a:off x="5980578" y="13533345"/>
              <a:ext cx="1688924" cy="5188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s-CO" sz="1100" i="0">
                  <a:solidFill>
                    <a:schemeClr val="tx1"/>
                  </a:solidFill>
                  <a:effectLst/>
                  <a:latin typeface="+mn-lt"/>
                  <a:ea typeface="+mn-ea"/>
                  <a:cs typeface="+mn-cs"/>
                </a:rPr>
                <a:t>𝐸_𝑝=1/2 𝑘_𝑝 𝛾𝐷_𝑓^2+2𝑐√(𝑘_𝑝 ) 𝐷_𝑓</a:t>
              </a:r>
              <a:endParaRPr lang="es-CO" sz="1100">
                <a:solidFill>
                  <a:schemeClr val="tx1"/>
                </a:solidFill>
                <a:effectLst/>
                <a:latin typeface="+mn-lt"/>
                <a:ea typeface="+mn-ea"/>
                <a:cs typeface="+mn-cs"/>
              </a:endParaRPr>
            </a:p>
            <a:p>
              <a:endParaRPr lang="es-CO" sz="1100"/>
            </a:p>
          </xdr:txBody>
        </xdr:sp>
      </mc:Fallback>
    </mc:AlternateContent>
    <xdr:clientData/>
  </xdr:oneCellAnchor>
  <xdr:oneCellAnchor>
    <xdr:from>
      <xdr:col>5</xdr:col>
      <xdr:colOff>601754</xdr:colOff>
      <xdr:row>53</xdr:row>
      <xdr:rowOff>142314</xdr:rowOff>
    </xdr:from>
    <xdr:ext cx="974369" cy="316882"/>
    <mc:AlternateContent xmlns:mc="http://schemas.openxmlformats.org/markup-compatibility/2006" xmlns:a14="http://schemas.microsoft.com/office/drawing/2010/main">
      <mc:Choice Requires="a14">
        <xdr:sp macro="" textlink="">
          <xdr:nvSpPr>
            <xdr:cNvPr id="49" name="CuadroTexto 48">
              <a:extLst>
                <a:ext uri="{FF2B5EF4-FFF2-40B4-BE49-F238E27FC236}">
                  <a16:creationId xmlns:a16="http://schemas.microsoft.com/office/drawing/2014/main" id="{003340E7-9A20-EC16-2F89-D549CB682D14}"/>
                </a:ext>
              </a:extLst>
            </xdr:cNvPr>
            <xdr:cNvSpPr txBox="1"/>
          </xdr:nvSpPr>
          <xdr:spPr>
            <a:xfrm>
              <a:off x="6171078" y="12984255"/>
              <a:ext cx="974369"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𝐸</m:t>
                        </m:r>
                      </m:e>
                      <m:sub>
                        <m:r>
                          <a:rPr lang="es-CO" sz="1100" i="1">
                            <a:solidFill>
                              <a:schemeClr val="tx1"/>
                            </a:solidFill>
                            <a:effectLst/>
                            <a:latin typeface="Cambria Math" panose="02040503050406030204" pitchFamily="18" charset="0"/>
                            <a:ea typeface="+mn-ea"/>
                            <a:cs typeface="+mn-cs"/>
                          </a:rPr>
                          <m:t>𝑎</m:t>
                        </m:r>
                      </m:sub>
                    </m:sSub>
                    <m:r>
                      <a:rPr lang="es-CO" sz="1100">
                        <a:solidFill>
                          <a:schemeClr val="tx1"/>
                        </a:solidFill>
                        <a:effectLst/>
                        <a:latin typeface="Cambria Math" panose="02040503050406030204" pitchFamily="18" charset="0"/>
                        <a:ea typeface="+mn-ea"/>
                        <a:cs typeface="+mn-cs"/>
                      </a:rPr>
                      <m:t>=</m:t>
                    </m:r>
                    <m:f>
                      <m:fPr>
                        <m:ctrlPr>
                          <a:rPr lang="es-CO" sz="1100" i="1">
                            <a:solidFill>
                              <a:schemeClr val="tx1"/>
                            </a:solidFill>
                            <a:effectLst/>
                            <a:latin typeface="Cambria Math" panose="02040503050406030204" pitchFamily="18" charset="0"/>
                            <a:ea typeface="+mn-ea"/>
                            <a:cs typeface="+mn-cs"/>
                          </a:rPr>
                        </m:ctrlPr>
                      </m:fPr>
                      <m:num>
                        <m:r>
                          <a:rPr lang="es-CO" sz="1100">
                            <a:solidFill>
                              <a:schemeClr val="tx1"/>
                            </a:solidFill>
                            <a:effectLst/>
                            <a:latin typeface="Cambria Math" panose="02040503050406030204" pitchFamily="18" charset="0"/>
                            <a:ea typeface="+mn-ea"/>
                            <a:cs typeface="+mn-cs"/>
                          </a:rPr>
                          <m:t>1</m:t>
                        </m:r>
                      </m:num>
                      <m:den>
                        <m:r>
                          <a:rPr lang="es-CO" sz="1100">
                            <a:solidFill>
                              <a:schemeClr val="tx1"/>
                            </a:solidFill>
                            <a:effectLst/>
                            <a:latin typeface="Cambria Math" panose="02040503050406030204" pitchFamily="18" charset="0"/>
                            <a:ea typeface="+mn-ea"/>
                            <a:cs typeface="+mn-cs"/>
                          </a:rPr>
                          <m:t>2</m:t>
                        </m:r>
                      </m:den>
                    </m:f>
                    <m:r>
                      <a:rPr lang="es-CO" sz="1100">
                        <a:solidFill>
                          <a:schemeClr val="tx1"/>
                        </a:solidFill>
                        <a:effectLst/>
                        <a:latin typeface="Cambria Math" panose="02040503050406030204" pitchFamily="18" charset="0"/>
                        <a:ea typeface="+mn-ea"/>
                        <a:cs typeface="+mn-cs"/>
                      </a:rPr>
                      <m:t> </m:t>
                    </m:r>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𝑘</m:t>
                        </m:r>
                      </m:e>
                      <m:sub>
                        <m:r>
                          <a:rPr lang="es-CO" sz="1100" i="1">
                            <a:solidFill>
                              <a:schemeClr val="tx1"/>
                            </a:solidFill>
                            <a:effectLst/>
                            <a:latin typeface="Cambria Math" panose="02040503050406030204" pitchFamily="18" charset="0"/>
                            <a:ea typeface="+mn-ea"/>
                            <a:cs typeface="+mn-cs"/>
                          </a:rPr>
                          <m:t>𝑎</m:t>
                        </m:r>
                      </m:sub>
                    </m:sSub>
                    <m:r>
                      <a:rPr lang="es-CO" sz="1100">
                        <a:solidFill>
                          <a:schemeClr val="tx1"/>
                        </a:solidFill>
                        <a:effectLst/>
                        <a:latin typeface="Cambria Math" panose="02040503050406030204" pitchFamily="18" charset="0"/>
                        <a:ea typeface="+mn-ea"/>
                        <a:cs typeface="+mn-cs"/>
                      </a:rPr>
                      <m:t> </m:t>
                    </m:r>
                    <m:r>
                      <a:rPr lang="es-CO" sz="1100" i="1">
                        <a:solidFill>
                          <a:schemeClr val="tx1"/>
                        </a:solidFill>
                        <a:effectLst/>
                        <a:latin typeface="Cambria Math" panose="02040503050406030204" pitchFamily="18" charset="0"/>
                        <a:ea typeface="+mn-ea"/>
                        <a:cs typeface="+mn-cs"/>
                      </a:rPr>
                      <m:t>𝛾</m:t>
                    </m:r>
                    <m:r>
                      <a:rPr lang="es-CO" sz="1100">
                        <a:solidFill>
                          <a:schemeClr val="tx1"/>
                        </a:solidFill>
                        <a:effectLst/>
                        <a:latin typeface="Cambria Math" panose="02040503050406030204" pitchFamily="18" charset="0"/>
                        <a:ea typeface="+mn-ea"/>
                        <a:cs typeface="+mn-cs"/>
                      </a:rPr>
                      <m:t> </m:t>
                    </m:r>
                    <m:sSup>
                      <m:sSupPr>
                        <m:ctrlPr>
                          <a:rPr lang="es-CO" sz="1100" i="1">
                            <a:solidFill>
                              <a:schemeClr val="tx1"/>
                            </a:solidFill>
                            <a:effectLst/>
                            <a:latin typeface="Cambria Math" panose="02040503050406030204" pitchFamily="18" charset="0"/>
                            <a:ea typeface="+mn-ea"/>
                            <a:cs typeface="+mn-cs"/>
                          </a:rPr>
                        </m:ctrlPr>
                      </m:sSupPr>
                      <m:e>
                        <m:r>
                          <a:rPr lang="es-CO" sz="1100" i="1">
                            <a:solidFill>
                              <a:schemeClr val="tx1"/>
                            </a:solidFill>
                            <a:effectLst/>
                            <a:latin typeface="Cambria Math" panose="02040503050406030204" pitchFamily="18" charset="0"/>
                            <a:ea typeface="+mn-ea"/>
                            <a:cs typeface="+mn-cs"/>
                          </a:rPr>
                          <m:t>𝐻</m:t>
                        </m:r>
                      </m:e>
                      <m:sup>
                        <m:r>
                          <a:rPr lang="es-CO" sz="1100" i="1">
                            <a:solidFill>
                              <a:schemeClr val="tx1"/>
                            </a:solidFill>
                            <a:effectLst/>
                            <a:latin typeface="Cambria Math" panose="02040503050406030204" pitchFamily="18" charset="0"/>
                            <a:ea typeface="+mn-ea"/>
                            <a:cs typeface="+mn-cs"/>
                          </a:rPr>
                          <m:t>′</m:t>
                        </m:r>
                        <m:r>
                          <a:rPr lang="es-CO" sz="1100">
                            <a:solidFill>
                              <a:schemeClr val="tx1"/>
                            </a:solidFill>
                            <a:effectLst/>
                            <a:latin typeface="Cambria Math" panose="02040503050406030204" pitchFamily="18" charset="0"/>
                            <a:ea typeface="+mn-ea"/>
                            <a:cs typeface="+mn-cs"/>
                          </a:rPr>
                          <m:t>2</m:t>
                        </m:r>
                      </m:sup>
                    </m:sSup>
                  </m:oMath>
                </m:oMathPara>
              </a14:m>
              <a:endParaRPr lang="es-CO" sz="1100"/>
            </a:p>
          </xdr:txBody>
        </xdr:sp>
      </mc:Choice>
      <mc:Fallback xmlns="">
        <xdr:sp macro="" textlink="">
          <xdr:nvSpPr>
            <xdr:cNvPr id="49" name="CuadroTexto 48">
              <a:extLst>
                <a:ext uri="{FF2B5EF4-FFF2-40B4-BE49-F238E27FC236}">
                  <a16:creationId xmlns:a16="http://schemas.microsoft.com/office/drawing/2014/main" id="{003340E7-9A20-EC16-2F89-D549CB682D14}"/>
                </a:ext>
              </a:extLst>
            </xdr:cNvPr>
            <xdr:cNvSpPr txBox="1"/>
          </xdr:nvSpPr>
          <xdr:spPr>
            <a:xfrm>
              <a:off x="6171078" y="12984255"/>
              <a:ext cx="974369"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solidFill>
                    <a:schemeClr val="tx1"/>
                  </a:solidFill>
                  <a:effectLst/>
                  <a:latin typeface="+mn-lt"/>
                  <a:ea typeface="+mn-ea"/>
                  <a:cs typeface="+mn-cs"/>
                </a:rPr>
                <a:t>𝐸_𝑎=1/2  𝑘_𝑎  𝛾 𝐻^′2</a:t>
              </a:r>
              <a:endParaRPr lang="es-CO" sz="1100"/>
            </a:p>
          </xdr:txBody>
        </xdr:sp>
      </mc:Fallback>
    </mc:AlternateContent>
    <xdr:clientData/>
  </xdr:oneCellAnchor>
  <xdr:twoCellAnchor>
    <xdr:from>
      <xdr:col>4</xdr:col>
      <xdr:colOff>123265</xdr:colOff>
      <xdr:row>20</xdr:row>
      <xdr:rowOff>11205</xdr:rowOff>
    </xdr:from>
    <xdr:to>
      <xdr:col>7</xdr:col>
      <xdr:colOff>179294</xdr:colOff>
      <xdr:row>20</xdr:row>
      <xdr:rowOff>469214</xdr:rowOff>
    </xdr:to>
    <xdr:pic>
      <xdr:nvPicPr>
        <xdr:cNvPr id="51" name="Imagen 50" descr="Gráfico&#10;&#10;Descripción generada automáticamente">
          <a:extLst>
            <a:ext uri="{FF2B5EF4-FFF2-40B4-BE49-F238E27FC236}">
              <a16:creationId xmlns:a16="http://schemas.microsoft.com/office/drawing/2014/main" id="{02D5B82D-CD98-800C-410A-E7543F8F7BEB}"/>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96971" y="4123764"/>
          <a:ext cx="2375647" cy="458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358589</xdr:colOff>
      <xdr:row>66</xdr:row>
      <xdr:rowOff>156882</xdr:rowOff>
    </xdr:from>
    <xdr:to>
      <xdr:col>3</xdr:col>
      <xdr:colOff>1794256</xdr:colOff>
      <xdr:row>71</xdr:row>
      <xdr:rowOff>180884</xdr:rowOff>
    </xdr:to>
    <xdr:pic>
      <xdr:nvPicPr>
        <xdr:cNvPr id="52" name="Imagen 51" descr="Diagrama, Dibujo de ingeniería&#10;&#10;Descripción generada automáticamente">
          <a:extLst>
            <a:ext uri="{FF2B5EF4-FFF2-40B4-BE49-F238E27FC236}">
              <a16:creationId xmlns:a16="http://schemas.microsoft.com/office/drawing/2014/main" id="{47F1E1E8-09CA-480B-B1E5-80D35441E1EB}"/>
            </a:ext>
          </a:extLst>
        </xdr:cNvPr>
        <xdr:cNvPicPr>
          <a:picLocks noChangeAspect="1"/>
        </xdr:cNvPicPr>
      </xdr:nvPicPr>
      <xdr:blipFill>
        <a:blip xmlns:r="http://schemas.openxmlformats.org/officeDocument/2006/relationships" r:embed="rId3"/>
        <a:stretch>
          <a:fillRect/>
        </a:stretch>
      </xdr:blipFill>
      <xdr:spPr>
        <a:xfrm>
          <a:off x="3316942" y="16764000"/>
          <a:ext cx="1435667" cy="976502"/>
        </a:xfrm>
        <a:prstGeom prst="rect">
          <a:avLst/>
        </a:prstGeom>
        <a:ln w="12700">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345091</xdr:colOff>
      <xdr:row>5</xdr:row>
      <xdr:rowOff>0</xdr:rowOff>
    </xdr:from>
    <xdr:ext cx="185435" cy="187872"/>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07091" y="971550"/>
              <a:ext cx="18543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s-MX" sz="1200" b="0" i="1">
                            <a:latin typeface="Cambria Math" panose="02040503050406030204" pitchFamily="18" charset="0"/>
                            <a:ea typeface="Cambria Math" panose="02040503050406030204" pitchFamily="18" charset="0"/>
                          </a:rPr>
                        </m:ctrlPr>
                      </m:sSubSupPr>
                      <m:e>
                        <m:r>
                          <a:rPr lang="es-MX" sz="1200" b="0" i="1">
                            <a:latin typeface="Cambria Math" panose="02040503050406030204" pitchFamily="18" charset="0"/>
                            <a:ea typeface="Cambria Math" panose="02040503050406030204" pitchFamily="18" charset="0"/>
                          </a:rPr>
                          <m:t>𝐶</m:t>
                        </m:r>
                      </m:e>
                      <m:sub>
                        <m:r>
                          <a:rPr lang="es-MX" sz="1200" b="0" i="1">
                            <a:latin typeface="Cambria Math" panose="02040503050406030204" pitchFamily="18" charset="0"/>
                            <a:ea typeface="Cambria Math" panose="02040503050406030204" pitchFamily="18" charset="0"/>
                          </a:rPr>
                          <m:t>1</m:t>
                        </m:r>
                      </m:sub>
                      <m:sup>
                        <m:r>
                          <a:rPr lang="es-MX" sz="1200" b="0" i="1">
                            <a:latin typeface="Cambria Math" panose="02040503050406030204" pitchFamily="18" charset="0"/>
                            <a:ea typeface="Cambria Math" panose="02040503050406030204" pitchFamily="18" charset="0"/>
                          </a:rPr>
                          <m:t>′</m:t>
                        </m:r>
                      </m:sup>
                    </m:sSubSup>
                  </m:oMath>
                </m:oMathPara>
              </a14:m>
              <a:endParaRPr lang="es-CO" sz="1050"/>
            </a:p>
          </xdr:txBody>
        </xdr:sp>
      </mc:Choice>
      <mc:Fallback xmlns="">
        <xdr:sp macro="" textlink="">
          <xdr:nvSpPr>
            <xdr:cNvPr id="2" name="CuadroTexto 1">
              <a:extLst>
                <a:ext uri="{FF2B5EF4-FFF2-40B4-BE49-F238E27FC236}">
                  <a16:creationId xmlns:a16="http://schemas.microsoft.com/office/drawing/2014/main" id="{B78561C1-98F2-4300-9140-D09CB6C709A3}"/>
                </a:ext>
              </a:extLst>
            </xdr:cNvPr>
            <xdr:cNvSpPr txBox="1"/>
          </xdr:nvSpPr>
          <xdr:spPr>
            <a:xfrm>
              <a:off x="1107091" y="971550"/>
              <a:ext cx="18543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𝐶_1^′</a:t>
              </a:r>
              <a:endParaRPr lang="es-CO" sz="1050"/>
            </a:p>
          </xdr:txBody>
        </xdr:sp>
      </mc:Fallback>
    </mc:AlternateContent>
    <xdr:clientData/>
  </xdr:oneCellAnchor>
  <xdr:oneCellAnchor>
    <xdr:from>
      <xdr:col>3</xdr:col>
      <xdr:colOff>340609</xdr:colOff>
      <xdr:row>6</xdr:row>
      <xdr:rowOff>4177</xdr:rowOff>
    </xdr:from>
    <xdr:ext cx="207749" cy="187872"/>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1102609" y="1166227"/>
              <a:ext cx="20774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3" name="CuadroTexto 2">
              <a:extLst>
                <a:ext uri="{FF2B5EF4-FFF2-40B4-BE49-F238E27FC236}">
                  <a16:creationId xmlns:a16="http://schemas.microsoft.com/office/drawing/2014/main" id="{2D94F18A-66E3-4B7F-828D-8DB6E7B14109}"/>
                </a:ext>
              </a:extLst>
            </xdr:cNvPr>
            <xdr:cNvSpPr txBox="1"/>
          </xdr:nvSpPr>
          <xdr:spPr>
            <a:xfrm>
              <a:off x="1102609" y="1166227"/>
              <a:ext cx="20774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_1</a:t>
              </a:r>
              <a:endParaRPr lang="es-CO" sz="1050"/>
            </a:p>
          </xdr:txBody>
        </xdr:sp>
      </mc:Fallback>
    </mc:AlternateContent>
    <xdr:clientData/>
  </xdr:oneCellAnchor>
  <xdr:oneCellAnchor>
    <xdr:from>
      <xdr:col>3</xdr:col>
      <xdr:colOff>336127</xdr:colOff>
      <xdr:row>7</xdr:row>
      <xdr:rowOff>10901</xdr:rowOff>
    </xdr:from>
    <xdr:ext cx="178382" cy="187872"/>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1098127" y="1363451"/>
              <a:ext cx="1783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4" name="CuadroTexto 3">
              <a:extLst>
                <a:ext uri="{FF2B5EF4-FFF2-40B4-BE49-F238E27FC236}">
                  <a16:creationId xmlns:a16="http://schemas.microsoft.com/office/drawing/2014/main" id="{A8FC077F-D209-44E5-A8C9-DD1BA06A46E1}"/>
                </a:ext>
              </a:extLst>
            </xdr:cNvPr>
            <xdr:cNvSpPr txBox="1"/>
          </xdr:nvSpPr>
          <xdr:spPr>
            <a:xfrm>
              <a:off x="1098127" y="1363451"/>
              <a:ext cx="1783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𝛾_1</a:t>
              </a:r>
              <a:endParaRPr lang="es-CO" sz="1050"/>
            </a:p>
          </xdr:txBody>
        </xdr:sp>
      </mc:Fallback>
    </mc:AlternateContent>
    <xdr:clientData/>
  </xdr:oneCellAnchor>
  <xdr:oneCellAnchor>
    <xdr:from>
      <xdr:col>3</xdr:col>
      <xdr:colOff>342850</xdr:colOff>
      <xdr:row>7</xdr:row>
      <xdr:rowOff>185712</xdr:rowOff>
    </xdr:from>
    <xdr:ext cx="239681" cy="1878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1104850" y="1538262"/>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𝑆</m:t>
                        </m:r>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5" name="CuadroTexto 4">
              <a:extLst>
                <a:ext uri="{FF2B5EF4-FFF2-40B4-BE49-F238E27FC236}">
                  <a16:creationId xmlns:a16="http://schemas.microsoft.com/office/drawing/2014/main" id="{314F2FB7-C468-49CE-9FF6-A9CCC527AC9E}"/>
                </a:ext>
              </a:extLst>
            </xdr:cNvPr>
            <xdr:cNvSpPr txBox="1"/>
          </xdr:nvSpPr>
          <xdr:spPr>
            <a:xfrm>
              <a:off x="1104850" y="1538262"/>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𝛾_𝑆1</a:t>
              </a:r>
              <a:endParaRPr lang="es-CO" sz="1050"/>
            </a:p>
          </xdr:txBody>
        </xdr:sp>
      </mc:Fallback>
    </mc:AlternateContent>
    <xdr:clientData/>
  </xdr:oneCellAnchor>
  <xdr:oneCellAnchor>
    <xdr:from>
      <xdr:col>3</xdr:col>
      <xdr:colOff>294714</xdr:colOff>
      <xdr:row>11</xdr:row>
      <xdr:rowOff>6927</xdr:rowOff>
    </xdr:from>
    <xdr:ext cx="189026" cy="18787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500-000006000000}"/>
                </a:ext>
              </a:extLst>
            </xdr:cNvPr>
            <xdr:cNvSpPr txBox="1"/>
          </xdr:nvSpPr>
          <xdr:spPr>
            <a:xfrm>
              <a:off x="1056714" y="2140527"/>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s-MX" sz="1200" b="0" i="1">
                            <a:latin typeface="Cambria Math" panose="02040503050406030204" pitchFamily="18" charset="0"/>
                            <a:ea typeface="Cambria Math" panose="02040503050406030204" pitchFamily="18" charset="0"/>
                          </a:rPr>
                        </m:ctrlPr>
                      </m:sSubSupPr>
                      <m:e>
                        <m:r>
                          <a:rPr lang="es-MX" sz="1200" b="0" i="1">
                            <a:latin typeface="Cambria Math" panose="02040503050406030204" pitchFamily="18" charset="0"/>
                            <a:ea typeface="Cambria Math" panose="02040503050406030204" pitchFamily="18" charset="0"/>
                          </a:rPr>
                          <m:t>𝐶</m:t>
                        </m:r>
                      </m:e>
                      <m:sub>
                        <m:r>
                          <a:rPr lang="es-MX" sz="1200" b="0" i="1">
                            <a:latin typeface="Cambria Math" panose="02040503050406030204" pitchFamily="18" charset="0"/>
                            <a:ea typeface="Cambria Math" panose="02040503050406030204" pitchFamily="18" charset="0"/>
                          </a:rPr>
                          <m:t>2</m:t>
                        </m:r>
                      </m:sub>
                      <m:sup>
                        <m:r>
                          <a:rPr lang="es-MX" sz="1200" b="0" i="1">
                            <a:latin typeface="Cambria Math" panose="02040503050406030204" pitchFamily="18" charset="0"/>
                            <a:ea typeface="Cambria Math" panose="02040503050406030204" pitchFamily="18" charset="0"/>
                          </a:rPr>
                          <m:t>′</m:t>
                        </m:r>
                      </m:sup>
                    </m:sSubSup>
                  </m:oMath>
                </m:oMathPara>
              </a14:m>
              <a:endParaRPr lang="es-CO" sz="1050"/>
            </a:p>
          </xdr:txBody>
        </xdr:sp>
      </mc:Choice>
      <mc:Fallback xmlns="">
        <xdr:sp macro="" textlink="">
          <xdr:nvSpPr>
            <xdr:cNvPr id="6" name="CuadroTexto 5">
              <a:extLst>
                <a:ext uri="{FF2B5EF4-FFF2-40B4-BE49-F238E27FC236}">
                  <a16:creationId xmlns:a16="http://schemas.microsoft.com/office/drawing/2014/main" id="{2B3E19E2-0D80-49E9-A907-7D3DCE1C588C}"/>
                </a:ext>
              </a:extLst>
            </xdr:cNvPr>
            <xdr:cNvSpPr txBox="1"/>
          </xdr:nvSpPr>
          <xdr:spPr>
            <a:xfrm>
              <a:off x="1056714" y="2140527"/>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𝐶_2^′</a:t>
              </a:r>
              <a:endParaRPr lang="es-CO" sz="1050"/>
            </a:p>
          </xdr:txBody>
        </xdr:sp>
      </mc:Fallback>
    </mc:AlternateContent>
    <xdr:clientData/>
  </xdr:oneCellAnchor>
  <xdr:oneCellAnchor>
    <xdr:from>
      <xdr:col>3</xdr:col>
      <xdr:colOff>290232</xdr:colOff>
      <xdr:row>12</xdr:row>
      <xdr:rowOff>11104</xdr:rowOff>
    </xdr:from>
    <xdr:ext cx="211340" cy="187872"/>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1052232" y="2335204"/>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7" name="CuadroTexto 6">
              <a:extLst>
                <a:ext uri="{FF2B5EF4-FFF2-40B4-BE49-F238E27FC236}">
                  <a16:creationId xmlns:a16="http://schemas.microsoft.com/office/drawing/2014/main" id="{36CDD827-BECF-4288-B694-5B2EEBC31812}"/>
                </a:ext>
              </a:extLst>
            </xdr:cNvPr>
            <xdr:cNvSpPr txBox="1"/>
          </xdr:nvSpPr>
          <xdr:spPr>
            <a:xfrm>
              <a:off x="1052232" y="2335204"/>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_2</a:t>
              </a:r>
              <a:endParaRPr lang="es-CO" sz="1050"/>
            </a:p>
          </xdr:txBody>
        </xdr:sp>
      </mc:Fallback>
    </mc:AlternateContent>
    <xdr:clientData/>
  </xdr:oneCellAnchor>
  <xdr:oneCellAnchor>
    <xdr:from>
      <xdr:col>3</xdr:col>
      <xdr:colOff>285750</xdr:colOff>
      <xdr:row>13</xdr:row>
      <xdr:rowOff>17828</xdr:rowOff>
    </xdr:from>
    <xdr:ext cx="181973" cy="187872"/>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00000000-0008-0000-0500-000008000000}"/>
                </a:ext>
              </a:extLst>
            </xdr:cNvPr>
            <xdr:cNvSpPr txBox="1"/>
          </xdr:nvSpPr>
          <xdr:spPr>
            <a:xfrm>
              <a:off x="1047750" y="2532428"/>
              <a:ext cx="18197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8" name="CuadroTexto 7">
              <a:extLst>
                <a:ext uri="{FF2B5EF4-FFF2-40B4-BE49-F238E27FC236}">
                  <a16:creationId xmlns:a16="http://schemas.microsoft.com/office/drawing/2014/main" id="{136B18D3-B0E4-444D-8F94-B543BA457CCF}"/>
                </a:ext>
              </a:extLst>
            </xdr:cNvPr>
            <xdr:cNvSpPr txBox="1"/>
          </xdr:nvSpPr>
          <xdr:spPr>
            <a:xfrm>
              <a:off x="1047750" y="2532428"/>
              <a:ext cx="181973"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𝛾_2</a:t>
              </a:r>
              <a:endParaRPr lang="es-CO" sz="1050"/>
            </a:p>
          </xdr:txBody>
        </xdr:sp>
      </mc:Fallback>
    </mc:AlternateContent>
    <xdr:clientData/>
  </xdr:oneCellAnchor>
  <xdr:oneCellAnchor>
    <xdr:from>
      <xdr:col>3</xdr:col>
      <xdr:colOff>292473</xdr:colOff>
      <xdr:row>14</xdr:row>
      <xdr:rowOff>2139</xdr:rowOff>
    </xdr:from>
    <xdr:ext cx="239681" cy="187872"/>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00000000-0008-0000-0500-000009000000}"/>
                </a:ext>
              </a:extLst>
            </xdr:cNvPr>
            <xdr:cNvSpPr txBox="1"/>
          </xdr:nvSpPr>
          <xdr:spPr>
            <a:xfrm>
              <a:off x="1054473" y="2707239"/>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𝑆</m:t>
                        </m:r>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9" name="CuadroTexto 8">
              <a:extLst>
                <a:ext uri="{FF2B5EF4-FFF2-40B4-BE49-F238E27FC236}">
                  <a16:creationId xmlns:a16="http://schemas.microsoft.com/office/drawing/2014/main" id="{80EEE348-38C6-4D1A-AAAB-D9A133431230}"/>
                </a:ext>
              </a:extLst>
            </xdr:cNvPr>
            <xdr:cNvSpPr txBox="1"/>
          </xdr:nvSpPr>
          <xdr:spPr>
            <a:xfrm>
              <a:off x="1054473" y="2707239"/>
              <a:ext cx="239681"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𝛾_𝑆2</a:t>
              </a:r>
              <a:endParaRPr lang="es-CO" sz="1050"/>
            </a:p>
          </xdr:txBody>
        </xdr:sp>
      </mc:Fallback>
    </mc:AlternateContent>
    <xdr:clientData/>
  </xdr:oneCellAnchor>
  <xdr:oneCellAnchor>
    <xdr:from>
      <xdr:col>9</xdr:col>
      <xdr:colOff>212567</xdr:colOff>
      <xdr:row>9</xdr:row>
      <xdr:rowOff>28338</xdr:rowOff>
    </xdr:from>
    <xdr:ext cx="153695" cy="219163"/>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6948103" y="1933338"/>
              <a:ext cx="15369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400" i="1">
                        <a:latin typeface="Cambria Math" panose="02040503050406030204" pitchFamily="18" charset="0"/>
                        <a:ea typeface="Cambria Math" panose="02040503050406030204" pitchFamily="18" charset="0"/>
                      </a:rPr>
                      <m:t>𝛼</m:t>
                    </m:r>
                  </m:oMath>
                </m:oMathPara>
              </a14:m>
              <a:endParaRPr lang="es-CO" sz="1100"/>
            </a:p>
          </xdr:txBody>
        </xdr:sp>
      </mc:Choice>
      <mc:Fallback xmlns="">
        <xdr:sp macro="" textlink="">
          <xdr:nvSpPr>
            <xdr:cNvPr id="10" name="CuadroTexto 9">
              <a:extLst>
                <a:ext uri="{FF2B5EF4-FFF2-40B4-BE49-F238E27FC236}">
                  <a16:creationId xmlns:a16="http://schemas.microsoft.com/office/drawing/2014/main" id="{61A338D3-9074-42DE-A341-7864D6CCDC9D}"/>
                </a:ext>
              </a:extLst>
            </xdr:cNvPr>
            <xdr:cNvSpPr txBox="1"/>
          </xdr:nvSpPr>
          <xdr:spPr>
            <a:xfrm>
              <a:off x="6948103" y="1933338"/>
              <a:ext cx="15369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400" i="0">
                  <a:latin typeface="Cambria Math" panose="02040503050406030204" pitchFamily="18" charset="0"/>
                  <a:ea typeface="Cambria Math" panose="02040503050406030204" pitchFamily="18" charset="0"/>
                </a:rPr>
                <a:t>𝛼</a:t>
              </a:r>
              <a:endParaRPr lang="es-CO" sz="1100"/>
            </a:p>
          </xdr:txBody>
        </xdr:sp>
      </mc:Fallback>
    </mc:AlternateContent>
    <xdr:clientData/>
  </xdr:oneCellAnchor>
  <xdr:oneCellAnchor>
    <xdr:from>
      <xdr:col>15</xdr:col>
      <xdr:colOff>295515</xdr:colOff>
      <xdr:row>18</xdr:row>
      <xdr:rowOff>5760</xdr:rowOff>
    </xdr:from>
    <xdr:ext cx="1908920" cy="2657156"/>
    <xdr:pic>
      <xdr:nvPicPr>
        <xdr:cNvPr id="11" name="Imagen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a:stretch>
          <a:fillRect/>
        </a:stretch>
      </xdr:blipFill>
      <xdr:spPr>
        <a:xfrm>
          <a:off x="12154140" y="3872910"/>
          <a:ext cx="1908920" cy="2657156"/>
        </a:xfrm>
        <a:prstGeom prst="rect">
          <a:avLst/>
        </a:prstGeom>
      </xdr:spPr>
    </xdr:pic>
    <xdr:clientData/>
  </xdr:oneCellAnchor>
  <xdr:oneCellAnchor>
    <xdr:from>
      <xdr:col>10</xdr:col>
      <xdr:colOff>525531</xdr:colOff>
      <xdr:row>9</xdr:row>
      <xdr:rowOff>41945</xdr:rowOff>
    </xdr:from>
    <xdr:ext cx="65" cy="172227"/>
    <xdr:sp macro="" textlink="">
      <xdr:nvSpPr>
        <xdr:cNvPr id="12" name="CuadroTexto 11">
          <a:extLst>
            <a:ext uri="{FF2B5EF4-FFF2-40B4-BE49-F238E27FC236}">
              <a16:creationId xmlns:a16="http://schemas.microsoft.com/office/drawing/2014/main" id="{00000000-0008-0000-0500-00000C000000}"/>
            </a:ext>
          </a:extLst>
        </xdr:cNvPr>
        <xdr:cNvSpPr txBox="1"/>
      </xdr:nvSpPr>
      <xdr:spPr>
        <a:xfrm>
          <a:off x="8159138" y="194694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p>
      </xdr:txBody>
    </xdr:sp>
    <xdr:clientData/>
  </xdr:oneCellAnchor>
  <xdr:oneCellAnchor>
    <xdr:from>
      <xdr:col>11</xdr:col>
      <xdr:colOff>525531</xdr:colOff>
      <xdr:row>9</xdr:row>
      <xdr:rowOff>41945</xdr:rowOff>
    </xdr:from>
    <xdr:ext cx="65" cy="172227"/>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8921138" y="194694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p>
      </xdr:txBody>
    </xdr:sp>
    <xdr:clientData/>
  </xdr:oneCellAnchor>
  <xdr:oneCellAnchor>
    <xdr:from>
      <xdr:col>12</xdr:col>
      <xdr:colOff>294210</xdr:colOff>
      <xdr:row>11</xdr:row>
      <xdr:rowOff>55552</xdr:rowOff>
    </xdr:from>
    <xdr:ext cx="65" cy="172227"/>
    <xdr:sp macro="" textlink="">
      <xdr:nvSpPr>
        <xdr:cNvPr id="14" name="CuadroTexto 13">
          <a:extLst>
            <a:ext uri="{FF2B5EF4-FFF2-40B4-BE49-F238E27FC236}">
              <a16:creationId xmlns:a16="http://schemas.microsoft.com/office/drawing/2014/main" id="{00000000-0008-0000-0500-00000E000000}"/>
            </a:ext>
          </a:extLst>
        </xdr:cNvPr>
        <xdr:cNvSpPr txBox="1"/>
      </xdr:nvSpPr>
      <xdr:spPr>
        <a:xfrm>
          <a:off x="9873639" y="245040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O" sz="1100"/>
        </a:p>
      </xdr:txBody>
    </xdr:sp>
    <xdr:clientData/>
  </xdr:oneCellAnchor>
  <xdr:oneCellAnchor>
    <xdr:from>
      <xdr:col>9</xdr:col>
      <xdr:colOff>217714</xdr:colOff>
      <xdr:row>9</xdr:row>
      <xdr:rowOff>231322</xdr:rowOff>
    </xdr:from>
    <xdr:ext cx="167675" cy="187872"/>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6953250" y="2136322"/>
              <a:ext cx="16767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r>
                          <a:rPr lang="es-MX" sz="1200" b="0" i="1">
                            <a:latin typeface="Cambria Math" panose="02040503050406030204" pitchFamily="18" charset="0"/>
                            <a:ea typeface="Cambria Math" panose="02040503050406030204" pitchFamily="18" charset="0"/>
                          </a:rPr>
                          <m:t>𝑐</m:t>
                        </m:r>
                      </m:sub>
                    </m:sSub>
                  </m:oMath>
                </m:oMathPara>
              </a14:m>
              <a:endParaRPr lang="es-CO" sz="1050"/>
            </a:p>
          </xdr:txBody>
        </xdr:sp>
      </mc:Choice>
      <mc:Fallback xmlns="">
        <xdr:sp macro="" textlink="">
          <xdr:nvSpPr>
            <xdr:cNvPr id="16" name="CuadroTexto 15">
              <a:extLst>
                <a:ext uri="{FF2B5EF4-FFF2-40B4-BE49-F238E27FC236}">
                  <a16:creationId xmlns:a16="http://schemas.microsoft.com/office/drawing/2014/main" id="{7548DC73-3CBA-4EAA-92D6-009F9249E4D6}"/>
                </a:ext>
              </a:extLst>
            </xdr:cNvPr>
            <xdr:cNvSpPr txBox="1"/>
          </xdr:nvSpPr>
          <xdr:spPr>
            <a:xfrm>
              <a:off x="6953250" y="2136322"/>
              <a:ext cx="16767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𝛾_𝑐</a:t>
              </a:r>
              <a:endParaRPr lang="es-CO" sz="1050"/>
            </a:p>
          </xdr:txBody>
        </xdr:sp>
      </mc:Fallback>
    </mc:AlternateContent>
    <xdr:clientData/>
  </xdr:oneCellAnchor>
  <xdr:twoCellAnchor>
    <xdr:from>
      <xdr:col>4</xdr:col>
      <xdr:colOff>503723</xdr:colOff>
      <xdr:row>71</xdr:row>
      <xdr:rowOff>178652</xdr:rowOff>
    </xdr:from>
    <xdr:to>
      <xdr:col>4</xdr:col>
      <xdr:colOff>1014266</xdr:colOff>
      <xdr:row>75</xdr:row>
      <xdr:rowOff>163492</xdr:rowOff>
    </xdr:to>
    <xdr:grpSp>
      <xdr:nvGrpSpPr>
        <xdr:cNvPr id="26" name="Grupo 25">
          <a:extLst>
            <a:ext uri="{FF2B5EF4-FFF2-40B4-BE49-F238E27FC236}">
              <a16:creationId xmlns:a16="http://schemas.microsoft.com/office/drawing/2014/main" id="{00000000-0008-0000-0500-00001A000000}"/>
            </a:ext>
          </a:extLst>
        </xdr:cNvPr>
        <xdr:cNvGrpSpPr/>
      </xdr:nvGrpSpPr>
      <xdr:grpSpPr>
        <a:xfrm>
          <a:off x="3697399" y="16399167"/>
          <a:ext cx="510543" cy="769251"/>
          <a:chOff x="925163" y="9496826"/>
          <a:chExt cx="327190" cy="736132"/>
        </a:xfrm>
      </xdr:grpSpPr>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00000000-0008-0000-0500-00000F000000}"/>
                  </a:ext>
                </a:extLst>
              </xdr:cNvPr>
              <xdr:cNvSpPr txBox="1"/>
            </xdr:nvSpPr>
            <xdr:spPr>
              <a:xfrm>
                <a:off x="1064558" y="9496826"/>
                <a:ext cx="137948" cy="207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s-CO" sz="1400" i="1">
                        <a:latin typeface="Cambria Math" panose="02040503050406030204" pitchFamily="18" charset="0"/>
                        <a:ea typeface="Cambria Math" panose="02040503050406030204" pitchFamily="18" charset="0"/>
                      </a:rPr>
                      <m:t>𝛼</m:t>
                    </m:r>
                  </m:oMath>
                </a14:m>
                <a:r>
                  <a:rPr lang="es-CO" sz="1100"/>
                  <a:t> =</a:t>
                </a:r>
              </a:p>
            </xdr:txBody>
          </xdr:sp>
        </mc:Choice>
        <mc:Fallback xmlns="">
          <xdr:sp macro="" textlink="">
            <xdr:nvSpPr>
              <xdr:cNvPr id="15" name="CuadroTexto 14">
                <a:extLst>
                  <a:ext uri="{FF2B5EF4-FFF2-40B4-BE49-F238E27FC236}">
                    <a16:creationId xmlns:a16="http://schemas.microsoft.com/office/drawing/2014/main" id="{00000000-0008-0000-0500-00000F000000}"/>
                  </a:ext>
                </a:extLst>
              </xdr:cNvPr>
              <xdr:cNvSpPr txBox="1"/>
            </xdr:nvSpPr>
            <xdr:spPr>
              <a:xfrm>
                <a:off x="1064558" y="9496826"/>
                <a:ext cx="137948" cy="207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400" i="0">
                    <a:latin typeface="Cambria Math" panose="02040503050406030204" pitchFamily="18" charset="0"/>
                    <a:ea typeface="Cambria Math" panose="02040503050406030204" pitchFamily="18" charset="0"/>
                  </a:rPr>
                  <a:t>𝛼</a:t>
                </a:r>
                <a:r>
                  <a:rPr lang="es-CO" sz="1100"/>
                  <a:t> =</a:t>
                </a:r>
              </a:p>
            </xdr:txBody>
          </xdr:sp>
        </mc:Fallback>
      </mc:AlternateContent>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0500-000014000000}"/>
                  </a:ext>
                </a:extLst>
              </xdr:cNvPr>
              <xdr:cNvSpPr txBox="1"/>
            </xdr:nvSpPr>
            <xdr:spPr>
              <a:xfrm>
                <a:off x="925163" y="9699812"/>
                <a:ext cx="148467" cy="185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ES" sz="1200" b="0" i="1">
                              <a:latin typeface="Cambria Math" panose="02040503050406030204" pitchFamily="18" charset="0"/>
                              <a:ea typeface="Cambria Math" panose="02040503050406030204" pitchFamily="18" charset="0"/>
                            </a:rPr>
                            <m:t>𝛽</m:t>
                          </m:r>
                        </m:e>
                        <m:sub>
                          <m:r>
                            <a:rPr lang="es-ES" sz="1200" b="0" i="1">
                              <a:latin typeface="Cambria Math" panose="02040503050406030204" pitchFamily="18" charset="0"/>
                              <a:ea typeface="Cambria Math" panose="02040503050406030204" pitchFamily="18" charset="0"/>
                            </a:rPr>
                            <m:t>𝑚</m:t>
                          </m:r>
                        </m:sub>
                      </m:sSub>
                    </m:oMath>
                  </m:oMathPara>
                </a14:m>
                <a:endParaRPr lang="es-CO" sz="1050"/>
              </a:p>
            </xdr:txBody>
          </xdr:sp>
        </mc:Choice>
        <mc:Fallback xmlns="">
          <xdr:sp macro="" textlink="">
            <xdr:nvSpPr>
              <xdr:cNvPr id="20" name="CuadroTexto 19">
                <a:extLst>
                  <a:ext uri="{FF2B5EF4-FFF2-40B4-BE49-F238E27FC236}">
                    <a16:creationId xmlns:a16="http://schemas.microsoft.com/office/drawing/2014/main" id="{00000000-0008-0000-0500-000014000000}"/>
                  </a:ext>
                </a:extLst>
              </xdr:cNvPr>
              <xdr:cNvSpPr txBox="1"/>
            </xdr:nvSpPr>
            <xdr:spPr>
              <a:xfrm>
                <a:off x="925163" y="9699812"/>
                <a:ext cx="148467" cy="185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ES" sz="1200" b="0" i="0">
                    <a:latin typeface="Cambria Math" panose="02040503050406030204" pitchFamily="18" charset="0"/>
                    <a:ea typeface="Cambria Math" panose="02040503050406030204" pitchFamily="18" charset="0"/>
                  </a:rPr>
                  <a:t>𝛽</a:t>
                </a:r>
                <a:r>
                  <a:rPr lang="es-MX" sz="1200" b="0" i="0">
                    <a:latin typeface="Cambria Math" panose="02040503050406030204" pitchFamily="18" charset="0"/>
                    <a:ea typeface="Cambria Math" panose="02040503050406030204" pitchFamily="18" charset="0"/>
                  </a:rPr>
                  <a:t>_</a:t>
                </a:r>
                <a:r>
                  <a:rPr lang="es-ES" sz="1200" b="0" i="0">
                    <a:latin typeface="Cambria Math" panose="02040503050406030204" pitchFamily="18" charset="0"/>
                    <a:ea typeface="Cambria Math" panose="02040503050406030204" pitchFamily="18" charset="0"/>
                  </a:rPr>
                  <a:t>𝑚</a:t>
                </a:r>
                <a:endParaRPr lang="es-CO" sz="1050"/>
              </a:p>
            </xdr:txBody>
          </xdr:sp>
        </mc:Fallback>
      </mc:AlternateContent>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500-000016000000}"/>
                  </a:ext>
                </a:extLst>
              </xdr:cNvPr>
              <xdr:cNvSpPr txBox="1"/>
            </xdr:nvSpPr>
            <xdr:spPr>
              <a:xfrm>
                <a:off x="1049254" y="9864877"/>
                <a:ext cx="1808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𝛿</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22" name="CuadroTexto 21">
                <a:extLst>
                  <a:ext uri="{FF2B5EF4-FFF2-40B4-BE49-F238E27FC236}">
                    <a16:creationId xmlns:a16="http://schemas.microsoft.com/office/drawing/2014/main" id="{00000000-0008-0000-0500-000016000000}"/>
                  </a:ext>
                </a:extLst>
              </xdr:cNvPr>
              <xdr:cNvSpPr txBox="1"/>
            </xdr:nvSpPr>
            <xdr:spPr>
              <a:xfrm>
                <a:off x="1049254" y="9864877"/>
                <a:ext cx="18088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𝛿_1</a:t>
                </a:r>
                <a:endParaRPr lang="es-CO" sz="1050"/>
              </a:p>
            </xdr:txBody>
          </xdr:sp>
        </mc:Fallback>
      </mc:AlternateContent>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500-000018000000}"/>
                  </a:ext>
                </a:extLst>
              </xdr:cNvPr>
              <xdr:cNvSpPr txBox="1"/>
            </xdr:nvSpPr>
            <xdr:spPr>
              <a:xfrm>
                <a:off x="1044604" y="10045086"/>
                <a:ext cx="20774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MX" sz="1200" b="0" i="1">
                              <a:latin typeface="Cambria Math" panose="02040503050406030204" pitchFamily="18" charset="0"/>
                              <a:ea typeface="Cambria Math" panose="02040503050406030204" pitchFamily="18" charset="0"/>
                            </a:rPr>
                            <m:t>1</m:t>
                          </m:r>
                        </m:sub>
                      </m:sSub>
                    </m:oMath>
                  </m:oMathPara>
                </a14:m>
                <a:endParaRPr lang="es-CO" sz="1050"/>
              </a:p>
            </xdr:txBody>
          </xdr:sp>
        </mc:Choice>
        <mc:Fallback xmlns="">
          <xdr:sp macro="" textlink="">
            <xdr:nvSpPr>
              <xdr:cNvPr id="24" name="CuadroTexto 23">
                <a:extLst>
                  <a:ext uri="{FF2B5EF4-FFF2-40B4-BE49-F238E27FC236}">
                    <a16:creationId xmlns:a16="http://schemas.microsoft.com/office/drawing/2014/main" id="{00000000-0008-0000-0500-000018000000}"/>
                  </a:ext>
                </a:extLst>
              </xdr:cNvPr>
              <xdr:cNvSpPr txBox="1"/>
            </xdr:nvSpPr>
            <xdr:spPr>
              <a:xfrm>
                <a:off x="1044604" y="10045086"/>
                <a:ext cx="20774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_1</a:t>
                </a:r>
                <a:endParaRPr lang="es-CO" sz="1050"/>
              </a:p>
            </xdr:txBody>
          </xdr:sp>
        </mc:Fallback>
      </mc:AlternateContent>
    </xdr:grpSp>
    <xdr:clientData/>
  </xdr:twoCellAnchor>
  <xdr:oneCellAnchor>
    <xdr:from>
      <xdr:col>4</xdr:col>
      <xdr:colOff>418419</xdr:colOff>
      <xdr:row>100</xdr:row>
      <xdr:rowOff>154441</xdr:rowOff>
    </xdr:from>
    <xdr:ext cx="728341" cy="172227"/>
    <mc:AlternateContent xmlns:mc="http://schemas.openxmlformats.org/markup-compatibility/2006" xmlns:a14="http://schemas.microsoft.com/office/drawing/2010/main">
      <mc:Choice Requires="a14">
        <xdr:sp macro="" textlink="">
          <xdr:nvSpPr>
            <xdr:cNvPr id="27" name="CuadroTexto 26">
              <a:extLst>
                <a:ext uri="{FF2B5EF4-FFF2-40B4-BE49-F238E27FC236}">
                  <a16:creationId xmlns:a16="http://schemas.microsoft.com/office/drawing/2014/main" id="{00000000-0008-0000-0500-00001B000000}"/>
                </a:ext>
              </a:extLst>
            </xdr:cNvPr>
            <xdr:cNvSpPr txBox="1"/>
          </xdr:nvSpPr>
          <xdr:spPr>
            <a:xfrm>
              <a:off x="1915205" y="18279155"/>
              <a:ext cx="72834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s-MX" sz="1100" b="0" i="0">
                        <a:latin typeface="Cambria Math" panose="02040503050406030204" pitchFamily="18" charset="0"/>
                      </a:rPr>
                      <m:t>Δ</m:t>
                    </m:r>
                    <m:sSub>
                      <m:sSubPr>
                        <m:ctrlPr>
                          <a:rPr lang="es-MX" sz="1100" b="0" i="1">
                            <a:latin typeface="Cambria Math" panose="02040503050406030204" pitchFamily="18" charset="0"/>
                          </a:rPr>
                        </m:ctrlPr>
                      </m:sSubPr>
                      <m:e>
                        <m:r>
                          <m:rPr>
                            <m:sty m:val="p"/>
                          </m:rPr>
                          <a:rPr lang="es-MX" sz="1100" b="0" i="0">
                            <a:latin typeface="Cambria Math" panose="02040503050406030204" pitchFamily="18" charset="0"/>
                          </a:rPr>
                          <m:t>Pa</m:t>
                        </m:r>
                      </m:e>
                      <m:sub>
                        <m:r>
                          <m:rPr>
                            <m:sty m:val="p"/>
                          </m:rPr>
                          <a:rPr lang="es-MX" sz="1100" b="0" i="0">
                            <a:latin typeface="Cambria Math" panose="02040503050406030204" pitchFamily="18" charset="0"/>
                          </a:rPr>
                          <m:t>din</m:t>
                        </m:r>
                        <m:r>
                          <a:rPr lang="es-MX" sz="1100" b="0" i="0">
                            <a:latin typeface="Cambria Math" panose="02040503050406030204" pitchFamily="18" charset="0"/>
                          </a:rPr>
                          <m:t>á</m:t>
                        </m:r>
                        <m:r>
                          <m:rPr>
                            <m:sty m:val="p"/>
                          </m:rPr>
                          <a:rPr lang="es-MX" sz="1100" b="0" i="0">
                            <a:latin typeface="Cambria Math" panose="02040503050406030204" pitchFamily="18" charset="0"/>
                          </a:rPr>
                          <m:t>mico</m:t>
                        </m:r>
                      </m:sub>
                    </m:sSub>
                  </m:oMath>
                </m:oMathPara>
              </a14:m>
              <a:endParaRPr lang="es-CO" sz="1100"/>
            </a:p>
          </xdr:txBody>
        </xdr:sp>
      </mc:Choice>
      <mc:Fallback xmlns="">
        <xdr:sp macro="" textlink="">
          <xdr:nvSpPr>
            <xdr:cNvPr id="27" name="CuadroTexto 26">
              <a:extLst>
                <a:ext uri="{FF2B5EF4-FFF2-40B4-BE49-F238E27FC236}">
                  <a16:creationId xmlns:a16="http://schemas.microsoft.com/office/drawing/2014/main" id="{B918379E-3747-E5F3-1DD6-1999D018D0BE}"/>
                </a:ext>
              </a:extLst>
            </xdr:cNvPr>
            <xdr:cNvSpPr txBox="1"/>
          </xdr:nvSpPr>
          <xdr:spPr>
            <a:xfrm>
              <a:off x="1915205" y="18279155"/>
              <a:ext cx="72834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ΔPa_dinámico</a:t>
              </a:r>
              <a:endParaRPr lang="es-CO" sz="1100"/>
            </a:p>
          </xdr:txBody>
        </xdr:sp>
      </mc:Fallback>
    </mc:AlternateContent>
    <xdr:clientData/>
  </xdr:oneCellAnchor>
  <xdr:twoCellAnchor editAs="oneCell">
    <xdr:from>
      <xdr:col>7</xdr:col>
      <xdr:colOff>295275</xdr:colOff>
      <xdr:row>90</xdr:row>
      <xdr:rowOff>57151</xdr:rowOff>
    </xdr:from>
    <xdr:to>
      <xdr:col>7</xdr:col>
      <xdr:colOff>1343025</xdr:colOff>
      <xdr:row>90</xdr:row>
      <xdr:rowOff>420291</xdr:rowOff>
    </xdr:to>
    <xdr:pic>
      <xdr:nvPicPr>
        <xdr:cNvPr id="28" name="Imagen 27">
          <a:extLst>
            <a:ext uri="{FF2B5EF4-FFF2-40B4-BE49-F238E27FC236}">
              <a16:creationId xmlns:a16="http://schemas.microsoft.com/office/drawing/2014/main" id="{00000000-0008-0000-0500-00001C000000}"/>
            </a:ext>
          </a:extLst>
        </xdr:cNvPr>
        <xdr:cNvPicPr>
          <a:picLocks noChangeAspect="1"/>
        </xdr:cNvPicPr>
      </xdr:nvPicPr>
      <xdr:blipFill>
        <a:blip xmlns:r="http://schemas.openxmlformats.org/officeDocument/2006/relationships" r:embed="rId2"/>
        <a:stretch>
          <a:fillRect/>
        </a:stretch>
      </xdr:blipFill>
      <xdr:spPr>
        <a:xfrm>
          <a:off x="5200650" y="12211051"/>
          <a:ext cx="1047750" cy="363140"/>
        </a:xfrm>
        <a:prstGeom prst="rect">
          <a:avLst/>
        </a:prstGeom>
      </xdr:spPr>
    </xdr:pic>
    <xdr:clientData/>
  </xdr:twoCellAnchor>
  <xdr:twoCellAnchor>
    <xdr:from>
      <xdr:col>4</xdr:col>
      <xdr:colOff>940253</xdr:colOff>
      <xdr:row>90</xdr:row>
      <xdr:rowOff>133349</xdr:rowOff>
    </xdr:from>
    <xdr:to>
      <xdr:col>4</xdr:col>
      <xdr:colOff>1381125</xdr:colOff>
      <xdr:row>90</xdr:row>
      <xdr:rowOff>390524</xdr:rowOff>
    </xdr:to>
    <mc:AlternateContent xmlns:mc="http://schemas.openxmlformats.org/markup-compatibility/2006" xmlns:a14="http://schemas.microsoft.com/office/drawing/2010/main">
      <mc:Choice Requires="a14">
        <xdr:sp macro="" textlink="">
          <xdr:nvSpPr>
            <xdr:cNvPr id="29" name="CuadroTexto 28">
              <a:extLst>
                <a:ext uri="{FF2B5EF4-FFF2-40B4-BE49-F238E27FC236}">
                  <a16:creationId xmlns:a16="http://schemas.microsoft.com/office/drawing/2014/main" id="{00000000-0008-0000-0500-00001D000000}"/>
                </a:ext>
              </a:extLst>
            </xdr:cNvPr>
            <xdr:cNvSpPr txBox="1"/>
          </xdr:nvSpPr>
          <xdr:spPr>
            <a:xfrm>
              <a:off x="4150178" y="20269199"/>
              <a:ext cx="440872"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𝜃</m:t>
                        </m:r>
                      </m:e>
                      <m:sub>
                        <m:r>
                          <a:rPr lang="es-ES" sz="1200" b="0" i="1">
                            <a:latin typeface="Cambria Math" panose="02040503050406030204" pitchFamily="18" charset="0"/>
                            <a:ea typeface="Cambria Math" panose="02040503050406030204" pitchFamily="18" charset="0"/>
                          </a:rPr>
                          <m:t>𝑀𝑂</m:t>
                        </m:r>
                      </m:sub>
                    </m:sSub>
                  </m:oMath>
                </m:oMathPara>
              </a14:m>
              <a:endParaRPr lang="es-CO" sz="1050"/>
            </a:p>
          </xdr:txBody>
        </xdr:sp>
      </mc:Choice>
      <mc:Fallback xmlns="">
        <xdr:sp macro="" textlink="">
          <xdr:nvSpPr>
            <xdr:cNvPr id="29" name="CuadroTexto 28">
              <a:extLst>
                <a:ext uri="{FF2B5EF4-FFF2-40B4-BE49-F238E27FC236}">
                  <a16:creationId xmlns:a16="http://schemas.microsoft.com/office/drawing/2014/main" id="{00000000-0008-0000-0500-00001D000000}"/>
                </a:ext>
              </a:extLst>
            </xdr:cNvPr>
            <xdr:cNvSpPr txBox="1"/>
          </xdr:nvSpPr>
          <xdr:spPr>
            <a:xfrm>
              <a:off x="4150178" y="20269199"/>
              <a:ext cx="440872"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s-MX" sz="1200" b="0" i="0">
                  <a:latin typeface="Cambria Math" panose="02040503050406030204" pitchFamily="18" charset="0"/>
                  <a:ea typeface="Cambria Math" panose="02040503050406030204" pitchFamily="18" charset="0"/>
                </a:rPr>
                <a:t>𝜃_</a:t>
              </a:r>
              <a:r>
                <a:rPr lang="es-ES" sz="1200" b="0" i="0">
                  <a:latin typeface="Cambria Math" panose="02040503050406030204" pitchFamily="18" charset="0"/>
                  <a:ea typeface="Cambria Math" panose="02040503050406030204" pitchFamily="18" charset="0"/>
                </a:rPr>
                <a:t>𝑀𝑂</a:t>
              </a:r>
              <a:endParaRPr lang="es-CO" sz="1050"/>
            </a:p>
          </xdr:txBody>
        </xdr:sp>
      </mc:Fallback>
    </mc:AlternateContent>
    <xdr:clientData/>
  </xdr:twoCellAnchor>
  <xdr:twoCellAnchor editAs="oneCell">
    <xdr:from>
      <xdr:col>7</xdr:col>
      <xdr:colOff>190500</xdr:colOff>
      <xdr:row>100</xdr:row>
      <xdr:rowOff>95250</xdr:rowOff>
    </xdr:from>
    <xdr:to>
      <xdr:col>7</xdr:col>
      <xdr:colOff>1421219</xdr:colOff>
      <xdr:row>101</xdr:row>
      <xdr:rowOff>160423</xdr:rowOff>
    </xdr:to>
    <xdr:pic>
      <xdr:nvPicPr>
        <xdr:cNvPr id="42" name="Imagen 41">
          <a:extLst>
            <a:ext uri="{FF2B5EF4-FFF2-40B4-BE49-F238E27FC236}">
              <a16:creationId xmlns:a16="http://schemas.microsoft.com/office/drawing/2014/main" id="{00000000-0008-0000-0500-00002A000000}"/>
            </a:ext>
          </a:extLst>
        </xdr:cNvPr>
        <xdr:cNvPicPr>
          <a:picLocks noChangeAspect="1"/>
        </xdr:cNvPicPr>
      </xdr:nvPicPr>
      <xdr:blipFill>
        <a:blip xmlns:r="http://schemas.openxmlformats.org/officeDocument/2006/relationships" r:embed="rId3"/>
        <a:stretch>
          <a:fillRect/>
        </a:stretch>
      </xdr:blipFill>
      <xdr:spPr>
        <a:xfrm>
          <a:off x="5102679" y="18219964"/>
          <a:ext cx="1230719" cy="435430"/>
        </a:xfrm>
        <a:prstGeom prst="rect">
          <a:avLst/>
        </a:prstGeom>
      </xdr:spPr>
    </xdr:pic>
    <xdr:clientData/>
  </xdr:twoCellAnchor>
  <xdr:twoCellAnchor editAs="oneCell">
    <xdr:from>
      <xdr:col>7</xdr:col>
      <xdr:colOff>199347</xdr:colOff>
      <xdr:row>87</xdr:row>
      <xdr:rowOff>189911</xdr:rowOff>
    </xdr:from>
    <xdr:to>
      <xdr:col>7</xdr:col>
      <xdr:colOff>1266296</xdr:colOff>
      <xdr:row>87</xdr:row>
      <xdr:rowOff>409017</xdr:rowOff>
    </xdr:to>
    <xdr:pic>
      <xdr:nvPicPr>
        <xdr:cNvPr id="43" name="Imagen 42">
          <a:extLst>
            <a:ext uri="{FF2B5EF4-FFF2-40B4-BE49-F238E27FC236}">
              <a16:creationId xmlns:a16="http://schemas.microsoft.com/office/drawing/2014/main" id="{00000000-0008-0000-0500-00002B000000}"/>
            </a:ext>
          </a:extLst>
        </xdr:cNvPr>
        <xdr:cNvPicPr>
          <a:picLocks noChangeAspect="1"/>
        </xdr:cNvPicPr>
      </xdr:nvPicPr>
      <xdr:blipFill>
        <a:blip xmlns:r="http://schemas.openxmlformats.org/officeDocument/2006/relationships" r:embed="rId4"/>
        <a:stretch>
          <a:fillRect/>
        </a:stretch>
      </xdr:blipFill>
      <xdr:spPr>
        <a:xfrm>
          <a:off x="7514547" y="19116086"/>
          <a:ext cx="1066949" cy="219106"/>
        </a:xfrm>
        <a:prstGeom prst="rect">
          <a:avLst/>
        </a:prstGeom>
      </xdr:spPr>
    </xdr:pic>
    <xdr:clientData/>
  </xdr:twoCellAnchor>
  <xdr:twoCellAnchor>
    <xdr:from>
      <xdr:col>1</xdr:col>
      <xdr:colOff>367393</xdr:colOff>
      <xdr:row>1</xdr:row>
      <xdr:rowOff>27214</xdr:rowOff>
    </xdr:from>
    <xdr:to>
      <xdr:col>1</xdr:col>
      <xdr:colOff>1291318</xdr:colOff>
      <xdr:row>2</xdr:row>
      <xdr:rowOff>93889</xdr:rowOff>
    </xdr:to>
    <xdr:sp macro="" textlink="">
      <xdr:nvSpPr>
        <xdr:cNvPr id="32" name="Rectángulo: esquinas redondeadas 31">
          <a:hlinkClick xmlns:r="http://schemas.openxmlformats.org/officeDocument/2006/relationships" r:id="rId5"/>
          <a:extLst>
            <a:ext uri="{FF2B5EF4-FFF2-40B4-BE49-F238E27FC236}">
              <a16:creationId xmlns:a16="http://schemas.microsoft.com/office/drawing/2014/main" id="{00000000-0008-0000-0500-000020000000}"/>
            </a:ext>
          </a:extLst>
        </xdr:cNvPr>
        <xdr:cNvSpPr/>
      </xdr:nvSpPr>
      <xdr:spPr>
        <a:xfrm>
          <a:off x="1129393" y="231321"/>
          <a:ext cx="923925"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twoCellAnchor>
    <xdr:from>
      <xdr:col>5</xdr:col>
      <xdr:colOff>717177</xdr:colOff>
      <xdr:row>128</xdr:row>
      <xdr:rowOff>168087</xdr:rowOff>
    </xdr:from>
    <xdr:to>
      <xdr:col>6</xdr:col>
      <xdr:colOff>251572</xdr:colOff>
      <xdr:row>128</xdr:row>
      <xdr:rowOff>520512</xdr:rowOff>
    </xdr:to>
    <xdr:pic>
      <xdr:nvPicPr>
        <xdr:cNvPr id="46" name="Imagen 45">
          <a:extLst>
            <a:ext uri="{FF2B5EF4-FFF2-40B4-BE49-F238E27FC236}">
              <a16:creationId xmlns:a16="http://schemas.microsoft.com/office/drawing/2014/main" id="{00000000-0008-0000-0500-00002E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17559" y="30211058"/>
          <a:ext cx="5429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560296</xdr:colOff>
      <xdr:row>129</xdr:row>
      <xdr:rowOff>56030</xdr:rowOff>
    </xdr:from>
    <xdr:to>
      <xdr:col>6</xdr:col>
      <xdr:colOff>365595</xdr:colOff>
      <xdr:row>129</xdr:row>
      <xdr:rowOff>540159</xdr:rowOff>
    </xdr:to>
    <xdr:pic>
      <xdr:nvPicPr>
        <xdr:cNvPr id="48" name="Imagen 47">
          <a:extLst>
            <a:ext uri="{FF2B5EF4-FFF2-40B4-BE49-F238E27FC236}">
              <a16:creationId xmlns:a16="http://schemas.microsoft.com/office/drawing/2014/main" id="{00000000-0008-0000-0500-000030000000}"/>
            </a:ext>
          </a:extLst>
        </xdr:cNvPr>
        <xdr:cNvPicPr>
          <a:picLocks noChangeAspect="1"/>
        </xdr:cNvPicPr>
      </xdr:nvPicPr>
      <xdr:blipFill>
        <a:blip xmlns:r="http://schemas.openxmlformats.org/officeDocument/2006/relationships" r:embed="rId7"/>
        <a:stretch>
          <a:fillRect/>
        </a:stretch>
      </xdr:blipFill>
      <xdr:spPr>
        <a:xfrm>
          <a:off x="5860678" y="30793765"/>
          <a:ext cx="885265" cy="484129"/>
        </a:xfrm>
        <a:prstGeom prst="rect">
          <a:avLst/>
        </a:prstGeom>
      </xdr:spPr>
    </xdr:pic>
    <xdr:clientData/>
  </xdr:twoCellAnchor>
  <xdr:twoCellAnchor editAs="oneCell">
    <xdr:from>
      <xdr:col>7</xdr:col>
      <xdr:colOff>340894</xdr:colOff>
      <xdr:row>107</xdr:row>
      <xdr:rowOff>140368</xdr:rowOff>
    </xdr:from>
    <xdr:to>
      <xdr:col>8</xdr:col>
      <xdr:colOff>47292</xdr:colOff>
      <xdr:row>109</xdr:row>
      <xdr:rowOff>83263</xdr:rowOff>
    </xdr:to>
    <xdr:pic>
      <xdr:nvPicPr>
        <xdr:cNvPr id="19" name="Imagen 18">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8"/>
        <a:stretch>
          <a:fillRect/>
        </a:stretch>
      </xdr:blipFill>
      <xdr:spPr>
        <a:xfrm>
          <a:off x="7579894" y="26349157"/>
          <a:ext cx="1200318" cy="323895"/>
        </a:xfrm>
        <a:prstGeom prst="rect">
          <a:avLst/>
        </a:prstGeom>
      </xdr:spPr>
    </xdr:pic>
    <xdr:clientData/>
  </xdr:twoCellAnchor>
  <xdr:oneCellAnchor>
    <xdr:from>
      <xdr:col>7</xdr:col>
      <xdr:colOff>19050</xdr:colOff>
      <xdr:row>93</xdr:row>
      <xdr:rowOff>4762</xdr:rowOff>
    </xdr:from>
    <xdr:ext cx="1260025" cy="179665"/>
    <mc:AlternateContent xmlns:mc="http://schemas.openxmlformats.org/markup-compatibility/2006" xmlns:a14="http://schemas.microsoft.com/office/drawing/2010/main">
      <mc:Choice Requires="a14">
        <xdr:sp macro="" textlink="">
          <xdr:nvSpPr>
            <xdr:cNvPr id="30" name="CuadroTexto 29">
              <a:extLst>
                <a:ext uri="{FF2B5EF4-FFF2-40B4-BE49-F238E27FC236}">
                  <a16:creationId xmlns:a16="http://schemas.microsoft.com/office/drawing/2014/main" id="{19B0C18D-96E0-4BEB-BD7D-D62B2462C518}"/>
                </a:ext>
              </a:extLst>
            </xdr:cNvPr>
            <xdr:cNvSpPr txBox="1"/>
          </xdr:nvSpPr>
          <xdr:spPr>
            <a:xfrm>
              <a:off x="7334250" y="20969287"/>
              <a:ext cx="1260025" cy="179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unc>
                      <m:funcPr>
                        <m:ctrlPr>
                          <a:rPr lang="es-CO" sz="1100" i="1">
                            <a:solidFill>
                              <a:schemeClr val="tx1"/>
                            </a:solidFill>
                            <a:effectLst/>
                            <a:latin typeface="Cambria Math" panose="02040503050406030204" pitchFamily="18" charset="0"/>
                            <a:ea typeface="+mn-ea"/>
                            <a:cs typeface="+mn-cs"/>
                          </a:rPr>
                        </m:ctrlPr>
                      </m:funcPr>
                      <m:fName>
                        <m:sSup>
                          <m:sSupPr>
                            <m:ctrlPr>
                              <a:rPr lang="es-CO" sz="1100" i="1">
                                <a:solidFill>
                                  <a:schemeClr val="tx1"/>
                                </a:solidFill>
                                <a:effectLst/>
                                <a:latin typeface="Cambria Math" panose="02040503050406030204" pitchFamily="18" charset="0"/>
                                <a:ea typeface="+mn-ea"/>
                                <a:cs typeface="+mn-cs"/>
                              </a:rPr>
                            </m:ctrlPr>
                          </m:sSupPr>
                          <m:e>
                            <m:r>
                              <m:rPr>
                                <m:sty m:val="p"/>
                              </m:rPr>
                              <a:rPr lang="es-CO" sz="1100">
                                <a:solidFill>
                                  <a:schemeClr val="tx1"/>
                                </a:solidFill>
                                <a:effectLst/>
                                <a:latin typeface="Cambria Math" panose="02040503050406030204" pitchFamily="18" charset="0"/>
                                <a:ea typeface="+mn-ea"/>
                                <a:cs typeface="+mn-cs"/>
                              </a:rPr>
                              <m:t>cos</m:t>
                            </m:r>
                          </m:e>
                          <m:sup>
                            <m:r>
                              <a:rPr lang="es-CO" sz="1100" i="1">
                                <a:solidFill>
                                  <a:schemeClr val="tx1"/>
                                </a:solidFill>
                                <a:effectLst/>
                                <a:latin typeface="Cambria Math" panose="02040503050406030204" pitchFamily="18" charset="0"/>
                                <a:ea typeface="+mn-ea"/>
                                <a:cs typeface="+mn-cs"/>
                              </a:rPr>
                              <m:t>2</m:t>
                            </m:r>
                          </m:sup>
                        </m:sSup>
                      </m:fName>
                      <m:e>
                        <m:r>
                          <a:rPr lang="es-CO" sz="1100" i="1">
                            <a:solidFill>
                              <a:schemeClr val="tx1"/>
                            </a:solidFill>
                            <a:effectLst/>
                            <a:latin typeface="Cambria Math" panose="02040503050406030204" pitchFamily="18" charset="0"/>
                            <a:ea typeface="+mn-ea"/>
                            <a:cs typeface="+mn-cs"/>
                          </a:rPr>
                          <m:t>(</m:t>
                        </m:r>
                        <m:r>
                          <a:rPr lang="es-CO" sz="1100" i="1">
                            <a:solidFill>
                              <a:schemeClr val="tx1"/>
                            </a:solidFill>
                            <a:effectLst/>
                            <a:latin typeface="Cambria Math" panose="02040503050406030204" pitchFamily="18" charset="0"/>
                            <a:ea typeface="+mn-ea"/>
                            <a:cs typeface="+mn-cs"/>
                          </a:rPr>
                          <m:t>𝜙</m:t>
                        </m:r>
                        <m:r>
                          <a:rPr lang="es-CO" sz="1100" i="1">
                            <a:solidFill>
                              <a:schemeClr val="tx1"/>
                            </a:solidFill>
                            <a:effectLst/>
                            <a:latin typeface="Cambria Math" panose="02040503050406030204" pitchFamily="18" charset="0"/>
                            <a:ea typeface="+mn-ea"/>
                            <a:cs typeface="+mn-cs"/>
                          </a:rPr>
                          <m:t>−</m:t>
                        </m:r>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𝛽</m:t>
                            </m:r>
                          </m:e>
                          <m:sub>
                            <m:r>
                              <a:rPr lang="es-CO" sz="1100" i="1">
                                <a:solidFill>
                                  <a:schemeClr val="tx1"/>
                                </a:solidFill>
                                <a:effectLst/>
                                <a:latin typeface="Cambria Math" panose="02040503050406030204" pitchFamily="18" charset="0"/>
                                <a:ea typeface="+mn-ea"/>
                                <a:cs typeface="+mn-cs"/>
                              </a:rPr>
                              <m:t>𝑚</m:t>
                            </m:r>
                          </m:sub>
                        </m:sSub>
                        <m:r>
                          <a:rPr lang="es-CO" sz="1100" i="1">
                            <a:solidFill>
                              <a:schemeClr val="tx1"/>
                            </a:solidFill>
                            <a:effectLst/>
                            <a:latin typeface="Cambria Math" panose="02040503050406030204" pitchFamily="18" charset="0"/>
                            <a:ea typeface="+mn-ea"/>
                            <a:cs typeface="+mn-cs"/>
                          </a:rPr>
                          <m:t>−</m:t>
                        </m:r>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𝜃</m:t>
                            </m:r>
                          </m:e>
                          <m:sub>
                            <m:r>
                              <a:rPr lang="es-CO" sz="1100" i="1">
                                <a:solidFill>
                                  <a:schemeClr val="tx1"/>
                                </a:solidFill>
                                <a:effectLst/>
                                <a:latin typeface="Cambria Math" panose="02040503050406030204" pitchFamily="18" charset="0"/>
                                <a:ea typeface="+mn-ea"/>
                                <a:cs typeface="+mn-cs"/>
                              </a:rPr>
                              <m:t>𝑀𝑂</m:t>
                            </m:r>
                          </m:sub>
                        </m:sSub>
                        <m:r>
                          <a:rPr lang="es-CO" sz="1100" i="1">
                            <a:solidFill>
                              <a:schemeClr val="tx1"/>
                            </a:solidFill>
                            <a:effectLst/>
                            <a:latin typeface="Cambria Math" panose="02040503050406030204" pitchFamily="18" charset="0"/>
                            <a:ea typeface="+mn-ea"/>
                            <a:cs typeface="+mn-cs"/>
                          </a:rPr>
                          <m:t>)</m:t>
                        </m:r>
                      </m:e>
                    </m:func>
                  </m:oMath>
                </m:oMathPara>
              </a14:m>
              <a:endParaRPr lang="es-CO" sz="1100"/>
            </a:p>
          </xdr:txBody>
        </xdr:sp>
      </mc:Choice>
      <mc:Fallback xmlns="">
        <xdr:sp macro="" textlink="">
          <xdr:nvSpPr>
            <xdr:cNvPr id="30" name="CuadroTexto 29">
              <a:extLst>
                <a:ext uri="{FF2B5EF4-FFF2-40B4-BE49-F238E27FC236}">
                  <a16:creationId xmlns:a16="http://schemas.microsoft.com/office/drawing/2014/main" id="{19B0C18D-96E0-4BEB-BD7D-D62B2462C518}"/>
                </a:ext>
              </a:extLst>
            </xdr:cNvPr>
            <xdr:cNvSpPr txBox="1"/>
          </xdr:nvSpPr>
          <xdr:spPr>
            <a:xfrm>
              <a:off x="7334250" y="20969287"/>
              <a:ext cx="1260025" cy="179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solidFill>
                    <a:schemeClr val="tx1"/>
                  </a:solidFill>
                  <a:effectLst/>
                  <a:latin typeface="+mn-lt"/>
                  <a:ea typeface="+mn-ea"/>
                  <a:cs typeface="+mn-cs"/>
                </a:rPr>
                <a:t>cos^2⁡〖(𝜙−𝛽_𝑚−𝜃_𝑀𝑂)〗</a:t>
              </a:r>
              <a:endParaRPr lang="es-CO" sz="1100"/>
            </a:p>
          </xdr:txBody>
        </xdr:sp>
      </mc:Fallback>
    </mc:AlternateContent>
    <xdr:clientData/>
  </xdr:oneCellAnchor>
  <xdr:oneCellAnchor>
    <xdr:from>
      <xdr:col>6</xdr:col>
      <xdr:colOff>428625</xdr:colOff>
      <xdr:row>93</xdr:row>
      <xdr:rowOff>204787</xdr:rowOff>
    </xdr:from>
    <xdr:ext cx="2172967" cy="179665"/>
    <mc:AlternateContent xmlns:mc="http://schemas.openxmlformats.org/markup-compatibility/2006" xmlns:a14="http://schemas.microsoft.com/office/drawing/2010/main">
      <mc:Choice Requires="a14">
        <xdr:sp macro="" textlink="">
          <xdr:nvSpPr>
            <xdr:cNvPr id="36" name="CuadroTexto 35">
              <a:extLst>
                <a:ext uri="{FF2B5EF4-FFF2-40B4-BE49-F238E27FC236}">
                  <a16:creationId xmlns:a16="http://schemas.microsoft.com/office/drawing/2014/main" id="{1E2806C0-8984-1C0A-CF44-4D5AC241F38B}"/>
                </a:ext>
              </a:extLst>
            </xdr:cNvPr>
            <xdr:cNvSpPr txBox="1"/>
          </xdr:nvSpPr>
          <xdr:spPr>
            <a:xfrm>
              <a:off x="6819900" y="21169312"/>
              <a:ext cx="2172967" cy="179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unc>
                      <m:funcPr>
                        <m:ctrlPr>
                          <a:rPr lang="es-CO" sz="1100" i="1">
                            <a:solidFill>
                              <a:schemeClr val="tx1"/>
                            </a:solidFill>
                            <a:effectLst/>
                            <a:latin typeface="Cambria Math" panose="02040503050406030204" pitchFamily="18" charset="0"/>
                            <a:ea typeface="+mn-ea"/>
                            <a:cs typeface="+mn-cs"/>
                          </a:rPr>
                        </m:ctrlPr>
                      </m:funcPr>
                      <m:fName>
                        <m:r>
                          <m:rPr>
                            <m:sty m:val="p"/>
                          </m:rPr>
                          <a:rPr lang="es-CO" sz="1100">
                            <a:solidFill>
                              <a:schemeClr val="tx1"/>
                            </a:solidFill>
                            <a:effectLst/>
                            <a:latin typeface="Cambria Math" panose="02040503050406030204" pitchFamily="18" charset="0"/>
                            <a:ea typeface="+mn-ea"/>
                            <a:cs typeface="+mn-cs"/>
                          </a:rPr>
                          <m:t>cos</m:t>
                        </m:r>
                      </m:fName>
                      <m:e>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𝜃</m:t>
                            </m:r>
                          </m:e>
                          <m:sub>
                            <m:r>
                              <a:rPr lang="es-CO" sz="1100" i="1">
                                <a:solidFill>
                                  <a:schemeClr val="tx1"/>
                                </a:solidFill>
                                <a:effectLst/>
                                <a:latin typeface="Cambria Math" panose="02040503050406030204" pitchFamily="18" charset="0"/>
                                <a:ea typeface="+mn-ea"/>
                                <a:cs typeface="+mn-cs"/>
                              </a:rPr>
                              <m:t>𝑀𝑂</m:t>
                            </m:r>
                          </m:sub>
                        </m:sSub>
                        <m:r>
                          <a:rPr lang="es-CO" sz="1100" i="1">
                            <a:solidFill>
                              <a:schemeClr val="tx1"/>
                            </a:solidFill>
                            <a:effectLst/>
                            <a:latin typeface="Cambria Math" panose="02040503050406030204" pitchFamily="18" charset="0"/>
                            <a:ea typeface="+mn-ea"/>
                            <a:cs typeface="+mn-cs"/>
                          </a:rPr>
                          <m:t> </m:t>
                        </m:r>
                      </m:e>
                    </m:func>
                    <m:func>
                      <m:funcPr>
                        <m:ctrlPr>
                          <a:rPr lang="es-CO" sz="1100" i="1">
                            <a:solidFill>
                              <a:schemeClr val="tx1"/>
                            </a:solidFill>
                            <a:effectLst/>
                            <a:latin typeface="Cambria Math" panose="02040503050406030204" pitchFamily="18" charset="0"/>
                            <a:ea typeface="+mn-ea"/>
                            <a:cs typeface="+mn-cs"/>
                          </a:rPr>
                        </m:ctrlPr>
                      </m:funcPr>
                      <m:fName>
                        <m:sSup>
                          <m:sSupPr>
                            <m:ctrlPr>
                              <a:rPr lang="es-CO" sz="1100" i="1">
                                <a:solidFill>
                                  <a:schemeClr val="tx1"/>
                                </a:solidFill>
                                <a:effectLst/>
                                <a:latin typeface="Cambria Math" panose="02040503050406030204" pitchFamily="18" charset="0"/>
                                <a:ea typeface="+mn-ea"/>
                                <a:cs typeface="+mn-cs"/>
                              </a:rPr>
                            </m:ctrlPr>
                          </m:sSupPr>
                          <m:e>
                            <m:r>
                              <m:rPr>
                                <m:sty m:val="p"/>
                              </m:rPr>
                              <a:rPr lang="es-CO" sz="1100">
                                <a:solidFill>
                                  <a:schemeClr val="tx1"/>
                                </a:solidFill>
                                <a:effectLst/>
                                <a:latin typeface="Cambria Math" panose="02040503050406030204" pitchFamily="18" charset="0"/>
                                <a:ea typeface="+mn-ea"/>
                                <a:cs typeface="+mn-cs"/>
                              </a:rPr>
                              <m:t>cos</m:t>
                            </m:r>
                          </m:e>
                          <m:sup>
                            <m:r>
                              <a:rPr lang="es-CO" sz="1100">
                                <a:solidFill>
                                  <a:schemeClr val="tx1"/>
                                </a:solidFill>
                                <a:effectLst/>
                                <a:latin typeface="Cambria Math" panose="02040503050406030204" pitchFamily="18" charset="0"/>
                                <a:ea typeface="+mn-ea"/>
                                <a:cs typeface="+mn-cs"/>
                              </a:rPr>
                              <m:t>2</m:t>
                            </m:r>
                          </m:sup>
                        </m:sSup>
                      </m:fName>
                      <m:e>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𝛽</m:t>
                            </m:r>
                          </m:e>
                          <m:sub>
                            <m:r>
                              <a:rPr lang="es-CO" sz="1100" i="1">
                                <a:solidFill>
                                  <a:schemeClr val="tx1"/>
                                </a:solidFill>
                                <a:effectLst/>
                                <a:latin typeface="Cambria Math" panose="02040503050406030204" pitchFamily="18" charset="0"/>
                                <a:ea typeface="+mn-ea"/>
                                <a:cs typeface="+mn-cs"/>
                              </a:rPr>
                              <m:t>𝑚</m:t>
                            </m:r>
                          </m:sub>
                        </m:sSub>
                      </m:e>
                    </m:func>
                    <m:r>
                      <m:rPr>
                        <m:sty m:val="p"/>
                      </m:rPr>
                      <a:rPr lang="es-CO" sz="1100">
                        <a:solidFill>
                          <a:schemeClr val="tx1"/>
                        </a:solidFill>
                        <a:effectLst/>
                        <a:latin typeface="Cambria Math" panose="02040503050406030204" pitchFamily="18" charset="0"/>
                        <a:ea typeface="+mn-ea"/>
                        <a:cs typeface="+mn-cs"/>
                      </a:rPr>
                      <m:t>cos</m:t>
                    </m:r>
                    <m:r>
                      <a:rPr lang="es-CO" sz="1100" i="1">
                        <a:solidFill>
                          <a:schemeClr val="tx1"/>
                        </a:solidFill>
                        <a:effectLst/>
                        <a:latin typeface="Cambria Math" panose="02040503050406030204" pitchFamily="18" charset="0"/>
                        <a:ea typeface="+mn-ea"/>
                        <a:cs typeface="+mn-cs"/>
                      </a:rPr>
                      <m:t>(</m:t>
                    </m:r>
                    <m:r>
                      <a:rPr lang="es-CO" sz="1100" i="1">
                        <a:solidFill>
                          <a:schemeClr val="tx1"/>
                        </a:solidFill>
                        <a:effectLst/>
                        <a:latin typeface="Cambria Math" panose="02040503050406030204" pitchFamily="18" charset="0"/>
                        <a:ea typeface="+mn-ea"/>
                        <a:cs typeface="+mn-cs"/>
                      </a:rPr>
                      <m:t>𝛿</m:t>
                    </m:r>
                    <m:r>
                      <a:rPr lang="es-CO" sz="1100" i="1">
                        <a:solidFill>
                          <a:schemeClr val="tx1"/>
                        </a:solidFill>
                        <a:effectLst/>
                        <a:latin typeface="Cambria Math" panose="02040503050406030204" pitchFamily="18" charset="0"/>
                        <a:ea typeface="+mn-ea"/>
                        <a:cs typeface="+mn-cs"/>
                      </a:rPr>
                      <m:t>+</m:t>
                    </m:r>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𝛽</m:t>
                        </m:r>
                      </m:e>
                      <m:sub>
                        <m:r>
                          <a:rPr lang="es-CO" sz="1100" i="1">
                            <a:solidFill>
                              <a:schemeClr val="tx1"/>
                            </a:solidFill>
                            <a:effectLst/>
                            <a:latin typeface="Cambria Math" panose="02040503050406030204" pitchFamily="18" charset="0"/>
                            <a:ea typeface="+mn-ea"/>
                            <a:cs typeface="+mn-cs"/>
                          </a:rPr>
                          <m:t>𝑚</m:t>
                        </m:r>
                      </m:sub>
                    </m:sSub>
                    <m:r>
                      <a:rPr lang="es-CO" sz="1100" i="1">
                        <a:solidFill>
                          <a:schemeClr val="tx1"/>
                        </a:solidFill>
                        <a:effectLst/>
                        <a:latin typeface="Cambria Math" panose="02040503050406030204" pitchFamily="18" charset="0"/>
                        <a:ea typeface="+mn-ea"/>
                        <a:cs typeface="+mn-cs"/>
                      </a:rPr>
                      <m:t>+</m:t>
                    </m:r>
                    <m:sSub>
                      <m:sSubPr>
                        <m:ctrlPr>
                          <a:rPr lang="es-CO" sz="1100" i="1">
                            <a:solidFill>
                              <a:schemeClr val="tx1"/>
                            </a:solidFill>
                            <a:effectLst/>
                            <a:latin typeface="Cambria Math" panose="02040503050406030204" pitchFamily="18" charset="0"/>
                            <a:ea typeface="+mn-ea"/>
                            <a:cs typeface="+mn-cs"/>
                          </a:rPr>
                        </m:ctrlPr>
                      </m:sSubPr>
                      <m:e>
                        <m:r>
                          <a:rPr lang="es-CO" sz="1100" i="1">
                            <a:solidFill>
                              <a:schemeClr val="tx1"/>
                            </a:solidFill>
                            <a:effectLst/>
                            <a:latin typeface="Cambria Math" panose="02040503050406030204" pitchFamily="18" charset="0"/>
                            <a:ea typeface="+mn-ea"/>
                            <a:cs typeface="+mn-cs"/>
                          </a:rPr>
                          <m:t>𝜃</m:t>
                        </m:r>
                      </m:e>
                      <m:sub>
                        <m:r>
                          <a:rPr lang="es-CO" sz="1100" i="1">
                            <a:solidFill>
                              <a:schemeClr val="tx1"/>
                            </a:solidFill>
                            <a:effectLst/>
                            <a:latin typeface="Cambria Math" panose="02040503050406030204" pitchFamily="18" charset="0"/>
                            <a:ea typeface="+mn-ea"/>
                            <a:cs typeface="+mn-cs"/>
                          </a:rPr>
                          <m:t>𝑀𝑂</m:t>
                        </m:r>
                      </m:sub>
                    </m:sSub>
                    <m:r>
                      <a:rPr lang="es-CO" sz="1100" i="1">
                        <a:solidFill>
                          <a:schemeClr val="tx1"/>
                        </a:solidFill>
                        <a:effectLst/>
                        <a:latin typeface="Cambria Math" panose="02040503050406030204" pitchFamily="18" charset="0"/>
                        <a:ea typeface="+mn-ea"/>
                        <a:cs typeface="+mn-cs"/>
                      </a:rPr>
                      <m:t>)</m:t>
                    </m:r>
                  </m:oMath>
                </m:oMathPara>
              </a14:m>
              <a:endParaRPr lang="es-CO" sz="1100"/>
            </a:p>
          </xdr:txBody>
        </xdr:sp>
      </mc:Choice>
      <mc:Fallback xmlns="">
        <xdr:sp macro="" textlink="">
          <xdr:nvSpPr>
            <xdr:cNvPr id="36" name="CuadroTexto 35">
              <a:extLst>
                <a:ext uri="{FF2B5EF4-FFF2-40B4-BE49-F238E27FC236}">
                  <a16:creationId xmlns:a16="http://schemas.microsoft.com/office/drawing/2014/main" id="{1E2806C0-8984-1C0A-CF44-4D5AC241F38B}"/>
                </a:ext>
              </a:extLst>
            </xdr:cNvPr>
            <xdr:cNvSpPr txBox="1"/>
          </xdr:nvSpPr>
          <xdr:spPr>
            <a:xfrm>
              <a:off x="6819900" y="21169312"/>
              <a:ext cx="2172967" cy="179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solidFill>
                    <a:schemeClr val="tx1"/>
                  </a:solidFill>
                  <a:effectLst/>
                  <a:latin typeface="+mn-lt"/>
                  <a:ea typeface="+mn-ea"/>
                  <a:cs typeface="+mn-cs"/>
                </a:rPr>
                <a:t>cos⁡〖𝜃_𝑀𝑂  〗  cos^2⁡〖𝛽_𝑚 〗 cos(𝛿+𝛽_𝑚+𝜃_𝑀𝑂)</a:t>
              </a:r>
              <a:endParaRPr lang="es-CO" sz="1100"/>
            </a:p>
          </xdr:txBody>
        </xdr:sp>
      </mc:Fallback>
    </mc:AlternateContent>
    <xdr:clientData/>
  </xdr:oneCellAnchor>
  <xdr:oneCellAnchor>
    <xdr:from>
      <xdr:col>6</xdr:col>
      <xdr:colOff>361950</xdr:colOff>
      <xdr:row>94</xdr:row>
      <xdr:rowOff>176212</xdr:rowOff>
    </xdr:from>
    <xdr:ext cx="1990673" cy="471091"/>
    <mc:AlternateContent xmlns:mc="http://schemas.openxmlformats.org/markup-compatibility/2006" xmlns:a14="http://schemas.microsoft.com/office/drawing/2010/main">
      <mc:Choice Requires="a14">
        <xdr:sp macro="" textlink="">
          <xdr:nvSpPr>
            <xdr:cNvPr id="37" name="CuadroTexto 36">
              <a:extLst>
                <a:ext uri="{FF2B5EF4-FFF2-40B4-BE49-F238E27FC236}">
                  <a16:creationId xmlns:a16="http://schemas.microsoft.com/office/drawing/2014/main" id="{C1F2B067-5545-6BFC-A6B0-ECCD69A69ACB}"/>
                </a:ext>
              </a:extLst>
            </xdr:cNvPr>
            <xdr:cNvSpPr txBox="1"/>
          </xdr:nvSpPr>
          <xdr:spPr>
            <a:xfrm>
              <a:off x="6753225" y="21464587"/>
              <a:ext cx="1990673" cy="471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900" i="1">
                            <a:solidFill>
                              <a:schemeClr val="tx1"/>
                            </a:solidFill>
                            <a:effectLst/>
                            <a:latin typeface="Cambria Math" panose="02040503050406030204" pitchFamily="18" charset="0"/>
                            <a:ea typeface="+mn-ea"/>
                            <a:cs typeface="+mn-cs"/>
                          </a:rPr>
                        </m:ctrlPr>
                      </m:sSupPr>
                      <m:e>
                        <m:d>
                          <m:dPr>
                            <m:begChr m:val="["/>
                            <m:endChr m:val="]"/>
                            <m:ctrlPr>
                              <a:rPr lang="es-CO" sz="900" i="1">
                                <a:solidFill>
                                  <a:schemeClr val="tx1"/>
                                </a:solidFill>
                                <a:effectLst/>
                                <a:latin typeface="Cambria Math" panose="02040503050406030204" pitchFamily="18" charset="0"/>
                                <a:ea typeface="+mn-ea"/>
                                <a:cs typeface="+mn-cs"/>
                              </a:rPr>
                            </m:ctrlPr>
                          </m:dPr>
                          <m:e>
                            <m:r>
                              <a:rPr lang="es-CO" sz="900" i="1">
                                <a:solidFill>
                                  <a:schemeClr val="tx1"/>
                                </a:solidFill>
                                <a:effectLst/>
                                <a:latin typeface="Cambria Math" panose="02040503050406030204" pitchFamily="18" charset="0"/>
                                <a:ea typeface="+mn-ea"/>
                                <a:cs typeface="+mn-cs"/>
                              </a:rPr>
                              <m:t>1+</m:t>
                            </m:r>
                            <m:rad>
                              <m:radPr>
                                <m:degHide m:val="on"/>
                                <m:ctrlPr>
                                  <a:rPr lang="es-CO" sz="900" i="1">
                                    <a:solidFill>
                                      <a:schemeClr val="tx1"/>
                                    </a:solidFill>
                                    <a:effectLst/>
                                    <a:latin typeface="Cambria Math" panose="02040503050406030204" pitchFamily="18" charset="0"/>
                                    <a:ea typeface="+mn-ea"/>
                                    <a:cs typeface="+mn-cs"/>
                                  </a:rPr>
                                </m:ctrlPr>
                              </m:radPr>
                              <m:deg/>
                              <m:e>
                                <m:f>
                                  <m:fPr>
                                    <m:ctrlPr>
                                      <a:rPr lang="es-CO" sz="900" i="1">
                                        <a:solidFill>
                                          <a:schemeClr val="tx1"/>
                                        </a:solidFill>
                                        <a:effectLst/>
                                        <a:latin typeface="Cambria Math" panose="02040503050406030204" pitchFamily="18" charset="0"/>
                                        <a:ea typeface="+mn-ea"/>
                                        <a:cs typeface="+mn-cs"/>
                                      </a:rPr>
                                    </m:ctrlPr>
                                  </m:fPr>
                                  <m:num>
                                    <m:func>
                                      <m:funcPr>
                                        <m:ctrlPr>
                                          <a:rPr lang="es-CO" sz="900" i="1">
                                            <a:solidFill>
                                              <a:schemeClr val="tx1"/>
                                            </a:solidFill>
                                            <a:effectLst/>
                                            <a:latin typeface="Cambria Math" panose="02040503050406030204" pitchFamily="18" charset="0"/>
                                            <a:ea typeface="+mn-ea"/>
                                            <a:cs typeface="+mn-cs"/>
                                          </a:rPr>
                                        </m:ctrlPr>
                                      </m:funcPr>
                                      <m:fName>
                                        <m:r>
                                          <m:rPr>
                                            <m:sty m:val="p"/>
                                          </m:rPr>
                                          <a:rPr lang="es-CO" sz="900">
                                            <a:solidFill>
                                              <a:schemeClr val="tx1"/>
                                            </a:solidFill>
                                            <a:effectLst/>
                                            <a:latin typeface="Cambria Math" panose="02040503050406030204" pitchFamily="18" charset="0"/>
                                            <a:ea typeface="+mn-ea"/>
                                            <a:cs typeface="+mn-cs"/>
                                          </a:rPr>
                                          <m:t>sin</m:t>
                                        </m:r>
                                      </m:fName>
                                      <m:e>
                                        <m:d>
                                          <m:dPr>
                                            <m:ctrlPr>
                                              <a:rPr lang="es-CO" sz="900" i="1">
                                                <a:solidFill>
                                                  <a:schemeClr val="tx1"/>
                                                </a:solidFill>
                                                <a:effectLst/>
                                                <a:latin typeface="Cambria Math" panose="02040503050406030204" pitchFamily="18" charset="0"/>
                                                <a:ea typeface="+mn-ea"/>
                                                <a:cs typeface="+mn-cs"/>
                                              </a:rPr>
                                            </m:ctrlPr>
                                          </m:dPr>
                                          <m:e>
                                            <m:r>
                                              <a:rPr lang="es-CO" sz="900" i="1">
                                                <a:solidFill>
                                                  <a:schemeClr val="tx1"/>
                                                </a:solidFill>
                                                <a:effectLst/>
                                                <a:latin typeface="Cambria Math" panose="02040503050406030204" pitchFamily="18" charset="0"/>
                                                <a:ea typeface="+mn-ea"/>
                                                <a:cs typeface="+mn-cs"/>
                                              </a:rPr>
                                              <m:t>𝜙</m:t>
                                            </m:r>
                                            <m:r>
                                              <a:rPr lang="es-CO" sz="900" i="1">
                                                <a:solidFill>
                                                  <a:schemeClr val="tx1"/>
                                                </a:solidFill>
                                                <a:effectLst/>
                                                <a:latin typeface="Cambria Math" panose="02040503050406030204" pitchFamily="18" charset="0"/>
                                                <a:ea typeface="+mn-ea"/>
                                                <a:cs typeface="+mn-cs"/>
                                              </a:rPr>
                                              <m:t>+</m:t>
                                            </m:r>
                                            <m:r>
                                              <a:rPr lang="es-CO" sz="900" i="1">
                                                <a:solidFill>
                                                  <a:schemeClr val="tx1"/>
                                                </a:solidFill>
                                                <a:effectLst/>
                                                <a:latin typeface="Cambria Math" panose="02040503050406030204" pitchFamily="18" charset="0"/>
                                                <a:ea typeface="+mn-ea"/>
                                                <a:cs typeface="+mn-cs"/>
                                              </a:rPr>
                                              <m:t>𝛿</m:t>
                                            </m:r>
                                          </m:e>
                                        </m:d>
                                      </m:e>
                                    </m:func>
                                    <m:func>
                                      <m:funcPr>
                                        <m:ctrlPr>
                                          <a:rPr lang="es-CO" sz="900" i="1">
                                            <a:solidFill>
                                              <a:schemeClr val="tx1"/>
                                            </a:solidFill>
                                            <a:effectLst/>
                                            <a:latin typeface="Cambria Math" panose="02040503050406030204" pitchFamily="18" charset="0"/>
                                            <a:ea typeface="+mn-ea"/>
                                            <a:cs typeface="+mn-cs"/>
                                          </a:rPr>
                                        </m:ctrlPr>
                                      </m:funcPr>
                                      <m:fName>
                                        <m:r>
                                          <m:rPr>
                                            <m:sty m:val="p"/>
                                          </m:rPr>
                                          <a:rPr lang="es-CO" sz="900">
                                            <a:solidFill>
                                              <a:schemeClr val="tx1"/>
                                            </a:solidFill>
                                            <a:effectLst/>
                                            <a:latin typeface="Cambria Math" panose="02040503050406030204" pitchFamily="18" charset="0"/>
                                            <a:ea typeface="+mn-ea"/>
                                            <a:cs typeface="+mn-cs"/>
                                          </a:rPr>
                                          <m:t>sin</m:t>
                                        </m:r>
                                      </m:fName>
                                      <m:e>
                                        <m:d>
                                          <m:dPr>
                                            <m:ctrlPr>
                                              <a:rPr lang="es-CO" sz="900" i="1">
                                                <a:solidFill>
                                                  <a:schemeClr val="tx1"/>
                                                </a:solidFill>
                                                <a:effectLst/>
                                                <a:latin typeface="Cambria Math" panose="02040503050406030204" pitchFamily="18" charset="0"/>
                                                <a:ea typeface="+mn-ea"/>
                                                <a:cs typeface="+mn-cs"/>
                                              </a:rPr>
                                            </m:ctrlPr>
                                          </m:dPr>
                                          <m:e>
                                            <m:r>
                                              <a:rPr lang="es-CO" sz="900" i="1">
                                                <a:solidFill>
                                                  <a:schemeClr val="tx1"/>
                                                </a:solidFill>
                                                <a:effectLst/>
                                                <a:latin typeface="Cambria Math" panose="02040503050406030204" pitchFamily="18" charset="0"/>
                                                <a:ea typeface="+mn-ea"/>
                                                <a:cs typeface="+mn-cs"/>
                                              </a:rPr>
                                              <m:t>𝜙</m:t>
                                            </m:r>
                                            <m:r>
                                              <a:rPr lang="es-CO" sz="900" i="1">
                                                <a:solidFill>
                                                  <a:schemeClr val="tx1"/>
                                                </a:solidFill>
                                                <a:effectLst/>
                                                <a:latin typeface="Cambria Math" panose="02040503050406030204" pitchFamily="18" charset="0"/>
                                                <a:ea typeface="+mn-ea"/>
                                                <a:cs typeface="+mn-cs"/>
                                              </a:rPr>
                                              <m:t>−</m:t>
                                            </m:r>
                                            <m:r>
                                              <a:rPr lang="es-CO" sz="900" i="1">
                                                <a:solidFill>
                                                  <a:schemeClr val="tx1"/>
                                                </a:solidFill>
                                                <a:effectLst/>
                                                <a:latin typeface="Cambria Math" panose="02040503050406030204" pitchFamily="18" charset="0"/>
                                                <a:ea typeface="+mn-ea"/>
                                                <a:cs typeface="+mn-cs"/>
                                              </a:rPr>
                                              <m:t>𝑖</m:t>
                                            </m:r>
                                            <m:r>
                                              <a:rPr lang="es-CO" sz="900" i="1">
                                                <a:solidFill>
                                                  <a:schemeClr val="tx1"/>
                                                </a:solidFill>
                                                <a:effectLst/>
                                                <a:latin typeface="Cambria Math" panose="02040503050406030204" pitchFamily="18" charset="0"/>
                                                <a:ea typeface="+mn-ea"/>
                                                <a:cs typeface="+mn-cs"/>
                                              </a:rPr>
                                              <m:t>−</m:t>
                                            </m:r>
                                            <m:sSub>
                                              <m:sSubPr>
                                                <m:ctrlPr>
                                                  <a:rPr lang="es-CO" sz="900" i="1">
                                                    <a:solidFill>
                                                      <a:schemeClr val="tx1"/>
                                                    </a:solidFill>
                                                    <a:effectLst/>
                                                    <a:latin typeface="Cambria Math" panose="02040503050406030204" pitchFamily="18" charset="0"/>
                                                    <a:ea typeface="+mn-ea"/>
                                                    <a:cs typeface="+mn-cs"/>
                                                  </a:rPr>
                                                </m:ctrlPr>
                                              </m:sSubPr>
                                              <m:e>
                                                <m:r>
                                                  <a:rPr lang="es-CO" sz="900" i="1">
                                                    <a:solidFill>
                                                      <a:schemeClr val="tx1"/>
                                                    </a:solidFill>
                                                    <a:effectLst/>
                                                    <a:latin typeface="Cambria Math" panose="02040503050406030204" pitchFamily="18" charset="0"/>
                                                    <a:ea typeface="+mn-ea"/>
                                                    <a:cs typeface="+mn-cs"/>
                                                  </a:rPr>
                                                  <m:t>𝜃</m:t>
                                                </m:r>
                                              </m:e>
                                              <m:sub>
                                                <m:r>
                                                  <a:rPr lang="es-CO" sz="900" i="1">
                                                    <a:solidFill>
                                                      <a:schemeClr val="tx1"/>
                                                    </a:solidFill>
                                                    <a:effectLst/>
                                                    <a:latin typeface="Cambria Math" panose="02040503050406030204" pitchFamily="18" charset="0"/>
                                                    <a:ea typeface="+mn-ea"/>
                                                    <a:cs typeface="+mn-cs"/>
                                                  </a:rPr>
                                                  <m:t>𝑀𝑂</m:t>
                                                </m:r>
                                              </m:sub>
                                            </m:sSub>
                                          </m:e>
                                        </m:d>
                                      </m:e>
                                    </m:func>
                                  </m:num>
                                  <m:den>
                                    <m:func>
                                      <m:funcPr>
                                        <m:ctrlPr>
                                          <a:rPr lang="es-CO" sz="900" i="1">
                                            <a:solidFill>
                                              <a:schemeClr val="tx1"/>
                                            </a:solidFill>
                                            <a:effectLst/>
                                            <a:latin typeface="Cambria Math" panose="02040503050406030204" pitchFamily="18" charset="0"/>
                                            <a:ea typeface="+mn-ea"/>
                                            <a:cs typeface="+mn-cs"/>
                                          </a:rPr>
                                        </m:ctrlPr>
                                      </m:funcPr>
                                      <m:fName>
                                        <m:r>
                                          <m:rPr>
                                            <m:sty m:val="p"/>
                                          </m:rPr>
                                          <a:rPr lang="es-CO" sz="900">
                                            <a:solidFill>
                                              <a:schemeClr val="tx1"/>
                                            </a:solidFill>
                                            <a:effectLst/>
                                            <a:latin typeface="Cambria Math" panose="02040503050406030204" pitchFamily="18" charset="0"/>
                                            <a:ea typeface="+mn-ea"/>
                                            <a:cs typeface="+mn-cs"/>
                                          </a:rPr>
                                          <m:t>cos</m:t>
                                        </m:r>
                                      </m:fName>
                                      <m:e>
                                        <m:d>
                                          <m:dPr>
                                            <m:ctrlPr>
                                              <a:rPr lang="es-CO" sz="900" i="1">
                                                <a:solidFill>
                                                  <a:schemeClr val="tx1"/>
                                                </a:solidFill>
                                                <a:effectLst/>
                                                <a:latin typeface="Cambria Math" panose="02040503050406030204" pitchFamily="18" charset="0"/>
                                                <a:ea typeface="+mn-ea"/>
                                                <a:cs typeface="+mn-cs"/>
                                              </a:rPr>
                                            </m:ctrlPr>
                                          </m:dPr>
                                          <m:e>
                                            <m:r>
                                              <a:rPr lang="es-CO" sz="900" i="1">
                                                <a:solidFill>
                                                  <a:schemeClr val="tx1"/>
                                                </a:solidFill>
                                                <a:effectLst/>
                                                <a:latin typeface="Cambria Math" panose="02040503050406030204" pitchFamily="18" charset="0"/>
                                                <a:ea typeface="+mn-ea"/>
                                                <a:cs typeface="+mn-cs"/>
                                              </a:rPr>
                                              <m:t>𝛿</m:t>
                                            </m:r>
                                            <m:r>
                                              <a:rPr lang="es-CO" sz="900" i="1">
                                                <a:solidFill>
                                                  <a:schemeClr val="tx1"/>
                                                </a:solidFill>
                                                <a:effectLst/>
                                                <a:latin typeface="Cambria Math" panose="02040503050406030204" pitchFamily="18" charset="0"/>
                                                <a:ea typeface="+mn-ea"/>
                                                <a:cs typeface="+mn-cs"/>
                                              </a:rPr>
                                              <m:t>+</m:t>
                                            </m:r>
                                            <m:sSub>
                                              <m:sSubPr>
                                                <m:ctrlPr>
                                                  <a:rPr lang="es-CO" sz="900" i="1">
                                                    <a:solidFill>
                                                      <a:schemeClr val="tx1"/>
                                                    </a:solidFill>
                                                    <a:effectLst/>
                                                    <a:latin typeface="Cambria Math" panose="02040503050406030204" pitchFamily="18" charset="0"/>
                                                    <a:ea typeface="+mn-ea"/>
                                                    <a:cs typeface="+mn-cs"/>
                                                  </a:rPr>
                                                </m:ctrlPr>
                                              </m:sSubPr>
                                              <m:e>
                                                <m:r>
                                                  <a:rPr lang="es-CO" sz="900" i="1">
                                                    <a:solidFill>
                                                      <a:schemeClr val="tx1"/>
                                                    </a:solidFill>
                                                    <a:effectLst/>
                                                    <a:latin typeface="Cambria Math" panose="02040503050406030204" pitchFamily="18" charset="0"/>
                                                    <a:ea typeface="+mn-ea"/>
                                                    <a:cs typeface="+mn-cs"/>
                                                  </a:rPr>
                                                  <m:t>𝛽</m:t>
                                                </m:r>
                                              </m:e>
                                              <m:sub>
                                                <m:r>
                                                  <a:rPr lang="es-CO" sz="900" i="1">
                                                    <a:solidFill>
                                                      <a:schemeClr val="tx1"/>
                                                    </a:solidFill>
                                                    <a:effectLst/>
                                                    <a:latin typeface="Cambria Math" panose="02040503050406030204" pitchFamily="18" charset="0"/>
                                                    <a:ea typeface="+mn-ea"/>
                                                    <a:cs typeface="+mn-cs"/>
                                                  </a:rPr>
                                                  <m:t>𝑚</m:t>
                                                </m:r>
                                              </m:sub>
                                            </m:sSub>
                                            <m:r>
                                              <a:rPr lang="es-CO" sz="900" i="1">
                                                <a:solidFill>
                                                  <a:schemeClr val="tx1"/>
                                                </a:solidFill>
                                                <a:effectLst/>
                                                <a:latin typeface="Cambria Math" panose="02040503050406030204" pitchFamily="18" charset="0"/>
                                                <a:ea typeface="+mn-ea"/>
                                                <a:cs typeface="+mn-cs"/>
                                              </a:rPr>
                                              <m:t>+</m:t>
                                            </m:r>
                                            <m:sSub>
                                              <m:sSubPr>
                                                <m:ctrlPr>
                                                  <a:rPr lang="es-CO" sz="900" i="1">
                                                    <a:solidFill>
                                                      <a:schemeClr val="tx1"/>
                                                    </a:solidFill>
                                                    <a:effectLst/>
                                                    <a:latin typeface="Cambria Math" panose="02040503050406030204" pitchFamily="18" charset="0"/>
                                                    <a:ea typeface="+mn-ea"/>
                                                    <a:cs typeface="+mn-cs"/>
                                                  </a:rPr>
                                                </m:ctrlPr>
                                              </m:sSubPr>
                                              <m:e>
                                                <m:r>
                                                  <a:rPr lang="es-CO" sz="900" i="1">
                                                    <a:solidFill>
                                                      <a:schemeClr val="tx1"/>
                                                    </a:solidFill>
                                                    <a:effectLst/>
                                                    <a:latin typeface="Cambria Math" panose="02040503050406030204" pitchFamily="18" charset="0"/>
                                                    <a:ea typeface="+mn-ea"/>
                                                    <a:cs typeface="+mn-cs"/>
                                                  </a:rPr>
                                                  <m:t>𝜃</m:t>
                                                </m:r>
                                              </m:e>
                                              <m:sub>
                                                <m:r>
                                                  <a:rPr lang="es-CO" sz="900" i="1">
                                                    <a:solidFill>
                                                      <a:schemeClr val="tx1"/>
                                                    </a:solidFill>
                                                    <a:effectLst/>
                                                    <a:latin typeface="Cambria Math" panose="02040503050406030204" pitchFamily="18" charset="0"/>
                                                    <a:ea typeface="+mn-ea"/>
                                                    <a:cs typeface="+mn-cs"/>
                                                  </a:rPr>
                                                  <m:t>𝑀𝑂</m:t>
                                                </m:r>
                                              </m:sub>
                                            </m:sSub>
                                          </m:e>
                                        </m:d>
                                      </m:e>
                                    </m:func>
                                    <m:func>
                                      <m:funcPr>
                                        <m:ctrlPr>
                                          <a:rPr lang="es-CO" sz="900" i="1">
                                            <a:solidFill>
                                              <a:schemeClr val="tx1"/>
                                            </a:solidFill>
                                            <a:effectLst/>
                                            <a:latin typeface="Cambria Math" panose="02040503050406030204" pitchFamily="18" charset="0"/>
                                            <a:ea typeface="+mn-ea"/>
                                            <a:cs typeface="+mn-cs"/>
                                          </a:rPr>
                                        </m:ctrlPr>
                                      </m:funcPr>
                                      <m:fName>
                                        <m:r>
                                          <m:rPr>
                                            <m:sty m:val="p"/>
                                          </m:rPr>
                                          <a:rPr lang="es-CO" sz="900">
                                            <a:solidFill>
                                              <a:schemeClr val="tx1"/>
                                            </a:solidFill>
                                            <a:effectLst/>
                                            <a:latin typeface="Cambria Math" panose="02040503050406030204" pitchFamily="18" charset="0"/>
                                            <a:ea typeface="+mn-ea"/>
                                            <a:cs typeface="+mn-cs"/>
                                          </a:rPr>
                                          <m:t>cos</m:t>
                                        </m:r>
                                      </m:fName>
                                      <m:e>
                                        <m:d>
                                          <m:dPr>
                                            <m:ctrlPr>
                                              <a:rPr lang="es-CO" sz="900" i="1">
                                                <a:solidFill>
                                                  <a:schemeClr val="tx1"/>
                                                </a:solidFill>
                                                <a:effectLst/>
                                                <a:latin typeface="Cambria Math" panose="02040503050406030204" pitchFamily="18" charset="0"/>
                                                <a:ea typeface="+mn-ea"/>
                                                <a:cs typeface="+mn-cs"/>
                                              </a:rPr>
                                            </m:ctrlPr>
                                          </m:dPr>
                                          <m:e>
                                            <m:r>
                                              <a:rPr lang="es-CO" sz="900" i="1">
                                                <a:solidFill>
                                                  <a:schemeClr val="tx1"/>
                                                </a:solidFill>
                                                <a:effectLst/>
                                                <a:latin typeface="Cambria Math" panose="02040503050406030204" pitchFamily="18" charset="0"/>
                                                <a:ea typeface="+mn-ea"/>
                                                <a:cs typeface="+mn-cs"/>
                                              </a:rPr>
                                              <m:t>𝑖</m:t>
                                            </m:r>
                                            <m:r>
                                              <a:rPr lang="es-CO" sz="900" i="1">
                                                <a:solidFill>
                                                  <a:schemeClr val="tx1"/>
                                                </a:solidFill>
                                                <a:effectLst/>
                                                <a:latin typeface="Cambria Math" panose="02040503050406030204" pitchFamily="18" charset="0"/>
                                                <a:ea typeface="+mn-ea"/>
                                                <a:cs typeface="+mn-cs"/>
                                              </a:rPr>
                                              <m:t>−</m:t>
                                            </m:r>
                                            <m:sSub>
                                              <m:sSubPr>
                                                <m:ctrlPr>
                                                  <a:rPr lang="es-CO" sz="900" i="1">
                                                    <a:solidFill>
                                                      <a:schemeClr val="tx1"/>
                                                    </a:solidFill>
                                                    <a:effectLst/>
                                                    <a:latin typeface="Cambria Math" panose="02040503050406030204" pitchFamily="18" charset="0"/>
                                                    <a:ea typeface="+mn-ea"/>
                                                    <a:cs typeface="+mn-cs"/>
                                                  </a:rPr>
                                                </m:ctrlPr>
                                              </m:sSubPr>
                                              <m:e>
                                                <m:r>
                                                  <a:rPr lang="es-CO" sz="900" i="1">
                                                    <a:solidFill>
                                                      <a:schemeClr val="tx1"/>
                                                    </a:solidFill>
                                                    <a:effectLst/>
                                                    <a:latin typeface="Cambria Math" panose="02040503050406030204" pitchFamily="18" charset="0"/>
                                                    <a:ea typeface="+mn-ea"/>
                                                    <a:cs typeface="+mn-cs"/>
                                                  </a:rPr>
                                                  <m:t>𝛽</m:t>
                                                </m:r>
                                              </m:e>
                                              <m:sub>
                                                <m:r>
                                                  <a:rPr lang="es-CO" sz="900" i="1">
                                                    <a:solidFill>
                                                      <a:schemeClr val="tx1"/>
                                                    </a:solidFill>
                                                    <a:effectLst/>
                                                    <a:latin typeface="Cambria Math" panose="02040503050406030204" pitchFamily="18" charset="0"/>
                                                    <a:ea typeface="+mn-ea"/>
                                                    <a:cs typeface="+mn-cs"/>
                                                  </a:rPr>
                                                  <m:t>𝑚</m:t>
                                                </m:r>
                                              </m:sub>
                                            </m:sSub>
                                          </m:e>
                                        </m:d>
                                      </m:e>
                                    </m:func>
                                  </m:den>
                                </m:f>
                              </m:e>
                            </m:rad>
                          </m:e>
                        </m:d>
                      </m:e>
                      <m:sup>
                        <m:r>
                          <a:rPr lang="es-CO" sz="900" i="1">
                            <a:solidFill>
                              <a:schemeClr val="tx1"/>
                            </a:solidFill>
                            <a:effectLst/>
                            <a:latin typeface="Cambria Math" panose="02040503050406030204" pitchFamily="18" charset="0"/>
                            <a:ea typeface="+mn-ea"/>
                            <a:cs typeface="+mn-cs"/>
                          </a:rPr>
                          <m:t>2</m:t>
                        </m:r>
                      </m:sup>
                    </m:sSup>
                  </m:oMath>
                </m:oMathPara>
              </a14:m>
              <a:endParaRPr lang="es-CO" sz="1100"/>
            </a:p>
          </xdr:txBody>
        </xdr:sp>
      </mc:Choice>
      <mc:Fallback xmlns="">
        <xdr:sp macro="" textlink="">
          <xdr:nvSpPr>
            <xdr:cNvPr id="37" name="CuadroTexto 36">
              <a:extLst>
                <a:ext uri="{FF2B5EF4-FFF2-40B4-BE49-F238E27FC236}">
                  <a16:creationId xmlns:a16="http://schemas.microsoft.com/office/drawing/2014/main" id="{C1F2B067-5545-6BFC-A6B0-ECCD69A69ACB}"/>
                </a:ext>
              </a:extLst>
            </xdr:cNvPr>
            <xdr:cNvSpPr txBox="1"/>
          </xdr:nvSpPr>
          <xdr:spPr>
            <a:xfrm>
              <a:off x="6753225" y="21464587"/>
              <a:ext cx="1990673" cy="471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900" i="0">
                  <a:solidFill>
                    <a:schemeClr val="tx1"/>
                  </a:solidFill>
                  <a:effectLst/>
                  <a:latin typeface="+mn-lt"/>
                  <a:ea typeface="+mn-ea"/>
                  <a:cs typeface="+mn-cs"/>
                </a:rPr>
                <a:t>[1+√((sin⁡(𝜙+𝛿)  sin⁡(𝜙−𝑖−𝜃_𝑀𝑂 ))/(cos⁡(𝛿+𝛽_𝑚+𝜃_𝑀𝑂 )  cos⁡(𝑖−𝛽_𝑚 ) ))]^2</a:t>
              </a:r>
              <a:endParaRPr lang="es-CO" sz="1100"/>
            </a:p>
          </xdr:txBody>
        </xdr:sp>
      </mc:Fallback>
    </mc:AlternateContent>
    <xdr:clientData/>
  </xdr:oneCellAnchor>
  <xdr:twoCellAnchor editAs="oneCell">
    <xdr:from>
      <xdr:col>7</xdr:col>
      <xdr:colOff>85725</xdr:colOff>
      <xdr:row>71</xdr:row>
      <xdr:rowOff>142875</xdr:rowOff>
    </xdr:from>
    <xdr:to>
      <xdr:col>8</xdr:col>
      <xdr:colOff>1104900</xdr:colOff>
      <xdr:row>80</xdr:row>
      <xdr:rowOff>87630</xdr:rowOff>
    </xdr:to>
    <xdr:pic>
      <xdr:nvPicPr>
        <xdr:cNvPr id="38" name="Imagen 37">
          <a:extLst>
            <a:ext uri="{FF2B5EF4-FFF2-40B4-BE49-F238E27FC236}">
              <a16:creationId xmlns:a16="http://schemas.microsoft.com/office/drawing/2014/main" id="{B2C2E821-E113-B296-7C64-34CC851299A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400925" y="16021050"/>
          <a:ext cx="2514600" cy="1659255"/>
        </a:xfrm>
        <a:prstGeom prst="rect">
          <a:avLst/>
        </a:prstGeom>
        <a:ln>
          <a:solidFill>
            <a:sysClr val="windowText" lastClr="000000"/>
          </a:solidFill>
        </a:ln>
      </xdr:spPr>
    </xdr:pic>
    <xdr:clientData/>
  </xdr:twoCellAnchor>
  <xdr:oneCellAnchor>
    <xdr:from>
      <xdr:col>6</xdr:col>
      <xdr:colOff>152400</xdr:colOff>
      <xdr:row>96</xdr:row>
      <xdr:rowOff>90487</xdr:rowOff>
    </xdr:from>
    <xdr:ext cx="2886075" cy="777585"/>
    <mc:AlternateContent xmlns:mc="http://schemas.openxmlformats.org/markup-compatibility/2006" xmlns:a14="http://schemas.microsoft.com/office/drawing/2010/main">
      <mc:Choice Requires="a14">
        <xdr:sp macro="" textlink="">
          <xdr:nvSpPr>
            <xdr:cNvPr id="39" name="CuadroTexto 38">
              <a:extLst>
                <a:ext uri="{FF2B5EF4-FFF2-40B4-BE49-F238E27FC236}">
                  <a16:creationId xmlns:a16="http://schemas.microsoft.com/office/drawing/2014/main" id="{CAC284CE-0209-94A9-B72E-E4E797B54AB8}"/>
                </a:ext>
              </a:extLst>
            </xdr:cNvPr>
            <xdr:cNvSpPr txBox="1"/>
          </xdr:nvSpPr>
          <xdr:spPr>
            <a:xfrm>
              <a:off x="6543675" y="22026562"/>
              <a:ext cx="2886075" cy="7775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s-CO" sz="700" i="1">
                            <a:solidFill>
                              <a:schemeClr val="tx1"/>
                            </a:solidFill>
                            <a:effectLst/>
                            <a:latin typeface="Cambria Math" panose="02040503050406030204" pitchFamily="18" charset="0"/>
                            <a:ea typeface="+mn-ea"/>
                            <a:cs typeface="+mn-cs"/>
                          </a:rPr>
                        </m:ctrlPr>
                      </m:sSubPr>
                      <m:e>
                        <m:r>
                          <a:rPr lang="en-US" sz="700" i="1">
                            <a:solidFill>
                              <a:schemeClr val="tx1"/>
                            </a:solidFill>
                            <a:effectLst/>
                            <a:latin typeface="Cambria Math" panose="02040503050406030204" pitchFamily="18" charset="0"/>
                            <a:ea typeface="+mn-ea"/>
                            <a:cs typeface="+mn-cs"/>
                          </a:rPr>
                          <m:t>𝐾</m:t>
                        </m:r>
                      </m:e>
                      <m:sub>
                        <m:r>
                          <a:rPr lang="en-US" sz="700" i="1">
                            <a:solidFill>
                              <a:schemeClr val="tx1"/>
                            </a:solidFill>
                            <a:effectLst/>
                            <a:latin typeface="Cambria Math" panose="02040503050406030204" pitchFamily="18" charset="0"/>
                            <a:ea typeface="+mn-ea"/>
                            <a:cs typeface="+mn-cs"/>
                          </a:rPr>
                          <m:t>𝐴𝐷</m:t>
                        </m:r>
                      </m:sub>
                    </m:sSub>
                    <m:r>
                      <a:rPr lang="en-US" sz="700" i="1">
                        <a:solidFill>
                          <a:schemeClr val="tx1"/>
                        </a:solidFill>
                        <a:effectLst/>
                        <a:latin typeface="Cambria Math" panose="02040503050406030204" pitchFamily="18" charset="0"/>
                        <a:ea typeface="+mn-ea"/>
                        <a:cs typeface="+mn-cs"/>
                      </a:rPr>
                      <m:t>=</m:t>
                    </m:r>
                    <m:f>
                      <m:fPr>
                        <m:ctrlPr>
                          <a:rPr lang="es-CO" sz="700" i="1">
                            <a:solidFill>
                              <a:schemeClr val="tx1"/>
                            </a:solidFill>
                            <a:effectLst/>
                            <a:latin typeface="Cambria Math" panose="02040503050406030204" pitchFamily="18" charset="0"/>
                            <a:ea typeface="+mn-ea"/>
                            <a:cs typeface="+mn-cs"/>
                          </a:rPr>
                        </m:ctrlPr>
                      </m:fPr>
                      <m:num>
                        <m:func>
                          <m:funcPr>
                            <m:ctrlPr>
                              <a:rPr lang="es-CO" sz="700" i="1">
                                <a:solidFill>
                                  <a:schemeClr val="tx1"/>
                                </a:solidFill>
                                <a:effectLst/>
                                <a:latin typeface="Cambria Math" panose="02040503050406030204" pitchFamily="18" charset="0"/>
                                <a:ea typeface="+mn-ea"/>
                                <a:cs typeface="+mn-cs"/>
                              </a:rPr>
                            </m:ctrlPr>
                          </m:funcPr>
                          <m:fName>
                            <m:sSup>
                              <m:sSupPr>
                                <m:ctrlPr>
                                  <a:rPr lang="es-CO" sz="700" i="1">
                                    <a:solidFill>
                                      <a:schemeClr val="tx1"/>
                                    </a:solidFill>
                                    <a:effectLst/>
                                    <a:latin typeface="Cambria Math" panose="02040503050406030204" pitchFamily="18" charset="0"/>
                                    <a:ea typeface="+mn-ea"/>
                                    <a:cs typeface="+mn-cs"/>
                                  </a:rPr>
                                </m:ctrlPr>
                              </m:sSupPr>
                              <m:e>
                                <m:r>
                                  <m:rPr>
                                    <m:sty m:val="p"/>
                                  </m:rPr>
                                  <a:rPr lang="en-US" sz="700">
                                    <a:solidFill>
                                      <a:schemeClr val="tx1"/>
                                    </a:solidFill>
                                    <a:effectLst/>
                                    <a:latin typeface="Cambria Math" panose="02040503050406030204" pitchFamily="18" charset="0"/>
                                    <a:ea typeface="+mn-ea"/>
                                    <a:cs typeface="+mn-cs"/>
                                  </a:rPr>
                                  <m:t>cos</m:t>
                                </m:r>
                              </m:e>
                              <m:sup>
                                <m:r>
                                  <a:rPr lang="en-US" sz="700" i="1">
                                    <a:solidFill>
                                      <a:schemeClr val="tx1"/>
                                    </a:solidFill>
                                    <a:effectLst/>
                                    <a:latin typeface="Cambria Math" panose="02040503050406030204" pitchFamily="18" charset="0"/>
                                    <a:ea typeface="+mn-ea"/>
                                    <a:cs typeface="+mn-cs"/>
                                  </a:rPr>
                                  <m:t>2</m:t>
                                </m:r>
                              </m:sup>
                            </m:sSup>
                          </m:fName>
                          <m:e>
                            <m:r>
                              <a:rPr lang="en-US" sz="700" i="1">
                                <a:solidFill>
                                  <a:schemeClr val="tx1"/>
                                </a:solidFill>
                                <a:effectLst/>
                                <a:latin typeface="Cambria Math" panose="02040503050406030204" pitchFamily="18" charset="0"/>
                                <a:ea typeface="+mn-ea"/>
                                <a:cs typeface="+mn-cs"/>
                              </a:rPr>
                              <m:t>(</m:t>
                            </m:r>
                            <m:r>
                              <a:rPr lang="en-US" sz="700" i="1">
                                <a:solidFill>
                                  <a:schemeClr val="tx1"/>
                                </a:solidFill>
                                <a:effectLst/>
                                <a:latin typeface="Cambria Math" panose="02040503050406030204" pitchFamily="18" charset="0"/>
                                <a:ea typeface="+mn-ea"/>
                                <a:cs typeface="+mn-cs"/>
                              </a:rPr>
                              <m:t>𝜙</m:t>
                            </m:r>
                            <m:r>
                              <a:rPr lang="en-US" sz="700" i="1">
                                <a:solidFill>
                                  <a:schemeClr val="tx1"/>
                                </a:solidFill>
                                <a:effectLst/>
                                <a:latin typeface="Cambria Math" panose="02040503050406030204" pitchFamily="18" charset="0"/>
                                <a:ea typeface="+mn-ea"/>
                                <a:cs typeface="+mn-cs"/>
                              </a:rPr>
                              <m:t>−</m:t>
                            </m:r>
                            <m:sSub>
                              <m:sSubPr>
                                <m:ctrlPr>
                                  <a:rPr lang="es-CO" sz="700" i="1">
                                    <a:solidFill>
                                      <a:schemeClr val="tx1"/>
                                    </a:solidFill>
                                    <a:effectLst/>
                                    <a:latin typeface="Cambria Math" panose="02040503050406030204" pitchFamily="18" charset="0"/>
                                    <a:ea typeface="+mn-ea"/>
                                    <a:cs typeface="+mn-cs"/>
                                  </a:rPr>
                                </m:ctrlPr>
                              </m:sSubPr>
                              <m:e>
                                <m:r>
                                  <a:rPr lang="en-US" sz="700" i="1">
                                    <a:solidFill>
                                      <a:schemeClr val="tx1"/>
                                    </a:solidFill>
                                    <a:effectLst/>
                                    <a:latin typeface="Cambria Math" panose="02040503050406030204" pitchFamily="18" charset="0"/>
                                    <a:ea typeface="+mn-ea"/>
                                    <a:cs typeface="+mn-cs"/>
                                  </a:rPr>
                                  <m:t>𝛽</m:t>
                                </m:r>
                              </m:e>
                              <m:sub>
                                <m:r>
                                  <a:rPr lang="en-US" sz="700" i="1">
                                    <a:solidFill>
                                      <a:schemeClr val="tx1"/>
                                    </a:solidFill>
                                    <a:effectLst/>
                                    <a:latin typeface="Cambria Math" panose="02040503050406030204" pitchFamily="18" charset="0"/>
                                    <a:ea typeface="+mn-ea"/>
                                    <a:cs typeface="+mn-cs"/>
                                  </a:rPr>
                                  <m:t>𝑚</m:t>
                                </m:r>
                              </m:sub>
                            </m:sSub>
                            <m:r>
                              <a:rPr lang="en-US" sz="700" i="1">
                                <a:solidFill>
                                  <a:schemeClr val="tx1"/>
                                </a:solidFill>
                                <a:effectLst/>
                                <a:latin typeface="Cambria Math" panose="02040503050406030204" pitchFamily="18" charset="0"/>
                                <a:ea typeface="+mn-ea"/>
                                <a:cs typeface="+mn-cs"/>
                              </a:rPr>
                              <m:t>−</m:t>
                            </m:r>
                            <m:sSub>
                              <m:sSubPr>
                                <m:ctrlPr>
                                  <a:rPr lang="es-CO" sz="700" i="1">
                                    <a:solidFill>
                                      <a:schemeClr val="tx1"/>
                                    </a:solidFill>
                                    <a:effectLst/>
                                    <a:latin typeface="Cambria Math" panose="02040503050406030204" pitchFamily="18" charset="0"/>
                                    <a:ea typeface="+mn-ea"/>
                                    <a:cs typeface="+mn-cs"/>
                                  </a:rPr>
                                </m:ctrlPr>
                              </m:sSubPr>
                              <m:e>
                                <m:r>
                                  <a:rPr lang="en-US" sz="700" i="1">
                                    <a:solidFill>
                                      <a:schemeClr val="tx1"/>
                                    </a:solidFill>
                                    <a:effectLst/>
                                    <a:latin typeface="Cambria Math" panose="02040503050406030204" pitchFamily="18" charset="0"/>
                                    <a:ea typeface="+mn-ea"/>
                                    <a:cs typeface="+mn-cs"/>
                                  </a:rPr>
                                  <m:t>𝜃</m:t>
                                </m:r>
                              </m:e>
                              <m:sub>
                                <m:r>
                                  <a:rPr lang="en-US" sz="700" i="1">
                                    <a:solidFill>
                                      <a:schemeClr val="tx1"/>
                                    </a:solidFill>
                                    <a:effectLst/>
                                    <a:latin typeface="Cambria Math" panose="02040503050406030204" pitchFamily="18" charset="0"/>
                                    <a:ea typeface="+mn-ea"/>
                                    <a:cs typeface="+mn-cs"/>
                                  </a:rPr>
                                  <m:t>𝑀𝑂</m:t>
                                </m:r>
                              </m:sub>
                            </m:sSub>
                            <m:r>
                              <a:rPr lang="en-US" sz="700" i="1">
                                <a:solidFill>
                                  <a:schemeClr val="tx1"/>
                                </a:solidFill>
                                <a:effectLst/>
                                <a:latin typeface="Cambria Math" panose="02040503050406030204" pitchFamily="18" charset="0"/>
                                <a:ea typeface="+mn-ea"/>
                                <a:cs typeface="+mn-cs"/>
                              </a:rPr>
                              <m:t>)</m:t>
                            </m:r>
                          </m:e>
                        </m:func>
                      </m:num>
                      <m:den>
                        <m:func>
                          <m:funcPr>
                            <m:ctrlPr>
                              <a:rPr lang="es-CO" sz="700" i="1">
                                <a:solidFill>
                                  <a:schemeClr val="tx1"/>
                                </a:solidFill>
                                <a:effectLst/>
                                <a:latin typeface="Cambria Math" panose="02040503050406030204" pitchFamily="18" charset="0"/>
                                <a:ea typeface="+mn-ea"/>
                                <a:cs typeface="+mn-cs"/>
                              </a:rPr>
                            </m:ctrlPr>
                          </m:funcPr>
                          <m:fName>
                            <m:r>
                              <m:rPr>
                                <m:sty m:val="p"/>
                              </m:rPr>
                              <a:rPr lang="en-US" sz="700">
                                <a:solidFill>
                                  <a:schemeClr val="tx1"/>
                                </a:solidFill>
                                <a:effectLst/>
                                <a:latin typeface="Cambria Math" panose="02040503050406030204" pitchFamily="18" charset="0"/>
                                <a:ea typeface="+mn-ea"/>
                                <a:cs typeface="+mn-cs"/>
                              </a:rPr>
                              <m:t>cos</m:t>
                            </m:r>
                          </m:fName>
                          <m:e>
                            <m:sSub>
                              <m:sSubPr>
                                <m:ctrlPr>
                                  <a:rPr lang="es-CO" sz="700" i="1">
                                    <a:solidFill>
                                      <a:schemeClr val="tx1"/>
                                    </a:solidFill>
                                    <a:effectLst/>
                                    <a:latin typeface="Cambria Math" panose="02040503050406030204" pitchFamily="18" charset="0"/>
                                    <a:ea typeface="+mn-ea"/>
                                    <a:cs typeface="+mn-cs"/>
                                  </a:rPr>
                                </m:ctrlPr>
                              </m:sSubPr>
                              <m:e>
                                <m:r>
                                  <a:rPr lang="en-US" sz="700" i="1">
                                    <a:solidFill>
                                      <a:schemeClr val="tx1"/>
                                    </a:solidFill>
                                    <a:effectLst/>
                                    <a:latin typeface="Cambria Math" panose="02040503050406030204" pitchFamily="18" charset="0"/>
                                    <a:ea typeface="+mn-ea"/>
                                    <a:cs typeface="+mn-cs"/>
                                  </a:rPr>
                                  <m:t>𝜃</m:t>
                                </m:r>
                              </m:e>
                              <m:sub>
                                <m:r>
                                  <a:rPr lang="en-US" sz="700" i="1">
                                    <a:solidFill>
                                      <a:schemeClr val="tx1"/>
                                    </a:solidFill>
                                    <a:effectLst/>
                                    <a:latin typeface="Cambria Math" panose="02040503050406030204" pitchFamily="18" charset="0"/>
                                    <a:ea typeface="+mn-ea"/>
                                    <a:cs typeface="+mn-cs"/>
                                  </a:rPr>
                                  <m:t>𝑀𝑂</m:t>
                                </m:r>
                              </m:sub>
                            </m:sSub>
                            <m:r>
                              <a:rPr lang="en-US" sz="700" i="1">
                                <a:solidFill>
                                  <a:schemeClr val="tx1"/>
                                </a:solidFill>
                                <a:effectLst/>
                                <a:latin typeface="Cambria Math" panose="02040503050406030204" pitchFamily="18" charset="0"/>
                                <a:ea typeface="+mn-ea"/>
                                <a:cs typeface="+mn-cs"/>
                              </a:rPr>
                              <m:t> </m:t>
                            </m:r>
                          </m:e>
                        </m:func>
                        <m:func>
                          <m:funcPr>
                            <m:ctrlPr>
                              <a:rPr lang="es-CO" sz="700" i="1">
                                <a:solidFill>
                                  <a:schemeClr val="tx1"/>
                                </a:solidFill>
                                <a:effectLst/>
                                <a:latin typeface="Cambria Math" panose="02040503050406030204" pitchFamily="18" charset="0"/>
                                <a:ea typeface="+mn-ea"/>
                                <a:cs typeface="+mn-cs"/>
                              </a:rPr>
                            </m:ctrlPr>
                          </m:funcPr>
                          <m:fName>
                            <m:sSup>
                              <m:sSupPr>
                                <m:ctrlPr>
                                  <a:rPr lang="es-CO" sz="700" i="1">
                                    <a:solidFill>
                                      <a:schemeClr val="tx1"/>
                                    </a:solidFill>
                                    <a:effectLst/>
                                    <a:latin typeface="Cambria Math" panose="02040503050406030204" pitchFamily="18" charset="0"/>
                                    <a:ea typeface="+mn-ea"/>
                                    <a:cs typeface="+mn-cs"/>
                                  </a:rPr>
                                </m:ctrlPr>
                              </m:sSupPr>
                              <m:e>
                                <m:r>
                                  <m:rPr>
                                    <m:sty m:val="p"/>
                                  </m:rPr>
                                  <a:rPr lang="en-US" sz="700">
                                    <a:solidFill>
                                      <a:schemeClr val="tx1"/>
                                    </a:solidFill>
                                    <a:effectLst/>
                                    <a:latin typeface="Cambria Math" panose="02040503050406030204" pitchFamily="18" charset="0"/>
                                    <a:ea typeface="+mn-ea"/>
                                    <a:cs typeface="+mn-cs"/>
                                  </a:rPr>
                                  <m:t>cos</m:t>
                                </m:r>
                              </m:e>
                              <m:sup>
                                <m:r>
                                  <a:rPr lang="en-US" sz="700">
                                    <a:solidFill>
                                      <a:schemeClr val="tx1"/>
                                    </a:solidFill>
                                    <a:effectLst/>
                                    <a:latin typeface="Cambria Math" panose="02040503050406030204" pitchFamily="18" charset="0"/>
                                    <a:ea typeface="+mn-ea"/>
                                    <a:cs typeface="+mn-cs"/>
                                  </a:rPr>
                                  <m:t>2</m:t>
                                </m:r>
                              </m:sup>
                            </m:sSup>
                          </m:fName>
                          <m:e>
                            <m:sSub>
                              <m:sSubPr>
                                <m:ctrlPr>
                                  <a:rPr lang="es-CO" sz="700" i="1">
                                    <a:solidFill>
                                      <a:schemeClr val="tx1"/>
                                    </a:solidFill>
                                    <a:effectLst/>
                                    <a:latin typeface="Cambria Math" panose="02040503050406030204" pitchFamily="18" charset="0"/>
                                    <a:ea typeface="+mn-ea"/>
                                    <a:cs typeface="+mn-cs"/>
                                  </a:rPr>
                                </m:ctrlPr>
                              </m:sSubPr>
                              <m:e>
                                <m:r>
                                  <a:rPr lang="en-US" sz="700" i="1">
                                    <a:solidFill>
                                      <a:schemeClr val="tx1"/>
                                    </a:solidFill>
                                    <a:effectLst/>
                                    <a:latin typeface="Cambria Math" panose="02040503050406030204" pitchFamily="18" charset="0"/>
                                    <a:ea typeface="+mn-ea"/>
                                    <a:cs typeface="+mn-cs"/>
                                  </a:rPr>
                                  <m:t>𝛽</m:t>
                                </m:r>
                              </m:e>
                              <m:sub>
                                <m:r>
                                  <a:rPr lang="en-US" sz="700" i="1">
                                    <a:solidFill>
                                      <a:schemeClr val="tx1"/>
                                    </a:solidFill>
                                    <a:effectLst/>
                                    <a:latin typeface="Cambria Math" panose="02040503050406030204" pitchFamily="18" charset="0"/>
                                    <a:ea typeface="+mn-ea"/>
                                    <a:cs typeface="+mn-cs"/>
                                  </a:rPr>
                                  <m:t>𝑚</m:t>
                                </m:r>
                              </m:sub>
                            </m:sSub>
                          </m:e>
                        </m:func>
                        <m:r>
                          <m:rPr>
                            <m:sty m:val="p"/>
                          </m:rPr>
                          <a:rPr lang="en-US" sz="700">
                            <a:solidFill>
                              <a:schemeClr val="tx1"/>
                            </a:solidFill>
                            <a:effectLst/>
                            <a:latin typeface="Cambria Math" panose="02040503050406030204" pitchFamily="18" charset="0"/>
                            <a:ea typeface="+mn-ea"/>
                            <a:cs typeface="+mn-cs"/>
                          </a:rPr>
                          <m:t>cos</m:t>
                        </m:r>
                        <m:r>
                          <a:rPr lang="en-US" sz="700" i="1">
                            <a:solidFill>
                              <a:schemeClr val="tx1"/>
                            </a:solidFill>
                            <a:effectLst/>
                            <a:latin typeface="Cambria Math" panose="02040503050406030204" pitchFamily="18" charset="0"/>
                            <a:ea typeface="+mn-ea"/>
                            <a:cs typeface="+mn-cs"/>
                          </a:rPr>
                          <m:t>(</m:t>
                        </m:r>
                        <m:r>
                          <a:rPr lang="en-US" sz="700" i="1">
                            <a:solidFill>
                              <a:schemeClr val="tx1"/>
                            </a:solidFill>
                            <a:effectLst/>
                            <a:latin typeface="Cambria Math" panose="02040503050406030204" pitchFamily="18" charset="0"/>
                            <a:ea typeface="+mn-ea"/>
                            <a:cs typeface="+mn-cs"/>
                          </a:rPr>
                          <m:t>𝛿</m:t>
                        </m:r>
                        <m:r>
                          <a:rPr lang="en-US" sz="700" i="1">
                            <a:solidFill>
                              <a:schemeClr val="tx1"/>
                            </a:solidFill>
                            <a:effectLst/>
                            <a:latin typeface="Cambria Math" panose="02040503050406030204" pitchFamily="18" charset="0"/>
                            <a:ea typeface="+mn-ea"/>
                            <a:cs typeface="+mn-cs"/>
                          </a:rPr>
                          <m:t>+</m:t>
                        </m:r>
                        <m:sSub>
                          <m:sSubPr>
                            <m:ctrlPr>
                              <a:rPr lang="es-CO" sz="700" i="1">
                                <a:solidFill>
                                  <a:schemeClr val="tx1"/>
                                </a:solidFill>
                                <a:effectLst/>
                                <a:latin typeface="Cambria Math" panose="02040503050406030204" pitchFamily="18" charset="0"/>
                                <a:ea typeface="+mn-ea"/>
                                <a:cs typeface="+mn-cs"/>
                              </a:rPr>
                            </m:ctrlPr>
                          </m:sSubPr>
                          <m:e>
                            <m:r>
                              <a:rPr lang="en-US" sz="700" i="1">
                                <a:solidFill>
                                  <a:schemeClr val="tx1"/>
                                </a:solidFill>
                                <a:effectLst/>
                                <a:latin typeface="Cambria Math" panose="02040503050406030204" pitchFamily="18" charset="0"/>
                                <a:ea typeface="+mn-ea"/>
                                <a:cs typeface="+mn-cs"/>
                              </a:rPr>
                              <m:t>𝛽</m:t>
                            </m:r>
                          </m:e>
                          <m:sub>
                            <m:r>
                              <a:rPr lang="en-US" sz="700" i="1">
                                <a:solidFill>
                                  <a:schemeClr val="tx1"/>
                                </a:solidFill>
                                <a:effectLst/>
                                <a:latin typeface="Cambria Math" panose="02040503050406030204" pitchFamily="18" charset="0"/>
                                <a:ea typeface="+mn-ea"/>
                                <a:cs typeface="+mn-cs"/>
                              </a:rPr>
                              <m:t>𝑚</m:t>
                            </m:r>
                          </m:sub>
                        </m:sSub>
                        <m:r>
                          <a:rPr lang="en-US" sz="700" i="1">
                            <a:solidFill>
                              <a:schemeClr val="tx1"/>
                            </a:solidFill>
                            <a:effectLst/>
                            <a:latin typeface="Cambria Math" panose="02040503050406030204" pitchFamily="18" charset="0"/>
                            <a:ea typeface="+mn-ea"/>
                            <a:cs typeface="+mn-cs"/>
                          </a:rPr>
                          <m:t>+</m:t>
                        </m:r>
                        <m:sSub>
                          <m:sSubPr>
                            <m:ctrlPr>
                              <a:rPr lang="es-CO" sz="700" i="1">
                                <a:solidFill>
                                  <a:schemeClr val="tx1"/>
                                </a:solidFill>
                                <a:effectLst/>
                                <a:latin typeface="Cambria Math" panose="02040503050406030204" pitchFamily="18" charset="0"/>
                                <a:ea typeface="+mn-ea"/>
                                <a:cs typeface="+mn-cs"/>
                              </a:rPr>
                            </m:ctrlPr>
                          </m:sSubPr>
                          <m:e>
                            <m:r>
                              <a:rPr lang="en-US" sz="700" i="1">
                                <a:solidFill>
                                  <a:schemeClr val="tx1"/>
                                </a:solidFill>
                                <a:effectLst/>
                                <a:latin typeface="Cambria Math" panose="02040503050406030204" pitchFamily="18" charset="0"/>
                                <a:ea typeface="+mn-ea"/>
                                <a:cs typeface="+mn-cs"/>
                              </a:rPr>
                              <m:t>𝜃</m:t>
                            </m:r>
                          </m:e>
                          <m:sub>
                            <m:r>
                              <a:rPr lang="en-US" sz="700" i="1">
                                <a:solidFill>
                                  <a:schemeClr val="tx1"/>
                                </a:solidFill>
                                <a:effectLst/>
                                <a:latin typeface="Cambria Math" panose="02040503050406030204" pitchFamily="18" charset="0"/>
                                <a:ea typeface="+mn-ea"/>
                                <a:cs typeface="+mn-cs"/>
                              </a:rPr>
                              <m:t>𝑀𝑂</m:t>
                            </m:r>
                          </m:sub>
                        </m:sSub>
                        <m:r>
                          <a:rPr lang="en-US" sz="700" i="1">
                            <a:solidFill>
                              <a:schemeClr val="tx1"/>
                            </a:solidFill>
                            <a:effectLst/>
                            <a:latin typeface="Cambria Math" panose="02040503050406030204" pitchFamily="18" charset="0"/>
                            <a:ea typeface="+mn-ea"/>
                            <a:cs typeface="+mn-cs"/>
                          </a:rPr>
                          <m:t>) </m:t>
                        </m:r>
                        <m:sSup>
                          <m:sSupPr>
                            <m:ctrlPr>
                              <a:rPr lang="es-CO" sz="700" i="1">
                                <a:solidFill>
                                  <a:schemeClr val="tx1"/>
                                </a:solidFill>
                                <a:effectLst/>
                                <a:latin typeface="Cambria Math" panose="02040503050406030204" pitchFamily="18" charset="0"/>
                                <a:ea typeface="+mn-ea"/>
                                <a:cs typeface="+mn-cs"/>
                              </a:rPr>
                            </m:ctrlPr>
                          </m:sSupPr>
                          <m:e>
                            <m:d>
                              <m:dPr>
                                <m:begChr m:val="["/>
                                <m:endChr m:val="]"/>
                                <m:ctrlPr>
                                  <a:rPr lang="es-CO" sz="700" i="1">
                                    <a:solidFill>
                                      <a:schemeClr val="tx1"/>
                                    </a:solidFill>
                                    <a:effectLst/>
                                    <a:latin typeface="Cambria Math" panose="02040503050406030204" pitchFamily="18" charset="0"/>
                                    <a:ea typeface="+mn-ea"/>
                                    <a:cs typeface="+mn-cs"/>
                                  </a:rPr>
                                </m:ctrlPr>
                              </m:dPr>
                              <m:e>
                                <m:r>
                                  <a:rPr lang="en-US" sz="700" i="1">
                                    <a:solidFill>
                                      <a:schemeClr val="tx1"/>
                                    </a:solidFill>
                                    <a:effectLst/>
                                    <a:latin typeface="Cambria Math" panose="02040503050406030204" pitchFamily="18" charset="0"/>
                                    <a:ea typeface="+mn-ea"/>
                                    <a:cs typeface="+mn-cs"/>
                                  </a:rPr>
                                  <m:t>1+</m:t>
                                </m:r>
                                <m:rad>
                                  <m:radPr>
                                    <m:degHide m:val="on"/>
                                    <m:ctrlPr>
                                      <a:rPr lang="es-CO" sz="700" i="1">
                                        <a:solidFill>
                                          <a:schemeClr val="tx1"/>
                                        </a:solidFill>
                                        <a:effectLst/>
                                        <a:latin typeface="Cambria Math" panose="02040503050406030204" pitchFamily="18" charset="0"/>
                                        <a:ea typeface="+mn-ea"/>
                                        <a:cs typeface="+mn-cs"/>
                                      </a:rPr>
                                    </m:ctrlPr>
                                  </m:radPr>
                                  <m:deg/>
                                  <m:e>
                                    <m:f>
                                      <m:fPr>
                                        <m:ctrlPr>
                                          <a:rPr lang="es-CO" sz="700" i="1">
                                            <a:solidFill>
                                              <a:schemeClr val="tx1"/>
                                            </a:solidFill>
                                            <a:effectLst/>
                                            <a:latin typeface="Cambria Math" panose="02040503050406030204" pitchFamily="18" charset="0"/>
                                            <a:ea typeface="+mn-ea"/>
                                            <a:cs typeface="+mn-cs"/>
                                          </a:rPr>
                                        </m:ctrlPr>
                                      </m:fPr>
                                      <m:num>
                                        <m:func>
                                          <m:funcPr>
                                            <m:ctrlPr>
                                              <a:rPr lang="es-CO" sz="700" i="1">
                                                <a:solidFill>
                                                  <a:schemeClr val="tx1"/>
                                                </a:solidFill>
                                                <a:effectLst/>
                                                <a:latin typeface="Cambria Math" panose="02040503050406030204" pitchFamily="18" charset="0"/>
                                                <a:ea typeface="+mn-ea"/>
                                                <a:cs typeface="+mn-cs"/>
                                              </a:rPr>
                                            </m:ctrlPr>
                                          </m:funcPr>
                                          <m:fName>
                                            <m:r>
                                              <m:rPr>
                                                <m:sty m:val="p"/>
                                              </m:rPr>
                                              <a:rPr lang="en-US" sz="700">
                                                <a:solidFill>
                                                  <a:schemeClr val="tx1"/>
                                                </a:solidFill>
                                                <a:effectLst/>
                                                <a:latin typeface="Cambria Math" panose="02040503050406030204" pitchFamily="18" charset="0"/>
                                                <a:ea typeface="+mn-ea"/>
                                                <a:cs typeface="+mn-cs"/>
                                              </a:rPr>
                                              <m:t>sin</m:t>
                                            </m:r>
                                          </m:fName>
                                          <m:e>
                                            <m:d>
                                              <m:dPr>
                                                <m:ctrlPr>
                                                  <a:rPr lang="es-CO" sz="700" i="1">
                                                    <a:solidFill>
                                                      <a:schemeClr val="tx1"/>
                                                    </a:solidFill>
                                                    <a:effectLst/>
                                                    <a:latin typeface="Cambria Math" panose="02040503050406030204" pitchFamily="18" charset="0"/>
                                                    <a:ea typeface="+mn-ea"/>
                                                    <a:cs typeface="+mn-cs"/>
                                                  </a:rPr>
                                                </m:ctrlPr>
                                              </m:dPr>
                                              <m:e>
                                                <m:r>
                                                  <a:rPr lang="en-US" sz="700" i="1">
                                                    <a:solidFill>
                                                      <a:schemeClr val="tx1"/>
                                                    </a:solidFill>
                                                    <a:effectLst/>
                                                    <a:latin typeface="Cambria Math" panose="02040503050406030204" pitchFamily="18" charset="0"/>
                                                    <a:ea typeface="+mn-ea"/>
                                                    <a:cs typeface="+mn-cs"/>
                                                  </a:rPr>
                                                  <m:t>𝜙</m:t>
                                                </m:r>
                                                <m:r>
                                                  <a:rPr lang="en-US" sz="700" i="1">
                                                    <a:solidFill>
                                                      <a:schemeClr val="tx1"/>
                                                    </a:solidFill>
                                                    <a:effectLst/>
                                                    <a:latin typeface="Cambria Math" panose="02040503050406030204" pitchFamily="18" charset="0"/>
                                                    <a:ea typeface="+mn-ea"/>
                                                    <a:cs typeface="+mn-cs"/>
                                                  </a:rPr>
                                                  <m:t>+</m:t>
                                                </m:r>
                                                <m:r>
                                                  <a:rPr lang="en-US" sz="700" i="1">
                                                    <a:solidFill>
                                                      <a:schemeClr val="tx1"/>
                                                    </a:solidFill>
                                                    <a:effectLst/>
                                                    <a:latin typeface="Cambria Math" panose="02040503050406030204" pitchFamily="18" charset="0"/>
                                                    <a:ea typeface="+mn-ea"/>
                                                    <a:cs typeface="+mn-cs"/>
                                                  </a:rPr>
                                                  <m:t>𝛿</m:t>
                                                </m:r>
                                              </m:e>
                                            </m:d>
                                          </m:e>
                                        </m:func>
                                        <m:func>
                                          <m:funcPr>
                                            <m:ctrlPr>
                                              <a:rPr lang="es-CO" sz="700" i="1">
                                                <a:solidFill>
                                                  <a:schemeClr val="tx1"/>
                                                </a:solidFill>
                                                <a:effectLst/>
                                                <a:latin typeface="Cambria Math" panose="02040503050406030204" pitchFamily="18" charset="0"/>
                                                <a:ea typeface="+mn-ea"/>
                                                <a:cs typeface="+mn-cs"/>
                                              </a:rPr>
                                            </m:ctrlPr>
                                          </m:funcPr>
                                          <m:fName>
                                            <m:r>
                                              <m:rPr>
                                                <m:sty m:val="p"/>
                                              </m:rPr>
                                              <a:rPr lang="en-US" sz="700">
                                                <a:solidFill>
                                                  <a:schemeClr val="tx1"/>
                                                </a:solidFill>
                                                <a:effectLst/>
                                                <a:latin typeface="Cambria Math" panose="02040503050406030204" pitchFamily="18" charset="0"/>
                                                <a:ea typeface="+mn-ea"/>
                                                <a:cs typeface="+mn-cs"/>
                                              </a:rPr>
                                              <m:t>sin</m:t>
                                            </m:r>
                                          </m:fName>
                                          <m:e>
                                            <m:d>
                                              <m:dPr>
                                                <m:ctrlPr>
                                                  <a:rPr lang="es-CO" sz="700" i="1">
                                                    <a:solidFill>
                                                      <a:schemeClr val="tx1"/>
                                                    </a:solidFill>
                                                    <a:effectLst/>
                                                    <a:latin typeface="Cambria Math" panose="02040503050406030204" pitchFamily="18" charset="0"/>
                                                    <a:ea typeface="+mn-ea"/>
                                                    <a:cs typeface="+mn-cs"/>
                                                  </a:rPr>
                                                </m:ctrlPr>
                                              </m:dPr>
                                              <m:e>
                                                <m:r>
                                                  <a:rPr lang="en-US" sz="700" i="1">
                                                    <a:solidFill>
                                                      <a:schemeClr val="tx1"/>
                                                    </a:solidFill>
                                                    <a:effectLst/>
                                                    <a:latin typeface="Cambria Math" panose="02040503050406030204" pitchFamily="18" charset="0"/>
                                                    <a:ea typeface="+mn-ea"/>
                                                    <a:cs typeface="+mn-cs"/>
                                                  </a:rPr>
                                                  <m:t>𝜙</m:t>
                                                </m:r>
                                                <m:r>
                                                  <a:rPr lang="en-US" sz="700" i="1">
                                                    <a:solidFill>
                                                      <a:schemeClr val="tx1"/>
                                                    </a:solidFill>
                                                    <a:effectLst/>
                                                    <a:latin typeface="Cambria Math" panose="02040503050406030204" pitchFamily="18" charset="0"/>
                                                    <a:ea typeface="+mn-ea"/>
                                                    <a:cs typeface="+mn-cs"/>
                                                  </a:rPr>
                                                  <m:t>−</m:t>
                                                </m:r>
                                                <m:r>
                                                  <a:rPr lang="en-US" sz="700" i="1">
                                                    <a:solidFill>
                                                      <a:schemeClr val="tx1"/>
                                                    </a:solidFill>
                                                    <a:effectLst/>
                                                    <a:latin typeface="Cambria Math" panose="02040503050406030204" pitchFamily="18" charset="0"/>
                                                    <a:ea typeface="+mn-ea"/>
                                                    <a:cs typeface="+mn-cs"/>
                                                  </a:rPr>
                                                  <m:t>𝑖</m:t>
                                                </m:r>
                                                <m:r>
                                                  <a:rPr lang="en-US" sz="700" i="1">
                                                    <a:solidFill>
                                                      <a:schemeClr val="tx1"/>
                                                    </a:solidFill>
                                                    <a:effectLst/>
                                                    <a:latin typeface="Cambria Math" panose="02040503050406030204" pitchFamily="18" charset="0"/>
                                                    <a:ea typeface="+mn-ea"/>
                                                    <a:cs typeface="+mn-cs"/>
                                                  </a:rPr>
                                                  <m:t>−</m:t>
                                                </m:r>
                                                <m:sSub>
                                                  <m:sSubPr>
                                                    <m:ctrlPr>
                                                      <a:rPr lang="es-CO" sz="700" i="1">
                                                        <a:solidFill>
                                                          <a:schemeClr val="tx1"/>
                                                        </a:solidFill>
                                                        <a:effectLst/>
                                                        <a:latin typeface="Cambria Math" panose="02040503050406030204" pitchFamily="18" charset="0"/>
                                                        <a:ea typeface="+mn-ea"/>
                                                        <a:cs typeface="+mn-cs"/>
                                                      </a:rPr>
                                                    </m:ctrlPr>
                                                  </m:sSubPr>
                                                  <m:e>
                                                    <m:r>
                                                      <a:rPr lang="en-US" sz="700" i="1">
                                                        <a:solidFill>
                                                          <a:schemeClr val="tx1"/>
                                                        </a:solidFill>
                                                        <a:effectLst/>
                                                        <a:latin typeface="Cambria Math" panose="02040503050406030204" pitchFamily="18" charset="0"/>
                                                        <a:ea typeface="+mn-ea"/>
                                                        <a:cs typeface="+mn-cs"/>
                                                      </a:rPr>
                                                      <m:t>𝜃</m:t>
                                                    </m:r>
                                                  </m:e>
                                                  <m:sub>
                                                    <m:r>
                                                      <a:rPr lang="en-US" sz="700" i="1">
                                                        <a:solidFill>
                                                          <a:schemeClr val="tx1"/>
                                                        </a:solidFill>
                                                        <a:effectLst/>
                                                        <a:latin typeface="Cambria Math" panose="02040503050406030204" pitchFamily="18" charset="0"/>
                                                        <a:ea typeface="+mn-ea"/>
                                                        <a:cs typeface="+mn-cs"/>
                                                      </a:rPr>
                                                      <m:t>𝑀𝑂</m:t>
                                                    </m:r>
                                                  </m:sub>
                                                </m:sSub>
                                              </m:e>
                                            </m:d>
                                          </m:e>
                                        </m:func>
                                      </m:num>
                                      <m:den>
                                        <m:func>
                                          <m:funcPr>
                                            <m:ctrlPr>
                                              <a:rPr lang="es-CO" sz="700" i="1">
                                                <a:solidFill>
                                                  <a:schemeClr val="tx1"/>
                                                </a:solidFill>
                                                <a:effectLst/>
                                                <a:latin typeface="Cambria Math" panose="02040503050406030204" pitchFamily="18" charset="0"/>
                                                <a:ea typeface="+mn-ea"/>
                                                <a:cs typeface="+mn-cs"/>
                                              </a:rPr>
                                            </m:ctrlPr>
                                          </m:funcPr>
                                          <m:fName>
                                            <m:r>
                                              <m:rPr>
                                                <m:sty m:val="p"/>
                                              </m:rPr>
                                              <a:rPr lang="en-US" sz="700">
                                                <a:solidFill>
                                                  <a:schemeClr val="tx1"/>
                                                </a:solidFill>
                                                <a:effectLst/>
                                                <a:latin typeface="Cambria Math" panose="02040503050406030204" pitchFamily="18" charset="0"/>
                                                <a:ea typeface="+mn-ea"/>
                                                <a:cs typeface="+mn-cs"/>
                                              </a:rPr>
                                              <m:t>cos</m:t>
                                            </m:r>
                                          </m:fName>
                                          <m:e>
                                            <m:d>
                                              <m:dPr>
                                                <m:ctrlPr>
                                                  <a:rPr lang="es-CO" sz="700" i="1">
                                                    <a:solidFill>
                                                      <a:schemeClr val="tx1"/>
                                                    </a:solidFill>
                                                    <a:effectLst/>
                                                    <a:latin typeface="Cambria Math" panose="02040503050406030204" pitchFamily="18" charset="0"/>
                                                    <a:ea typeface="+mn-ea"/>
                                                    <a:cs typeface="+mn-cs"/>
                                                  </a:rPr>
                                                </m:ctrlPr>
                                              </m:dPr>
                                              <m:e>
                                                <m:r>
                                                  <a:rPr lang="en-US" sz="700" i="1">
                                                    <a:solidFill>
                                                      <a:schemeClr val="tx1"/>
                                                    </a:solidFill>
                                                    <a:effectLst/>
                                                    <a:latin typeface="Cambria Math" panose="02040503050406030204" pitchFamily="18" charset="0"/>
                                                    <a:ea typeface="+mn-ea"/>
                                                    <a:cs typeface="+mn-cs"/>
                                                  </a:rPr>
                                                  <m:t>𝛿</m:t>
                                                </m:r>
                                                <m:r>
                                                  <a:rPr lang="en-US" sz="700" i="1">
                                                    <a:solidFill>
                                                      <a:schemeClr val="tx1"/>
                                                    </a:solidFill>
                                                    <a:effectLst/>
                                                    <a:latin typeface="Cambria Math" panose="02040503050406030204" pitchFamily="18" charset="0"/>
                                                    <a:ea typeface="+mn-ea"/>
                                                    <a:cs typeface="+mn-cs"/>
                                                  </a:rPr>
                                                  <m:t>+</m:t>
                                                </m:r>
                                                <m:sSub>
                                                  <m:sSubPr>
                                                    <m:ctrlPr>
                                                      <a:rPr lang="es-CO" sz="700" i="1">
                                                        <a:solidFill>
                                                          <a:schemeClr val="tx1"/>
                                                        </a:solidFill>
                                                        <a:effectLst/>
                                                        <a:latin typeface="Cambria Math" panose="02040503050406030204" pitchFamily="18" charset="0"/>
                                                        <a:ea typeface="+mn-ea"/>
                                                        <a:cs typeface="+mn-cs"/>
                                                      </a:rPr>
                                                    </m:ctrlPr>
                                                  </m:sSubPr>
                                                  <m:e>
                                                    <m:r>
                                                      <a:rPr lang="en-US" sz="700" i="1">
                                                        <a:solidFill>
                                                          <a:schemeClr val="tx1"/>
                                                        </a:solidFill>
                                                        <a:effectLst/>
                                                        <a:latin typeface="Cambria Math" panose="02040503050406030204" pitchFamily="18" charset="0"/>
                                                        <a:ea typeface="+mn-ea"/>
                                                        <a:cs typeface="+mn-cs"/>
                                                      </a:rPr>
                                                      <m:t>𝛽</m:t>
                                                    </m:r>
                                                  </m:e>
                                                  <m:sub>
                                                    <m:r>
                                                      <a:rPr lang="en-US" sz="700" i="1">
                                                        <a:solidFill>
                                                          <a:schemeClr val="tx1"/>
                                                        </a:solidFill>
                                                        <a:effectLst/>
                                                        <a:latin typeface="Cambria Math" panose="02040503050406030204" pitchFamily="18" charset="0"/>
                                                        <a:ea typeface="+mn-ea"/>
                                                        <a:cs typeface="+mn-cs"/>
                                                      </a:rPr>
                                                      <m:t>𝑚</m:t>
                                                    </m:r>
                                                  </m:sub>
                                                </m:sSub>
                                                <m:r>
                                                  <a:rPr lang="en-US" sz="700" i="1">
                                                    <a:solidFill>
                                                      <a:schemeClr val="tx1"/>
                                                    </a:solidFill>
                                                    <a:effectLst/>
                                                    <a:latin typeface="Cambria Math" panose="02040503050406030204" pitchFamily="18" charset="0"/>
                                                    <a:ea typeface="+mn-ea"/>
                                                    <a:cs typeface="+mn-cs"/>
                                                  </a:rPr>
                                                  <m:t>+</m:t>
                                                </m:r>
                                                <m:sSub>
                                                  <m:sSubPr>
                                                    <m:ctrlPr>
                                                      <a:rPr lang="es-CO" sz="700" i="1">
                                                        <a:solidFill>
                                                          <a:schemeClr val="tx1"/>
                                                        </a:solidFill>
                                                        <a:effectLst/>
                                                        <a:latin typeface="Cambria Math" panose="02040503050406030204" pitchFamily="18" charset="0"/>
                                                        <a:ea typeface="+mn-ea"/>
                                                        <a:cs typeface="+mn-cs"/>
                                                      </a:rPr>
                                                    </m:ctrlPr>
                                                  </m:sSubPr>
                                                  <m:e>
                                                    <m:r>
                                                      <a:rPr lang="en-US" sz="700" i="1">
                                                        <a:solidFill>
                                                          <a:schemeClr val="tx1"/>
                                                        </a:solidFill>
                                                        <a:effectLst/>
                                                        <a:latin typeface="Cambria Math" panose="02040503050406030204" pitchFamily="18" charset="0"/>
                                                        <a:ea typeface="+mn-ea"/>
                                                        <a:cs typeface="+mn-cs"/>
                                                      </a:rPr>
                                                      <m:t>𝜃</m:t>
                                                    </m:r>
                                                  </m:e>
                                                  <m:sub>
                                                    <m:r>
                                                      <a:rPr lang="en-US" sz="700" i="1">
                                                        <a:solidFill>
                                                          <a:schemeClr val="tx1"/>
                                                        </a:solidFill>
                                                        <a:effectLst/>
                                                        <a:latin typeface="Cambria Math" panose="02040503050406030204" pitchFamily="18" charset="0"/>
                                                        <a:ea typeface="+mn-ea"/>
                                                        <a:cs typeface="+mn-cs"/>
                                                      </a:rPr>
                                                      <m:t>𝑀𝑂</m:t>
                                                    </m:r>
                                                  </m:sub>
                                                </m:sSub>
                                              </m:e>
                                            </m:d>
                                          </m:e>
                                        </m:func>
                                        <m:func>
                                          <m:funcPr>
                                            <m:ctrlPr>
                                              <a:rPr lang="es-CO" sz="700" i="1">
                                                <a:solidFill>
                                                  <a:schemeClr val="tx1"/>
                                                </a:solidFill>
                                                <a:effectLst/>
                                                <a:latin typeface="Cambria Math" panose="02040503050406030204" pitchFamily="18" charset="0"/>
                                                <a:ea typeface="+mn-ea"/>
                                                <a:cs typeface="+mn-cs"/>
                                              </a:rPr>
                                            </m:ctrlPr>
                                          </m:funcPr>
                                          <m:fName>
                                            <m:r>
                                              <m:rPr>
                                                <m:sty m:val="p"/>
                                              </m:rPr>
                                              <a:rPr lang="en-US" sz="700">
                                                <a:solidFill>
                                                  <a:schemeClr val="tx1"/>
                                                </a:solidFill>
                                                <a:effectLst/>
                                                <a:latin typeface="Cambria Math" panose="02040503050406030204" pitchFamily="18" charset="0"/>
                                                <a:ea typeface="+mn-ea"/>
                                                <a:cs typeface="+mn-cs"/>
                                              </a:rPr>
                                              <m:t>cos</m:t>
                                            </m:r>
                                          </m:fName>
                                          <m:e>
                                            <m:d>
                                              <m:dPr>
                                                <m:ctrlPr>
                                                  <a:rPr lang="es-CO" sz="700" i="1">
                                                    <a:solidFill>
                                                      <a:schemeClr val="tx1"/>
                                                    </a:solidFill>
                                                    <a:effectLst/>
                                                    <a:latin typeface="Cambria Math" panose="02040503050406030204" pitchFamily="18" charset="0"/>
                                                    <a:ea typeface="+mn-ea"/>
                                                    <a:cs typeface="+mn-cs"/>
                                                  </a:rPr>
                                                </m:ctrlPr>
                                              </m:dPr>
                                              <m:e>
                                                <m:r>
                                                  <a:rPr lang="en-US" sz="700" i="1">
                                                    <a:solidFill>
                                                      <a:schemeClr val="tx1"/>
                                                    </a:solidFill>
                                                    <a:effectLst/>
                                                    <a:latin typeface="Cambria Math" panose="02040503050406030204" pitchFamily="18" charset="0"/>
                                                    <a:ea typeface="+mn-ea"/>
                                                    <a:cs typeface="+mn-cs"/>
                                                  </a:rPr>
                                                  <m:t>𝑖</m:t>
                                                </m:r>
                                                <m:r>
                                                  <a:rPr lang="en-US" sz="700" i="1">
                                                    <a:solidFill>
                                                      <a:schemeClr val="tx1"/>
                                                    </a:solidFill>
                                                    <a:effectLst/>
                                                    <a:latin typeface="Cambria Math" panose="02040503050406030204" pitchFamily="18" charset="0"/>
                                                    <a:ea typeface="+mn-ea"/>
                                                    <a:cs typeface="+mn-cs"/>
                                                  </a:rPr>
                                                  <m:t>−</m:t>
                                                </m:r>
                                                <m:sSub>
                                                  <m:sSubPr>
                                                    <m:ctrlPr>
                                                      <a:rPr lang="es-CO" sz="700" i="1">
                                                        <a:solidFill>
                                                          <a:schemeClr val="tx1"/>
                                                        </a:solidFill>
                                                        <a:effectLst/>
                                                        <a:latin typeface="Cambria Math" panose="02040503050406030204" pitchFamily="18" charset="0"/>
                                                        <a:ea typeface="+mn-ea"/>
                                                        <a:cs typeface="+mn-cs"/>
                                                      </a:rPr>
                                                    </m:ctrlPr>
                                                  </m:sSubPr>
                                                  <m:e>
                                                    <m:r>
                                                      <a:rPr lang="en-US" sz="700" i="1">
                                                        <a:solidFill>
                                                          <a:schemeClr val="tx1"/>
                                                        </a:solidFill>
                                                        <a:effectLst/>
                                                        <a:latin typeface="Cambria Math" panose="02040503050406030204" pitchFamily="18" charset="0"/>
                                                        <a:ea typeface="+mn-ea"/>
                                                        <a:cs typeface="+mn-cs"/>
                                                      </a:rPr>
                                                      <m:t>𝛽</m:t>
                                                    </m:r>
                                                  </m:e>
                                                  <m:sub>
                                                    <m:r>
                                                      <a:rPr lang="en-US" sz="700" i="1">
                                                        <a:solidFill>
                                                          <a:schemeClr val="tx1"/>
                                                        </a:solidFill>
                                                        <a:effectLst/>
                                                        <a:latin typeface="Cambria Math" panose="02040503050406030204" pitchFamily="18" charset="0"/>
                                                        <a:ea typeface="+mn-ea"/>
                                                        <a:cs typeface="+mn-cs"/>
                                                      </a:rPr>
                                                      <m:t>𝑚</m:t>
                                                    </m:r>
                                                  </m:sub>
                                                </m:sSub>
                                              </m:e>
                                            </m:d>
                                          </m:e>
                                        </m:func>
                                      </m:den>
                                    </m:f>
                                  </m:e>
                                </m:rad>
                              </m:e>
                            </m:d>
                          </m:e>
                          <m:sup>
                            <m:r>
                              <a:rPr lang="en-US" sz="700" i="1">
                                <a:solidFill>
                                  <a:schemeClr val="tx1"/>
                                </a:solidFill>
                                <a:effectLst/>
                                <a:latin typeface="Cambria Math" panose="02040503050406030204" pitchFamily="18" charset="0"/>
                                <a:ea typeface="+mn-ea"/>
                                <a:cs typeface="+mn-cs"/>
                              </a:rPr>
                              <m:t>2</m:t>
                            </m:r>
                          </m:sup>
                        </m:sSup>
                      </m:den>
                    </m:f>
                  </m:oMath>
                </m:oMathPara>
              </a14:m>
              <a:endParaRPr lang="es-CO" sz="1100">
                <a:solidFill>
                  <a:schemeClr val="tx1"/>
                </a:solidFill>
                <a:effectLst/>
                <a:latin typeface="+mn-lt"/>
                <a:ea typeface="+mn-ea"/>
                <a:cs typeface="+mn-cs"/>
              </a:endParaRPr>
            </a:p>
            <a:p>
              <a:endParaRPr lang="es-CO" sz="1100"/>
            </a:p>
          </xdr:txBody>
        </xdr:sp>
      </mc:Choice>
      <mc:Fallback xmlns="">
        <xdr:sp macro="" textlink="">
          <xdr:nvSpPr>
            <xdr:cNvPr id="39" name="CuadroTexto 38">
              <a:extLst>
                <a:ext uri="{FF2B5EF4-FFF2-40B4-BE49-F238E27FC236}">
                  <a16:creationId xmlns:a16="http://schemas.microsoft.com/office/drawing/2014/main" id="{CAC284CE-0209-94A9-B72E-E4E797B54AB8}"/>
                </a:ext>
              </a:extLst>
            </xdr:cNvPr>
            <xdr:cNvSpPr txBox="1"/>
          </xdr:nvSpPr>
          <xdr:spPr>
            <a:xfrm>
              <a:off x="6543675" y="22026562"/>
              <a:ext cx="2886075" cy="7775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700" i="0">
                  <a:solidFill>
                    <a:schemeClr val="tx1"/>
                  </a:solidFill>
                  <a:effectLst/>
                  <a:latin typeface="+mn-lt"/>
                  <a:ea typeface="+mn-ea"/>
                  <a:cs typeface="+mn-cs"/>
                </a:rPr>
                <a:t>𝐾</a:t>
              </a:r>
              <a:r>
                <a:rPr lang="es-CO" sz="700" i="0">
                  <a:solidFill>
                    <a:schemeClr val="tx1"/>
                  </a:solidFill>
                  <a:effectLst/>
                  <a:latin typeface="+mn-lt"/>
                  <a:ea typeface="+mn-ea"/>
                  <a:cs typeface="+mn-cs"/>
                </a:rPr>
                <a:t>_</a:t>
              </a:r>
              <a:r>
                <a:rPr lang="en-US" sz="700" i="0">
                  <a:solidFill>
                    <a:schemeClr val="tx1"/>
                  </a:solidFill>
                  <a:effectLst/>
                  <a:latin typeface="+mn-lt"/>
                  <a:ea typeface="+mn-ea"/>
                  <a:cs typeface="+mn-cs"/>
                </a:rPr>
                <a:t>𝐴𝐷=cos</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2</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(𝜙−𝛽</a:t>
              </a:r>
              <a:r>
                <a:rPr lang="es-CO" sz="700" i="0">
                  <a:solidFill>
                    <a:schemeClr val="tx1"/>
                  </a:solidFill>
                  <a:effectLst/>
                  <a:latin typeface="+mn-lt"/>
                  <a:ea typeface="+mn-ea"/>
                  <a:cs typeface="+mn-cs"/>
                </a:rPr>
                <a:t>_</a:t>
              </a:r>
              <a:r>
                <a:rPr lang="en-US" sz="700" i="0">
                  <a:solidFill>
                    <a:schemeClr val="tx1"/>
                  </a:solidFill>
                  <a:effectLst/>
                  <a:latin typeface="+mn-lt"/>
                  <a:ea typeface="+mn-ea"/>
                  <a:cs typeface="+mn-cs"/>
                </a:rPr>
                <a:t>𝑚−𝜃</a:t>
              </a:r>
              <a:r>
                <a:rPr lang="es-CO" sz="700" i="0">
                  <a:solidFill>
                    <a:schemeClr val="tx1"/>
                  </a:solidFill>
                  <a:effectLst/>
                  <a:latin typeface="+mn-lt"/>
                  <a:ea typeface="+mn-ea"/>
                  <a:cs typeface="+mn-cs"/>
                </a:rPr>
                <a:t>_</a:t>
              </a:r>
              <a:r>
                <a:rPr lang="en-US" sz="700" i="0">
                  <a:solidFill>
                    <a:schemeClr val="tx1"/>
                  </a:solidFill>
                  <a:effectLst/>
                  <a:latin typeface="+mn-lt"/>
                  <a:ea typeface="+mn-ea"/>
                  <a:cs typeface="+mn-cs"/>
                </a:rPr>
                <a:t>𝑀𝑂)</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cos</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𝜃</a:t>
              </a:r>
              <a:r>
                <a:rPr lang="es-CO" sz="700" i="0">
                  <a:solidFill>
                    <a:schemeClr val="tx1"/>
                  </a:solidFill>
                  <a:effectLst/>
                  <a:latin typeface="+mn-lt"/>
                  <a:ea typeface="+mn-ea"/>
                  <a:cs typeface="+mn-cs"/>
                </a:rPr>
                <a:t>_</a:t>
              </a:r>
              <a:r>
                <a:rPr lang="en-US" sz="700" i="0">
                  <a:solidFill>
                    <a:schemeClr val="tx1"/>
                  </a:solidFill>
                  <a:effectLst/>
                  <a:latin typeface="+mn-lt"/>
                  <a:ea typeface="+mn-ea"/>
                  <a:cs typeface="+mn-cs"/>
                </a:rPr>
                <a:t>𝑀𝑂  </a:t>
              </a:r>
              <a:r>
                <a:rPr lang="es-CO" sz="700" i="0">
                  <a:solidFill>
                    <a:schemeClr val="tx1"/>
                  </a:solidFill>
                  <a:effectLst/>
                  <a:latin typeface="+mn-lt"/>
                  <a:ea typeface="+mn-ea"/>
                  <a:cs typeface="+mn-cs"/>
                </a:rPr>
                <a:t>〗  </a:t>
              </a:r>
              <a:r>
                <a:rPr lang="en-US" sz="700" i="0">
                  <a:solidFill>
                    <a:schemeClr val="tx1"/>
                  </a:solidFill>
                  <a:effectLst/>
                  <a:latin typeface="+mn-lt"/>
                  <a:ea typeface="+mn-ea"/>
                  <a:cs typeface="+mn-cs"/>
                </a:rPr>
                <a:t>cos</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2</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𝛽</a:t>
              </a:r>
              <a:r>
                <a:rPr lang="es-CO" sz="700" i="0">
                  <a:solidFill>
                    <a:schemeClr val="tx1"/>
                  </a:solidFill>
                  <a:effectLst/>
                  <a:latin typeface="+mn-lt"/>
                  <a:ea typeface="+mn-ea"/>
                  <a:cs typeface="+mn-cs"/>
                </a:rPr>
                <a:t>_</a:t>
              </a:r>
              <a:r>
                <a:rPr lang="en-US" sz="700" i="0">
                  <a:solidFill>
                    <a:schemeClr val="tx1"/>
                  </a:solidFill>
                  <a:effectLst/>
                  <a:latin typeface="+mn-lt"/>
                  <a:ea typeface="+mn-ea"/>
                  <a:cs typeface="+mn-cs"/>
                </a:rPr>
                <a:t>𝑚 </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 cos(𝛿+𝛽</a:t>
              </a:r>
              <a:r>
                <a:rPr lang="es-CO" sz="700" i="0">
                  <a:solidFill>
                    <a:schemeClr val="tx1"/>
                  </a:solidFill>
                  <a:effectLst/>
                  <a:latin typeface="+mn-lt"/>
                  <a:ea typeface="+mn-ea"/>
                  <a:cs typeface="+mn-cs"/>
                </a:rPr>
                <a:t>_</a:t>
              </a:r>
              <a:r>
                <a:rPr lang="en-US" sz="700" i="0">
                  <a:solidFill>
                    <a:schemeClr val="tx1"/>
                  </a:solidFill>
                  <a:effectLst/>
                  <a:latin typeface="+mn-lt"/>
                  <a:ea typeface="+mn-ea"/>
                  <a:cs typeface="+mn-cs"/>
                </a:rPr>
                <a:t>𝑚+𝜃</a:t>
              </a:r>
              <a:r>
                <a:rPr lang="es-CO" sz="700" i="0">
                  <a:solidFill>
                    <a:schemeClr val="tx1"/>
                  </a:solidFill>
                  <a:effectLst/>
                  <a:latin typeface="+mn-lt"/>
                  <a:ea typeface="+mn-ea"/>
                  <a:cs typeface="+mn-cs"/>
                </a:rPr>
                <a:t>_</a:t>
              </a:r>
              <a:r>
                <a:rPr lang="en-US" sz="700" i="0">
                  <a:solidFill>
                    <a:schemeClr val="tx1"/>
                  </a:solidFill>
                  <a:effectLst/>
                  <a:latin typeface="+mn-lt"/>
                  <a:ea typeface="+mn-ea"/>
                  <a:cs typeface="+mn-cs"/>
                </a:rPr>
                <a:t>𝑀𝑂) </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1+</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sin</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𝜙+𝛿)</a:t>
              </a:r>
              <a:r>
                <a:rPr lang="es-CO" sz="700" i="0">
                  <a:solidFill>
                    <a:schemeClr val="tx1"/>
                  </a:solidFill>
                  <a:effectLst/>
                  <a:latin typeface="+mn-lt"/>
                  <a:ea typeface="+mn-ea"/>
                  <a:cs typeface="+mn-cs"/>
                </a:rPr>
                <a:t> </a:t>
              </a:r>
              <a:r>
                <a:rPr lang="en-US" sz="700" i="0">
                  <a:solidFill>
                    <a:schemeClr val="tx1"/>
                  </a:solidFill>
                  <a:effectLst/>
                  <a:latin typeface="+mn-lt"/>
                  <a:ea typeface="+mn-ea"/>
                  <a:cs typeface="+mn-cs"/>
                </a:rPr>
                <a:t> sin</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𝜙−𝑖−𝜃</a:t>
              </a:r>
              <a:r>
                <a:rPr lang="es-CO" sz="700" i="0">
                  <a:solidFill>
                    <a:schemeClr val="tx1"/>
                  </a:solidFill>
                  <a:effectLst/>
                  <a:latin typeface="+mn-lt"/>
                  <a:ea typeface="+mn-ea"/>
                  <a:cs typeface="+mn-cs"/>
                </a:rPr>
                <a:t>_</a:t>
              </a:r>
              <a:r>
                <a:rPr lang="en-US" sz="700" i="0">
                  <a:solidFill>
                    <a:schemeClr val="tx1"/>
                  </a:solidFill>
                  <a:effectLst/>
                  <a:latin typeface="+mn-lt"/>
                  <a:ea typeface="+mn-ea"/>
                  <a:cs typeface="+mn-cs"/>
                </a:rPr>
                <a:t>𝑀𝑂 )</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cos</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𝛿+𝛽</a:t>
              </a:r>
              <a:r>
                <a:rPr lang="es-CO" sz="700" i="0">
                  <a:solidFill>
                    <a:schemeClr val="tx1"/>
                  </a:solidFill>
                  <a:effectLst/>
                  <a:latin typeface="+mn-lt"/>
                  <a:ea typeface="+mn-ea"/>
                  <a:cs typeface="+mn-cs"/>
                </a:rPr>
                <a:t>_</a:t>
              </a:r>
              <a:r>
                <a:rPr lang="en-US" sz="700" i="0">
                  <a:solidFill>
                    <a:schemeClr val="tx1"/>
                  </a:solidFill>
                  <a:effectLst/>
                  <a:latin typeface="+mn-lt"/>
                  <a:ea typeface="+mn-ea"/>
                  <a:cs typeface="+mn-cs"/>
                </a:rPr>
                <a:t>𝑚+𝜃</a:t>
              </a:r>
              <a:r>
                <a:rPr lang="es-CO" sz="700" i="0">
                  <a:solidFill>
                    <a:schemeClr val="tx1"/>
                  </a:solidFill>
                  <a:effectLst/>
                  <a:latin typeface="+mn-lt"/>
                  <a:ea typeface="+mn-ea"/>
                  <a:cs typeface="+mn-cs"/>
                </a:rPr>
                <a:t>_</a:t>
              </a:r>
              <a:r>
                <a:rPr lang="en-US" sz="700" i="0">
                  <a:solidFill>
                    <a:schemeClr val="tx1"/>
                  </a:solidFill>
                  <a:effectLst/>
                  <a:latin typeface="+mn-lt"/>
                  <a:ea typeface="+mn-ea"/>
                  <a:cs typeface="+mn-cs"/>
                </a:rPr>
                <a:t>𝑀𝑂 )</a:t>
              </a:r>
              <a:r>
                <a:rPr lang="es-CO" sz="700" i="0">
                  <a:solidFill>
                    <a:schemeClr val="tx1"/>
                  </a:solidFill>
                  <a:effectLst/>
                  <a:latin typeface="+mn-lt"/>
                  <a:ea typeface="+mn-ea"/>
                  <a:cs typeface="+mn-cs"/>
                </a:rPr>
                <a:t> </a:t>
              </a:r>
              <a:r>
                <a:rPr lang="en-US" sz="700" i="0">
                  <a:solidFill>
                    <a:schemeClr val="tx1"/>
                  </a:solidFill>
                  <a:effectLst/>
                  <a:latin typeface="+mn-lt"/>
                  <a:ea typeface="+mn-ea"/>
                  <a:cs typeface="+mn-cs"/>
                </a:rPr>
                <a:t> cos</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𝑖−𝛽</a:t>
              </a:r>
              <a:r>
                <a:rPr lang="es-CO" sz="700" i="0">
                  <a:solidFill>
                    <a:schemeClr val="tx1"/>
                  </a:solidFill>
                  <a:effectLst/>
                  <a:latin typeface="+mn-lt"/>
                  <a:ea typeface="+mn-ea"/>
                  <a:cs typeface="+mn-cs"/>
                </a:rPr>
                <a:t>_</a:t>
              </a:r>
              <a:r>
                <a:rPr lang="en-US" sz="700" i="0">
                  <a:solidFill>
                    <a:schemeClr val="tx1"/>
                  </a:solidFill>
                  <a:effectLst/>
                  <a:latin typeface="+mn-lt"/>
                  <a:ea typeface="+mn-ea"/>
                  <a:cs typeface="+mn-cs"/>
                </a:rPr>
                <a:t>𝑚 ) </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a:t>
              </a:r>
              <a:r>
                <a:rPr lang="es-CO" sz="700" i="0">
                  <a:solidFill>
                    <a:schemeClr val="tx1"/>
                  </a:solidFill>
                  <a:effectLst/>
                  <a:latin typeface="+mn-lt"/>
                  <a:ea typeface="+mn-ea"/>
                  <a:cs typeface="+mn-cs"/>
                </a:rPr>
                <a:t>^</a:t>
              </a:r>
              <a:r>
                <a:rPr lang="en-US" sz="700" i="0">
                  <a:solidFill>
                    <a:schemeClr val="tx1"/>
                  </a:solidFill>
                  <a:effectLst/>
                  <a:latin typeface="+mn-lt"/>
                  <a:ea typeface="+mn-ea"/>
                  <a:cs typeface="+mn-cs"/>
                </a:rPr>
                <a:t>2 </a:t>
              </a:r>
              <a:r>
                <a:rPr lang="es-CO" sz="700" i="0">
                  <a:solidFill>
                    <a:schemeClr val="tx1"/>
                  </a:solidFill>
                  <a:effectLst/>
                  <a:latin typeface="+mn-lt"/>
                  <a:ea typeface="+mn-ea"/>
                  <a:cs typeface="+mn-cs"/>
                </a:rPr>
                <a:t>)</a:t>
              </a:r>
              <a:endParaRPr lang="es-CO" sz="1100">
                <a:solidFill>
                  <a:schemeClr val="tx1"/>
                </a:solidFill>
                <a:effectLst/>
                <a:latin typeface="+mn-lt"/>
                <a:ea typeface="+mn-ea"/>
                <a:cs typeface="+mn-cs"/>
              </a:endParaRPr>
            </a:p>
            <a:p>
              <a:endParaRPr lang="es-CO" sz="1100"/>
            </a:p>
          </xdr:txBody>
        </xdr:sp>
      </mc:Fallback>
    </mc:AlternateContent>
    <xdr:clientData/>
  </xdr:oneCellAnchor>
  <xdr:twoCellAnchor editAs="oneCell">
    <xdr:from>
      <xdr:col>7</xdr:col>
      <xdr:colOff>305288</xdr:colOff>
      <xdr:row>127</xdr:row>
      <xdr:rowOff>158750</xdr:rowOff>
    </xdr:from>
    <xdr:to>
      <xdr:col>8</xdr:col>
      <xdr:colOff>696057</xdr:colOff>
      <xdr:row>131</xdr:row>
      <xdr:rowOff>29686</xdr:rowOff>
    </xdr:to>
    <xdr:pic>
      <xdr:nvPicPr>
        <xdr:cNvPr id="40" name="Imagen 39">
          <a:extLst>
            <a:ext uri="{FF2B5EF4-FFF2-40B4-BE49-F238E27FC236}">
              <a16:creationId xmlns:a16="http://schemas.microsoft.com/office/drawing/2014/main" id="{FCCAD7BB-7965-AF1D-0073-A4822176AA63}"/>
            </a:ext>
          </a:extLst>
        </xdr:cNvPr>
        <xdr:cNvPicPr>
          <a:picLocks noChangeAspect="1"/>
        </xdr:cNvPicPr>
      </xdr:nvPicPr>
      <xdr:blipFill>
        <a:blip xmlns:r="http://schemas.openxmlformats.org/officeDocument/2006/relationships" r:embed="rId10"/>
        <a:stretch>
          <a:fillRect/>
        </a:stretch>
      </xdr:blipFill>
      <xdr:spPr>
        <a:xfrm>
          <a:off x="7620000" y="30931827"/>
          <a:ext cx="1880576" cy="1604974"/>
        </a:xfrm>
        <a:prstGeom prst="rect">
          <a:avLst/>
        </a:prstGeom>
        <a:ln>
          <a:solidFill>
            <a:schemeClr val="tx1"/>
          </a:solid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2</xdr:col>
      <xdr:colOff>1325145</xdr:colOff>
      <xdr:row>6</xdr:row>
      <xdr:rowOff>9525</xdr:rowOff>
    </xdr:from>
    <xdr:ext cx="189026" cy="187872"/>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2087145" y="1371600"/>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s-MX" sz="1200" b="0" i="1">
                            <a:latin typeface="Cambria Math" panose="02040503050406030204" pitchFamily="18" charset="0"/>
                            <a:ea typeface="Cambria Math" panose="02040503050406030204" pitchFamily="18" charset="0"/>
                          </a:rPr>
                        </m:ctrlPr>
                      </m:sSubSupPr>
                      <m:e>
                        <m:r>
                          <a:rPr lang="es-MX" sz="1200" b="0" i="1">
                            <a:latin typeface="Cambria Math" panose="02040503050406030204" pitchFamily="18" charset="0"/>
                            <a:ea typeface="Cambria Math" panose="02040503050406030204" pitchFamily="18" charset="0"/>
                          </a:rPr>
                          <m:t>𝐶</m:t>
                        </m:r>
                      </m:e>
                      <m:sub>
                        <m:r>
                          <a:rPr lang="es-MX" sz="1200" b="0" i="1">
                            <a:latin typeface="Cambria Math" panose="02040503050406030204" pitchFamily="18" charset="0"/>
                            <a:ea typeface="Cambria Math" panose="02040503050406030204" pitchFamily="18" charset="0"/>
                          </a:rPr>
                          <m:t>2</m:t>
                        </m:r>
                      </m:sub>
                      <m:sup>
                        <m:r>
                          <a:rPr lang="es-MX" sz="1200" b="0" i="1">
                            <a:latin typeface="Cambria Math" panose="02040503050406030204" pitchFamily="18" charset="0"/>
                            <a:ea typeface="Cambria Math" panose="02040503050406030204" pitchFamily="18" charset="0"/>
                          </a:rPr>
                          <m:t>′</m:t>
                        </m:r>
                      </m:sup>
                    </m:sSubSup>
                  </m:oMath>
                </m:oMathPara>
              </a14:m>
              <a:endParaRPr lang="es-CO" sz="1050"/>
            </a:p>
          </xdr:txBody>
        </xdr:sp>
      </mc:Choice>
      <mc:Fallback xmlns="">
        <xdr:sp macro="" textlink="">
          <xdr:nvSpPr>
            <xdr:cNvPr id="4" name="CuadroTexto 3">
              <a:extLst>
                <a:ext uri="{FF2B5EF4-FFF2-40B4-BE49-F238E27FC236}">
                  <a16:creationId xmlns:a16="http://schemas.microsoft.com/office/drawing/2014/main" id="{7B123460-76AF-4AF1-A8BD-276BAF25632B}"/>
                </a:ext>
              </a:extLst>
            </xdr:cNvPr>
            <xdr:cNvSpPr txBox="1"/>
          </xdr:nvSpPr>
          <xdr:spPr>
            <a:xfrm>
              <a:off x="2087145" y="1371600"/>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𝐶_2^′</a:t>
              </a:r>
              <a:endParaRPr lang="es-CO" sz="1050"/>
            </a:p>
          </xdr:txBody>
        </xdr:sp>
      </mc:Fallback>
    </mc:AlternateContent>
    <xdr:clientData/>
  </xdr:oneCellAnchor>
  <xdr:oneCellAnchor>
    <xdr:from>
      <xdr:col>2</xdr:col>
      <xdr:colOff>1330188</xdr:colOff>
      <xdr:row>7</xdr:row>
      <xdr:rowOff>4177</xdr:rowOff>
    </xdr:from>
    <xdr:ext cx="211340" cy="1878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2092188" y="1556752"/>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MX" sz="1200" b="0" i="1">
                            <a:latin typeface="Cambria Math" panose="02040503050406030204" pitchFamily="18" charset="0"/>
                            <a:ea typeface="Cambria Math" panose="02040503050406030204" pitchFamily="18" charset="0"/>
                          </a:rPr>
                          <m:t>2</m:t>
                        </m:r>
                      </m:sub>
                    </m:sSub>
                  </m:oMath>
                </m:oMathPara>
              </a14:m>
              <a:endParaRPr lang="es-CO" sz="1050"/>
            </a:p>
          </xdr:txBody>
        </xdr:sp>
      </mc:Choice>
      <mc:Fallback xmlns="">
        <xdr:sp macro="" textlink="">
          <xdr:nvSpPr>
            <xdr:cNvPr id="5" name="CuadroTexto 4">
              <a:extLst>
                <a:ext uri="{FF2B5EF4-FFF2-40B4-BE49-F238E27FC236}">
                  <a16:creationId xmlns:a16="http://schemas.microsoft.com/office/drawing/2014/main" id="{BFEFC47F-9D3F-47CE-80A6-EB366A442B89}"/>
                </a:ext>
              </a:extLst>
            </xdr:cNvPr>
            <xdr:cNvSpPr txBox="1"/>
          </xdr:nvSpPr>
          <xdr:spPr>
            <a:xfrm>
              <a:off x="2092188" y="1556752"/>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_2</a:t>
              </a:r>
              <a:endParaRPr lang="es-CO" sz="1050"/>
            </a:p>
          </xdr:txBody>
        </xdr:sp>
      </mc:Fallback>
    </mc:AlternateContent>
    <xdr:clientData/>
  </xdr:oneCellAnchor>
  <xdr:twoCellAnchor>
    <xdr:from>
      <xdr:col>0</xdr:col>
      <xdr:colOff>485775</xdr:colOff>
      <xdr:row>0</xdr:row>
      <xdr:rowOff>171450</xdr:rowOff>
    </xdr:from>
    <xdr:to>
      <xdr:col>1</xdr:col>
      <xdr:colOff>647700</xdr:colOff>
      <xdr:row>2</xdr:row>
      <xdr:rowOff>38100</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485775" y="171450"/>
          <a:ext cx="923925"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91377</xdr:colOff>
      <xdr:row>6</xdr:row>
      <xdr:rowOff>2965</xdr:rowOff>
    </xdr:from>
    <xdr:ext cx="189026" cy="187872"/>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700-000002000000}"/>
                </a:ext>
              </a:extLst>
            </xdr:cNvPr>
            <xdr:cNvSpPr txBox="1"/>
          </xdr:nvSpPr>
          <xdr:spPr>
            <a:xfrm>
              <a:off x="4040767" y="1373636"/>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s-MX" sz="1200" b="0" i="1">
                            <a:latin typeface="Cambria Math" panose="02040503050406030204" pitchFamily="18" charset="0"/>
                            <a:ea typeface="Cambria Math" panose="02040503050406030204" pitchFamily="18" charset="0"/>
                          </a:rPr>
                        </m:ctrlPr>
                      </m:sSubSupPr>
                      <m:e>
                        <m:r>
                          <a:rPr lang="es-MX" sz="1200" b="0" i="1">
                            <a:latin typeface="Cambria Math" panose="02040503050406030204" pitchFamily="18" charset="0"/>
                            <a:ea typeface="Cambria Math" panose="02040503050406030204" pitchFamily="18" charset="0"/>
                          </a:rPr>
                          <m:t>𝐶</m:t>
                        </m:r>
                      </m:e>
                      <m:sub>
                        <m:r>
                          <a:rPr lang="es-ES" sz="1200" b="0" i="1">
                            <a:latin typeface="Cambria Math" panose="02040503050406030204" pitchFamily="18" charset="0"/>
                            <a:ea typeface="Cambria Math" panose="02040503050406030204" pitchFamily="18" charset="0"/>
                          </a:rPr>
                          <m:t>3</m:t>
                        </m:r>
                      </m:sub>
                      <m:sup>
                        <m:r>
                          <a:rPr lang="es-MX" sz="1200" b="0" i="1">
                            <a:latin typeface="Cambria Math" panose="02040503050406030204" pitchFamily="18" charset="0"/>
                            <a:ea typeface="Cambria Math" panose="02040503050406030204" pitchFamily="18" charset="0"/>
                          </a:rPr>
                          <m:t>′</m:t>
                        </m:r>
                      </m:sup>
                    </m:sSubSup>
                  </m:oMath>
                </m:oMathPara>
              </a14:m>
              <a:endParaRPr lang="es-CO" sz="1050"/>
            </a:p>
          </xdr:txBody>
        </xdr:sp>
      </mc:Choice>
      <mc:Fallback xmlns="">
        <xdr:sp macro="" textlink="">
          <xdr:nvSpPr>
            <xdr:cNvPr id="2" name="CuadroTexto 1">
              <a:extLst>
                <a:ext uri="{FF2B5EF4-FFF2-40B4-BE49-F238E27FC236}">
                  <a16:creationId xmlns:a16="http://schemas.microsoft.com/office/drawing/2014/main" id="{00000000-0008-0000-0700-000002000000}"/>
                </a:ext>
              </a:extLst>
            </xdr:cNvPr>
            <xdr:cNvSpPr txBox="1"/>
          </xdr:nvSpPr>
          <xdr:spPr>
            <a:xfrm>
              <a:off x="4040767" y="1373636"/>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𝐶_</a:t>
              </a:r>
              <a:r>
                <a:rPr lang="es-ES" sz="1200" b="0" i="0">
                  <a:latin typeface="Cambria Math" panose="02040503050406030204" pitchFamily="18" charset="0"/>
                  <a:ea typeface="Cambria Math" panose="02040503050406030204" pitchFamily="18" charset="0"/>
                </a:rPr>
                <a:t>3</a:t>
              </a:r>
              <a:r>
                <a:rPr lang="es-MX" sz="1200" b="0" i="0">
                  <a:latin typeface="Cambria Math" panose="02040503050406030204" pitchFamily="18" charset="0"/>
                  <a:ea typeface="Cambria Math" panose="02040503050406030204" pitchFamily="18" charset="0"/>
                </a:rPr>
                <a:t>^′</a:t>
              </a:r>
              <a:endParaRPr lang="es-CO" sz="1050"/>
            </a:p>
          </xdr:txBody>
        </xdr:sp>
      </mc:Fallback>
    </mc:AlternateContent>
    <xdr:clientData/>
  </xdr:oneCellAnchor>
  <xdr:oneCellAnchor>
    <xdr:from>
      <xdr:col>2</xdr:col>
      <xdr:colOff>84394</xdr:colOff>
      <xdr:row>6</xdr:row>
      <xdr:rowOff>166799</xdr:rowOff>
    </xdr:from>
    <xdr:ext cx="211340" cy="187872"/>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4033784" y="1537470"/>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ES" sz="1200" b="0" i="1">
                            <a:latin typeface="Cambria Math" panose="02040503050406030204" pitchFamily="18" charset="0"/>
                            <a:ea typeface="Cambria Math" panose="02040503050406030204" pitchFamily="18" charset="0"/>
                          </a:rPr>
                          <m:t>3</m:t>
                        </m:r>
                      </m:sub>
                    </m:sSub>
                  </m:oMath>
                </m:oMathPara>
              </a14:m>
              <a:endParaRPr lang="es-CO" sz="1050"/>
            </a:p>
          </xdr:txBody>
        </xdr:sp>
      </mc:Choice>
      <mc:Fallback xmlns="">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4033784" y="1537470"/>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a:t>
              </a:r>
              <a:r>
                <a:rPr lang="es-ES" sz="1200" b="0" i="0">
                  <a:latin typeface="Cambria Math" panose="02040503050406030204" pitchFamily="18" charset="0"/>
                  <a:ea typeface="Cambria Math" panose="02040503050406030204" pitchFamily="18" charset="0"/>
                </a:rPr>
                <a:t>3</a:t>
              </a:r>
              <a:endParaRPr lang="es-CO" sz="1050"/>
            </a:p>
          </xdr:txBody>
        </xdr:sp>
      </mc:Fallback>
    </mc:AlternateContent>
    <xdr:clientData/>
  </xdr:oneCellAnchor>
  <xdr:twoCellAnchor>
    <xdr:from>
      <xdr:col>1</xdr:col>
      <xdr:colOff>1893794</xdr:colOff>
      <xdr:row>1</xdr:row>
      <xdr:rowOff>56029</xdr:rowOff>
    </xdr:from>
    <xdr:to>
      <xdr:col>1</xdr:col>
      <xdr:colOff>2817719</xdr:colOff>
      <xdr:row>2</xdr:row>
      <xdr:rowOff>122704</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2655794" y="257735"/>
          <a:ext cx="923925"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twoCellAnchor>
    <xdr:from>
      <xdr:col>2</xdr:col>
      <xdr:colOff>681318</xdr:colOff>
      <xdr:row>56</xdr:row>
      <xdr:rowOff>107576</xdr:rowOff>
    </xdr:from>
    <xdr:to>
      <xdr:col>3</xdr:col>
      <xdr:colOff>816349</xdr:colOff>
      <xdr:row>57</xdr:row>
      <xdr:rowOff>176665</xdr:rowOff>
    </xdr:to>
    <xdr:sp macro="" textlink="">
      <xdr:nvSpPr>
        <xdr:cNvPr id="5" name="Rectángulo: esquinas redondeadas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4796118" y="11241741"/>
          <a:ext cx="923925" cy="248383"/>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INPUT</a:t>
          </a:r>
        </a:p>
      </xdr:txBody>
    </xdr:sp>
    <xdr:clientData/>
  </xdr:twoCellAnchor>
  <xdr:twoCellAnchor>
    <xdr:from>
      <xdr:col>2</xdr:col>
      <xdr:colOff>681318</xdr:colOff>
      <xdr:row>59</xdr:row>
      <xdr:rowOff>8965</xdr:rowOff>
    </xdr:from>
    <xdr:to>
      <xdr:col>3</xdr:col>
      <xdr:colOff>816349</xdr:colOff>
      <xdr:row>60</xdr:row>
      <xdr:rowOff>78054</xdr:rowOff>
    </xdr:to>
    <xdr:sp macro="" textlink="">
      <xdr:nvSpPr>
        <xdr:cNvPr id="6" name="Rectángulo: esquinas redondeadas 5">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4796118" y="11681012"/>
          <a:ext cx="923925" cy="248383"/>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DIMENSIONES</a:t>
          </a:r>
        </a:p>
      </xdr:txBody>
    </xdr:sp>
    <xdr:clientData/>
  </xdr:twoCellAnchor>
  <xdr:twoCellAnchor editAs="oneCell">
    <xdr:from>
      <xdr:col>11</xdr:col>
      <xdr:colOff>580793</xdr:colOff>
      <xdr:row>49</xdr:row>
      <xdr:rowOff>209084</xdr:rowOff>
    </xdr:from>
    <xdr:to>
      <xdr:col>12</xdr:col>
      <xdr:colOff>228121</xdr:colOff>
      <xdr:row>52</xdr:row>
      <xdr:rowOff>147975</xdr:rowOff>
    </xdr:to>
    <xdr:pic>
      <xdr:nvPicPr>
        <xdr:cNvPr id="7" name="Imagen 6" descr="Imagen que contiene Texto&#10;&#10;Descripción generada automáticamente">
          <a:extLst>
            <a:ext uri="{FF2B5EF4-FFF2-40B4-BE49-F238E27FC236}">
              <a16:creationId xmlns:a16="http://schemas.microsoft.com/office/drawing/2014/main" id="{A9F65388-7DE1-4884-87B7-60A73C85CA5C}"/>
            </a:ext>
          </a:extLst>
        </xdr:cNvPr>
        <xdr:cNvPicPr>
          <a:picLocks noChangeAspect="1"/>
        </xdr:cNvPicPr>
      </xdr:nvPicPr>
      <xdr:blipFill>
        <a:blip xmlns:r="http://schemas.openxmlformats.org/officeDocument/2006/relationships" r:embed="rId4"/>
        <a:stretch>
          <a:fillRect/>
        </a:stretch>
      </xdr:blipFill>
      <xdr:spPr>
        <a:xfrm>
          <a:off x="12951677" y="12115334"/>
          <a:ext cx="901840" cy="554531"/>
        </a:xfrm>
        <a:prstGeom prst="rect">
          <a:avLst/>
        </a:prstGeom>
      </xdr:spPr>
    </xdr:pic>
    <xdr:clientData/>
  </xdr:twoCellAnchor>
  <xdr:twoCellAnchor editAs="oneCell">
    <xdr:from>
      <xdr:col>11</xdr:col>
      <xdr:colOff>418171</xdr:colOff>
      <xdr:row>54</xdr:row>
      <xdr:rowOff>34848</xdr:rowOff>
    </xdr:from>
    <xdr:to>
      <xdr:col>12</xdr:col>
      <xdr:colOff>490994</xdr:colOff>
      <xdr:row>56</xdr:row>
      <xdr:rowOff>156420</xdr:rowOff>
    </xdr:to>
    <xdr:pic>
      <xdr:nvPicPr>
        <xdr:cNvPr id="8" name="Imagen 7" descr="Texto&#10;&#10;Descripción generada automáticamente con confianza media">
          <a:extLst>
            <a:ext uri="{FF2B5EF4-FFF2-40B4-BE49-F238E27FC236}">
              <a16:creationId xmlns:a16="http://schemas.microsoft.com/office/drawing/2014/main" id="{1334AE82-A42E-42FB-86AD-16465BD708C4}"/>
            </a:ext>
          </a:extLst>
        </xdr:cNvPr>
        <xdr:cNvPicPr>
          <a:picLocks noChangeAspect="1"/>
        </xdr:cNvPicPr>
      </xdr:nvPicPr>
      <xdr:blipFill>
        <a:blip xmlns:r="http://schemas.openxmlformats.org/officeDocument/2006/relationships" r:embed="rId5"/>
        <a:stretch>
          <a:fillRect/>
        </a:stretch>
      </xdr:blipFill>
      <xdr:spPr>
        <a:xfrm>
          <a:off x="12789055" y="12940061"/>
          <a:ext cx="1327335" cy="5048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1893794</xdr:colOff>
      <xdr:row>1</xdr:row>
      <xdr:rowOff>56029</xdr:rowOff>
    </xdr:from>
    <xdr:to>
      <xdr:col>1</xdr:col>
      <xdr:colOff>2817719</xdr:colOff>
      <xdr:row>2</xdr:row>
      <xdr:rowOff>122704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2655794" y="256054"/>
          <a:ext cx="923925"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oneCellAnchor>
    <xdr:from>
      <xdr:col>4</xdr:col>
      <xdr:colOff>304800</xdr:colOff>
      <xdr:row>67</xdr:row>
      <xdr:rowOff>0</xdr:rowOff>
    </xdr:from>
    <xdr:ext cx="65" cy="516680"/>
    <xdr:sp macro="" textlink="">
      <xdr:nvSpPr>
        <xdr:cNvPr id="15" name="CuadroTexto 14">
          <a:extLst>
            <a:ext uri="{FF2B5EF4-FFF2-40B4-BE49-F238E27FC236}">
              <a16:creationId xmlns:a16="http://schemas.microsoft.com/office/drawing/2014/main" id="{00000000-0008-0000-0800-00000F000000}"/>
            </a:ext>
          </a:extLst>
        </xdr:cNvPr>
        <xdr:cNvSpPr txBox="1"/>
      </xdr:nvSpPr>
      <xdr:spPr>
        <a:xfrm>
          <a:off x="6248400" y="13144500"/>
          <a:ext cx="65"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xdr:clientData/>
  </xdr:oneCellAnchor>
  <xdr:oneCellAnchor>
    <xdr:from>
      <xdr:col>2</xdr:col>
      <xdr:colOff>294714</xdr:colOff>
      <xdr:row>8</xdr:row>
      <xdr:rowOff>6927</xdr:rowOff>
    </xdr:from>
    <xdr:ext cx="189026" cy="187872"/>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800-000016000000}"/>
                </a:ext>
              </a:extLst>
            </xdr:cNvPr>
            <xdr:cNvSpPr txBox="1"/>
          </xdr:nvSpPr>
          <xdr:spPr>
            <a:xfrm>
              <a:off x="4384114" y="1873827"/>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s-MX" sz="1200" b="0" i="1">
                            <a:latin typeface="Cambria Math" panose="02040503050406030204" pitchFamily="18" charset="0"/>
                            <a:ea typeface="Cambria Math" panose="02040503050406030204" pitchFamily="18" charset="0"/>
                          </a:rPr>
                        </m:ctrlPr>
                      </m:sSubSupPr>
                      <m:e>
                        <m:r>
                          <a:rPr lang="es-MX" sz="1200" b="0" i="1">
                            <a:latin typeface="Cambria Math" panose="02040503050406030204" pitchFamily="18" charset="0"/>
                            <a:ea typeface="Cambria Math" panose="02040503050406030204" pitchFamily="18" charset="0"/>
                          </a:rPr>
                          <m:t>𝐶</m:t>
                        </m:r>
                      </m:e>
                      <m:sub>
                        <m:r>
                          <a:rPr lang="es-ES" sz="1200" b="0" i="1">
                            <a:latin typeface="Cambria Math" panose="02040503050406030204" pitchFamily="18" charset="0"/>
                            <a:ea typeface="Cambria Math" panose="02040503050406030204" pitchFamily="18" charset="0"/>
                          </a:rPr>
                          <m:t>3</m:t>
                        </m:r>
                      </m:sub>
                      <m:sup>
                        <m:r>
                          <a:rPr lang="es-MX" sz="1200" b="0" i="1">
                            <a:latin typeface="Cambria Math" panose="02040503050406030204" pitchFamily="18" charset="0"/>
                            <a:ea typeface="Cambria Math" panose="02040503050406030204" pitchFamily="18" charset="0"/>
                          </a:rPr>
                          <m:t>′</m:t>
                        </m:r>
                      </m:sup>
                    </m:sSubSup>
                  </m:oMath>
                </m:oMathPara>
              </a14:m>
              <a:endParaRPr lang="es-CO" sz="1050"/>
            </a:p>
          </xdr:txBody>
        </xdr:sp>
      </mc:Choice>
      <mc:Fallback xmlns="">
        <xdr:sp macro="" textlink="">
          <xdr:nvSpPr>
            <xdr:cNvPr id="22" name="CuadroTexto 21">
              <a:extLst>
                <a:ext uri="{FF2B5EF4-FFF2-40B4-BE49-F238E27FC236}">
                  <a16:creationId xmlns:a16="http://schemas.microsoft.com/office/drawing/2014/main" id="{00000000-0008-0000-0800-000016000000}"/>
                </a:ext>
              </a:extLst>
            </xdr:cNvPr>
            <xdr:cNvSpPr txBox="1"/>
          </xdr:nvSpPr>
          <xdr:spPr>
            <a:xfrm>
              <a:off x="4384114" y="1873827"/>
              <a:ext cx="1890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𝐶_</a:t>
              </a:r>
              <a:r>
                <a:rPr lang="es-ES" sz="1200" b="0" i="0">
                  <a:latin typeface="Cambria Math" panose="02040503050406030204" pitchFamily="18" charset="0"/>
                  <a:ea typeface="Cambria Math" panose="02040503050406030204" pitchFamily="18" charset="0"/>
                </a:rPr>
                <a:t>3</a:t>
              </a:r>
              <a:r>
                <a:rPr lang="es-MX" sz="1200" b="0" i="0">
                  <a:latin typeface="Cambria Math" panose="02040503050406030204" pitchFamily="18" charset="0"/>
                  <a:ea typeface="Cambria Math" panose="02040503050406030204" pitchFamily="18" charset="0"/>
                </a:rPr>
                <a:t>^′</a:t>
              </a:r>
              <a:endParaRPr lang="es-CO" sz="1050"/>
            </a:p>
          </xdr:txBody>
        </xdr:sp>
      </mc:Fallback>
    </mc:AlternateContent>
    <xdr:clientData/>
  </xdr:oneCellAnchor>
  <xdr:oneCellAnchor>
    <xdr:from>
      <xdr:col>2</xdr:col>
      <xdr:colOff>290232</xdr:colOff>
      <xdr:row>9</xdr:row>
      <xdr:rowOff>11104</xdr:rowOff>
    </xdr:from>
    <xdr:ext cx="211340" cy="187872"/>
    <mc:AlternateContent xmlns:mc="http://schemas.openxmlformats.org/markup-compatibility/2006" xmlns:a14="http://schemas.microsoft.com/office/drawing/2010/main">
      <mc:Choice Requires="a14">
        <xdr:sp macro="" textlink="">
          <xdr:nvSpPr>
            <xdr:cNvPr id="23" name="CuadroTexto 22">
              <a:extLst>
                <a:ext uri="{FF2B5EF4-FFF2-40B4-BE49-F238E27FC236}">
                  <a16:creationId xmlns:a16="http://schemas.microsoft.com/office/drawing/2014/main" id="{00000000-0008-0000-0800-000017000000}"/>
                </a:ext>
              </a:extLst>
            </xdr:cNvPr>
            <xdr:cNvSpPr txBox="1"/>
          </xdr:nvSpPr>
          <xdr:spPr>
            <a:xfrm>
              <a:off x="4379632" y="2068504"/>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CO" sz="1200" i="1">
                            <a:latin typeface="Cambria Math" panose="02040503050406030204" pitchFamily="18" charset="0"/>
                            <a:ea typeface="Cambria Math" panose="02040503050406030204" pitchFamily="18" charset="0"/>
                          </a:rPr>
                          <m:t>𝜙</m:t>
                        </m:r>
                      </m:e>
                      <m:sub>
                        <m:r>
                          <a:rPr lang="es-ES" sz="1200" b="0" i="1">
                            <a:latin typeface="Cambria Math" panose="02040503050406030204" pitchFamily="18" charset="0"/>
                            <a:ea typeface="Cambria Math" panose="02040503050406030204" pitchFamily="18" charset="0"/>
                          </a:rPr>
                          <m:t>3</m:t>
                        </m:r>
                      </m:sub>
                    </m:sSub>
                  </m:oMath>
                </m:oMathPara>
              </a14:m>
              <a:endParaRPr lang="es-CO" sz="1050"/>
            </a:p>
          </xdr:txBody>
        </xdr:sp>
      </mc:Choice>
      <mc:Fallback xmlns="">
        <xdr:sp macro="" textlink="">
          <xdr:nvSpPr>
            <xdr:cNvPr id="23" name="CuadroTexto 22">
              <a:extLst>
                <a:ext uri="{FF2B5EF4-FFF2-40B4-BE49-F238E27FC236}">
                  <a16:creationId xmlns:a16="http://schemas.microsoft.com/office/drawing/2014/main" id="{00000000-0008-0000-0800-000017000000}"/>
                </a:ext>
              </a:extLst>
            </xdr:cNvPr>
            <xdr:cNvSpPr txBox="1"/>
          </xdr:nvSpPr>
          <xdr:spPr>
            <a:xfrm>
              <a:off x="4379632" y="2068504"/>
              <a:ext cx="211340"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200" i="0">
                  <a:latin typeface="Cambria Math" panose="02040503050406030204" pitchFamily="18" charset="0"/>
                  <a:ea typeface="Cambria Math" panose="02040503050406030204" pitchFamily="18" charset="0"/>
                </a:rPr>
                <a:t>𝜙</a:t>
              </a:r>
              <a:r>
                <a:rPr lang="es-MX" sz="1200" b="0" i="0">
                  <a:latin typeface="Cambria Math" panose="02040503050406030204" pitchFamily="18" charset="0"/>
                  <a:ea typeface="Cambria Math" panose="02040503050406030204" pitchFamily="18" charset="0"/>
                </a:rPr>
                <a:t>_</a:t>
              </a:r>
              <a:r>
                <a:rPr lang="es-ES" sz="1200" b="0" i="0">
                  <a:latin typeface="Cambria Math" panose="02040503050406030204" pitchFamily="18" charset="0"/>
                  <a:ea typeface="Cambria Math" panose="02040503050406030204" pitchFamily="18" charset="0"/>
                </a:rPr>
                <a:t>3</a:t>
              </a:r>
              <a:endParaRPr lang="es-CO" sz="1050"/>
            </a:p>
          </xdr:txBody>
        </xdr:sp>
      </mc:Fallback>
    </mc:AlternateContent>
    <xdr:clientData/>
  </xdr:oneCellAnchor>
  <xdr:oneCellAnchor>
    <xdr:from>
      <xdr:col>2</xdr:col>
      <xdr:colOff>285750</xdr:colOff>
      <xdr:row>10</xdr:row>
      <xdr:rowOff>17828</xdr:rowOff>
    </xdr:from>
    <xdr:ext cx="225318" cy="284501"/>
    <mc:AlternateContent xmlns:mc="http://schemas.openxmlformats.org/markup-compatibility/2006" xmlns:a14="http://schemas.microsoft.com/office/drawing/2010/main">
      <mc:Choice Requires="a14">
        <xdr:sp macro="" textlink="">
          <xdr:nvSpPr>
            <xdr:cNvPr id="24" name="CuadroTexto 23">
              <a:extLst>
                <a:ext uri="{FF2B5EF4-FFF2-40B4-BE49-F238E27FC236}">
                  <a16:creationId xmlns:a16="http://schemas.microsoft.com/office/drawing/2014/main" id="{00000000-0008-0000-0800-000018000000}"/>
                </a:ext>
              </a:extLst>
            </xdr:cNvPr>
            <xdr:cNvSpPr txBox="1"/>
          </xdr:nvSpPr>
          <xdr:spPr>
            <a:xfrm>
              <a:off x="4375150" y="2265728"/>
              <a:ext cx="225318" cy="284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200" b="0" i="1">
                            <a:latin typeface="Cambria Math" panose="02040503050406030204" pitchFamily="18" charset="0"/>
                            <a:ea typeface="Cambria Math" panose="02040503050406030204" pitchFamily="18" charset="0"/>
                          </a:rPr>
                        </m:ctrlPr>
                      </m:sSubPr>
                      <m:e>
                        <m:r>
                          <a:rPr lang="es-MX" sz="1200" b="0" i="1">
                            <a:latin typeface="Cambria Math" panose="02040503050406030204" pitchFamily="18" charset="0"/>
                            <a:ea typeface="Cambria Math" panose="02040503050406030204" pitchFamily="18" charset="0"/>
                          </a:rPr>
                          <m:t>𝛾</m:t>
                        </m:r>
                      </m:e>
                      <m:sub>
                        <m:eqArr>
                          <m:eqArrPr>
                            <m:ctrlPr>
                              <a:rPr lang="es-ES" sz="1200" b="0" i="1">
                                <a:latin typeface="Cambria Math" panose="02040503050406030204" pitchFamily="18" charset="0"/>
                                <a:ea typeface="Cambria Math" panose="02040503050406030204" pitchFamily="18" charset="0"/>
                              </a:rPr>
                            </m:ctrlPr>
                          </m:eqArrPr>
                          <m:e>
                            <m:r>
                              <a:rPr lang="es-ES" sz="1200" b="0" i="1">
                                <a:latin typeface="Cambria Math" panose="02040503050406030204" pitchFamily="18" charset="0"/>
                                <a:ea typeface="Cambria Math" panose="02040503050406030204" pitchFamily="18" charset="0"/>
                              </a:rPr>
                              <m:t>3</m:t>
                            </m:r>
                          </m:e>
                          <m:e/>
                        </m:eqArr>
                      </m:sub>
                    </m:sSub>
                  </m:oMath>
                </m:oMathPara>
              </a14:m>
              <a:endParaRPr lang="es-CO" sz="1050"/>
            </a:p>
          </xdr:txBody>
        </xdr:sp>
      </mc:Choice>
      <mc:Fallback xmlns="">
        <xdr:sp macro="" textlink="">
          <xdr:nvSpPr>
            <xdr:cNvPr id="24" name="CuadroTexto 23">
              <a:extLst>
                <a:ext uri="{FF2B5EF4-FFF2-40B4-BE49-F238E27FC236}">
                  <a16:creationId xmlns:a16="http://schemas.microsoft.com/office/drawing/2014/main" id="{00000000-0008-0000-0800-000018000000}"/>
                </a:ext>
              </a:extLst>
            </xdr:cNvPr>
            <xdr:cNvSpPr txBox="1"/>
          </xdr:nvSpPr>
          <xdr:spPr>
            <a:xfrm>
              <a:off x="4375150" y="2265728"/>
              <a:ext cx="225318" cy="284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200" b="0" i="0">
                  <a:latin typeface="Cambria Math" panose="02040503050406030204" pitchFamily="18" charset="0"/>
                  <a:ea typeface="Cambria Math" panose="02040503050406030204" pitchFamily="18" charset="0"/>
                </a:rPr>
                <a:t>𝛾_</a:t>
              </a:r>
              <a:r>
                <a:rPr lang="es-ES" sz="1200" b="0" i="0">
                  <a:latin typeface="Cambria Math" panose="02040503050406030204" pitchFamily="18" charset="0"/>
                  <a:ea typeface="Cambria Math" panose="02040503050406030204" pitchFamily="18" charset="0"/>
                </a:rPr>
                <a:t>█(3@)</a:t>
              </a:r>
              <a:endParaRPr lang="es-CO" sz="1050"/>
            </a:p>
          </xdr:txBody>
        </xdr:sp>
      </mc:Fallback>
    </mc:AlternateContent>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37" name="CuadroTexto 36">
              <a:extLst>
                <a:ext uri="{FF2B5EF4-FFF2-40B4-BE49-F238E27FC236}">
                  <a16:creationId xmlns:a16="http://schemas.microsoft.com/office/drawing/2014/main" id="{00000000-0008-0000-0800-000025000000}"/>
                </a:ext>
              </a:extLst>
            </xdr:cNvPr>
            <xdr:cNvSpPr txBox="1"/>
          </xdr:nvSpPr>
          <xdr:spPr>
            <a:xfrm>
              <a:off x="6153150" y="14654212"/>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37" name="CuadroTexto 36">
              <a:extLst>
                <a:ext uri="{FF2B5EF4-FFF2-40B4-BE49-F238E27FC236}">
                  <a16:creationId xmlns:a16="http://schemas.microsoft.com/office/drawing/2014/main" id="{820D349C-0949-4E1C-B320-6447D215223D}"/>
                </a:ext>
              </a:extLst>
            </xdr:cNvPr>
            <xdr:cNvSpPr txBox="1"/>
          </xdr:nvSpPr>
          <xdr:spPr>
            <a:xfrm>
              <a:off x="6153150" y="14654212"/>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91</xdr:row>
      <xdr:rowOff>9525</xdr:rowOff>
    </xdr:from>
    <xdr:ext cx="4162985" cy="488825"/>
    <xdr:pic>
      <xdr:nvPicPr>
        <xdr:cNvPr id="38" name="Imagen 37">
          <a:extLst>
            <a:ext uri="{FF2B5EF4-FFF2-40B4-BE49-F238E27FC236}">
              <a16:creationId xmlns:a16="http://schemas.microsoft.com/office/drawing/2014/main" id="{00000000-0008-0000-0800-000026000000}"/>
            </a:ext>
          </a:extLst>
        </xdr:cNvPr>
        <xdr:cNvPicPr>
          <a:picLocks noChangeAspect="1"/>
        </xdr:cNvPicPr>
      </xdr:nvPicPr>
      <xdr:blipFill>
        <a:blip xmlns:r="http://schemas.openxmlformats.org/officeDocument/2006/relationships" r:embed="rId2"/>
        <a:stretch>
          <a:fillRect/>
        </a:stretch>
      </xdr:blipFill>
      <xdr:spPr>
        <a:xfrm>
          <a:off x="5010150" y="15401925"/>
          <a:ext cx="4162985" cy="488825"/>
        </a:xfrm>
        <a:prstGeom prst="rect">
          <a:avLst/>
        </a:prstGeom>
      </xdr:spPr>
    </xdr:pic>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50" name="CuadroTexto 49">
              <a:extLst>
                <a:ext uri="{FF2B5EF4-FFF2-40B4-BE49-F238E27FC236}">
                  <a16:creationId xmlns:a16="http://schemas.microsoft.com/office/drawing/2014/main" id="{00000000-0008-0000-0800-000032000000}"/>
                </a:ext>
              </a:extLst>
            </xdr:cNvPr>
            <xdr:cNvSpPr txBox="1"/>
          </xdr:nvSpPr>
          <xdr:spPr>
            <a:xfrm>
              <a:off x="6155871"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50" name="CuadroTexto 49">
              <a:extLst>
                <a:ext uri="{FF2B5EF4-FFF2-40B4-BE49-F238E27FC236}">
                  <a16:creationId xmlns:a16="http://schemas.microsoft.com/office/drawing/2014/main" id="{9EEE2014-EAF9-4CDC-9B91-A0F07CE91794}"/>
                </a:ext>
              </a:extLst>
            </xdr:cNvPr>
            <xdr:cNvSpPr txBox="1"/>
          </xdr:nvSpPr>
          <xdr:spPr>
            <a:xfrm>
              <a:off x="6155871"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91</xdr:row>
      <xdr:rowOff>9525</xdr:rowOff>
    </xdr:from>
    <xdr:ext cx="4173871" cy="488825"/>
    <xdr:pic>
      <xdr:nvPicPr>
        <xdr:cNvPr id="51" name="Imagen 50">
          <a:extLst>
            <a:ext uri="{FF2B5EF4-FFF2-40B4-BE49-F238E27FC236}">
              <a16:creationId xmlns:a16="http://schemas.microsoft.com/office/drawing/2014/main" id="{00000000-0008-0000-0800-000033000000}"/>
            </a:ext>
          </a:extLst>
        </xdr:cNvPr>
        <xdr:cNvPicPr>
          <a:picLocks noChangeAspect="1"/>
        </xdr:cNvPicPr>
      </xdr:nvPicPr>
      <xdr:blipFill>
        <a:blip xmlns:r="http://schemas.openxmlformats.org/officeDocument/2006/relationships" r:embed="rId2"/>
        <a:stretch>
          <a:fillRect/>
        </a:stretch>
      </xdr:blipFill>
      <xdr:spPr>
        <a:xfrm>
          <a:off x="5006068" y="15412811"/>
          <a:ext cx="4173871" cy="488825"/>
        </a:xfrm>
        <a:prstGeom prst="rect">
          <a:avLst/>
        </a:prstGeom>
      </xdr:spPr>
    </xdr:pic>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63" name="CuadroTexto 62">
              <a:extLst>
                <a:ext uri="{FF2B5EF4-FFF2-40B4-BE49-F238E27FC236}">
                  <a16:creationId xmlns:a16="http://schemas.microsoft.com/office/drawing/2014/main" id="{00000000-0008-0000-0800-00003F000000}"/>
                </a:ext>
              </a:extLst>
            </xdr:cNvPr>
            <xdr:cNvSpPr txBox="1"/>
          </xdr:nvSpPr>
          <xdr:spPr>
            <a:xfrm>
              <a:off x="6155871"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63" name="CuadroTexto 62">
              <a:extLst>
                <a:ext uri="{FF2B5EF4-FFF2-40B4-BE49-F238E27FC236}">
                  <a16:creationId xmlns:a16="http://schemas.microsoft.com/office/drawing/2014/main" id="{3AE74926-62C7-423F-80BE-F645BEC11C93}"/>
                </a:ext>
              </a:extLst>
            </xdr:cNvPr>
            <xdr:cNvSpPr txBox="1"/>
          </xdr:nvSpPr>
          <xdr:spPr>
            <a:xfrm>
              <a:off x="6155871"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91</xdr:row>
      <xdr:rowOff>9525</xdr:rowOff>
    </xdr:from>
    <xdr:ext cx="4173871" cy="488825"/>
    <xdr:pic>
      <xdr:nvPicPr>
        <xdr:cNvPr id="64" name="Imagen 63">
          <a:extLst>
            <a:ext uri="{FF2B5EF4-FFF2-40B4-BE49-F238E27FC236}">
              <a16:creationId xmlns:a16="http://schemas.microsoft.com/office/drawing/2014/main" id="{00000000-0008-0000-0800-000040000000}"/>
            </a:ext>
          </a:extLst>
        </xdr:cNvPr>
        <xdr:cNvPicPr>
          <a:picLocks noChangeAspect="1"/>
        </xdr:cNvPicPr>
      </xdr:nvPicPr>
      <xdr:blipFill>
        <a:blip xmlns:r="http://schemas.openxmlformats.org/officeDocument/2006/relationships" r:embed="rId2"/>
        <a:stretch>
          <a:fillRect/>
        </a:stretch>
      </xdr:blipFill>
      <xdr:spPr>
        <a:xfrm>
          <a:off x="5006068" y="15412811"/>
          <a:ext cx="4173871" cy="488825"/>
        </a:xfrm>
        <a:prstGeom prst="rect">
          <a:avLst/>
        </a:prstGeom>
      </xdr:spPr>
    </xdr:pic>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76" name="CuadroTexto 75">
              <a:extLst>
                <a:ext uri="{FF2B5EF4-FFF2-40B4-BE49-F238E27FC236}">
                  <a16:creationId xmlns:a16="http://schemas.microsoft.com/office/drawing/2014/main" id="{00000000-0008-0000-0800-00004C000000}"/>
                </a:ext>
              </a:extLst>
            </xdr:cNvPr>
            <xdr:cNvSpPr txBox="1"/>
          </xdr:nvSpPr>
          <xdr:spPr>
            <a:xfrm>
              <a:off x="6155871"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76" name="CuadroTexto 75">
              <a:extLst>
                <a:ext uri="{FF2B5EF4-FFF2-40B4-BE49-F238E27FC236}">
                  <a16:creationId xmlns:a16="http://schemas.microsoft.com/office/drawing/2014/main" id="{EB2E2532-0F8E-41AF-8EE0-6107E0AFFF68}"/>
                </a:ext>
              </a:extLst>
            </xdr:cNvPr>
            <xdr:cNvSpPr txBox="1"/>
          </xdr:nvSpPr>
          <xdr:spPr>
            <a:xfrm>
              <a:off x="6155871"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91</xdr:row>
      <xdr:rowOff>9525</xdr:rowOff>
    </xdr:from>
    <xdr:ext cx="4173871" cy="488825"/>
    <xdr:pic>
      <xdr:nvPicPr>
        <xdr:cNvPr id="77" name="Imagen 76">
          <a:extLst>
            <a:ext uri="{FF2B5EF4-FFF2-40B4-BE49-F238E27FC236}">
              <a16:creationId xmlns:a16="http://schemas.microsoft.com/office/drawing/2014/main" id="{00000000-0008-0000-0800-00004D000000}"/>
            </a:ext>
          </a:extLst>
        </xdr:cNvPr>
        <xdr:cNvPicPr>
          <a:picLocks noChangeAspect="1"/>
        </xdr:cNvPicPr>
      </xdr:nvPicPr>
      <xdr:blipFill>
        <a:blip xmlns:r="http://schemas.openxmlformats.org/officeDocument/2006/relationships" r:embed="rId2"/>
        <a:stretch>
          <a:fillRect/>
        </a:stretch>
      </xdr:blipFill>
      <xdr:spPr>
        <a:xfrm>
          <a:off x="5006068" y="15412811"/>
          <a:ext cx="4173871" cy="488825"/>
        </a:xfrm>
        <a:prstGeom prst="rect">
          <a:avLst/>
        </a:prstGeom>
      </xdr:spPr>
    </xdr:pic>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89" name="CuadroTexto 88">
              <a:extLst>
                <a:ext uri="{FF2B5EF4-FFF2-40B4-BE49-F238E27FC236}">
                  <a16:creationId xmlns:a16="http://schemas.microsoft.com/office/drawing/2014/main" id="{00000000-0008-0000-0800-000059000000}"/>
                </a:ext>
              </a:extLst>
            </xdr:cNvPr>
            <xdr:cNvSpPr txBox="1"/>
          </xdr:nvSpPr>
          <xdr:spPr>
            <a:xfrm>
              <a:off x="6155871"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89" name="CuadroTexto 88">
              <a:extLst>
                <a:ext uri="{FF2B5EF4-FFF2-40B4-BE49-F238E27FC236}">
                  <a16:creationId xmlns:a16="http://schemas.microsoft.com/office/drawing/2014/main" id="{F11FB3B1-40CA-4C50-A99B-183BC768AE74}"/>
                </a:ext>
              </a:extLst>
            </xdr:cNvPr>
            <xdr:cNvSpPr txBox="1"/>
          </xdr:nvSpPr>
          <xdr:spPr>
            <a:xfrm>
              <a:off x="6155871"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91</xdr:row>
      <xdr:rowOff>9525</xdr:rowOff>
    </xdr:from>
    <xdr:ext cx="4173871" cy="488825"/>
    <xdr:pic>
      <xdr:nvPicPr>
        <xdr:cNvPr id="90" name="Imagen 89">
          <a:extLst>
            <a:ext uri="{FF2B5EF4-FFF2-40B4-BE49-F238E27FC236}">
              <a16:creationId xmlns:a16="http://schemas.microsoft.com/office/drawing/2014/main" id="{00000000-0008-0000-0800-00005A000000}"/>
            </a:ext>
          </a:extLst>
        </xdr:cNvPr>
        <xdr:cNvPicPr>
          <a:picLocks noChangeAspect="1"/>
        </xdr:cNvPicPr>
      </xdr:nvPicPr>
      <xdr:blipFill>
        <a:blip xmlns:r="http://schemas.openxmlformats.org/officeDocument/2006/relationships" r:embed="rId2"/>
        <a:stretch>
          <a:fillRect/>
        </a:stretch>
      </xdr:blipFill>
      <xdr:spPr>
        <a:xfrm>
          <a:off x="5006068" y="15412811"/>
          <a:ext cx="4173871" cy="488825"/>
        </a:xfrm>
        <a:prstGeom prst="rect">
          <a:avLst/>
        </a:prstGeom>
      </xdr:spPr>
    </xdr:pic>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167" name="CuadroTexto 166">
              <a:extLst>
                <a:ext uri="{FF2B5EF4-FFF2-40B4-BE49-F238E27FC236}">
                  <a16:creationId xmlns:a16="http://schemas.microsoft.com/office/drawing/2014/main" id="{00000000-0008-0000-0800-0000A7000000}"/>
                </a:ext>
              </a:extLst>
            </xdr:cNvPr>
            <xdr:cNvSpPr txBox="1"/>
          </xdr:nvSpPr>
          <xdr:spPr>
            <a:xfrm>
              <a:off x="14116050"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167" name="CuadroTexto 166">
              <a:extLst>
                <a:ext uri="{FF2B5EF4-FFF2-40B4-BE49-F238E27FC236}">
                  <a16:creationId xmlns:a16="http://schemas.microsoft.com/office/drawing/2014/main" id="{6AE8DB57-7BC2-4DE8-ABE9-C7E1790460E0}"/>
                </a:ext>
              </a:extLst>
            </xdr:cNvPr>
            <xdr:cNvSpPr txBox="1"/>
          </xdr:nvSpPr>
          <xdr:spPr>
            <a:xfrm>
              <a:off x="14116050"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180" name="CuadroTexto 179">
              <a:extLst>
                <a:ext uri="{FF2B5EF4-FFF2-40B4-BE49-F238E27FC236}">
                  <a16:creationId xmlns:a16="http://schemas.microsoft.com/office/drawing/2014/main" id="{00000000-0008-0000-0800-0000B4000000}"/>
                </a:ext>
              </a:extLst>
            </xdr:cNvPr>
            <xdr:cNvSpPr txBox="1"/>
          </xdr:nvSpPr>
          <xdr:spPr>
            <a:xfrm>
              <a:off x="14116050"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180" name="CuadroTexto 179">
              <a:extLst>
                <a:ext uri="{FF2B5EF4-FFF2-40B4-BE49-F238E27FC236}">
                  <a16:creationId xmlns:a16="http://schemas.microsoft.com/office/drawing/2014/main" id="{B6936548-3A4D-4BB6-B3E5-EC239466CFA5}"/>
                </a:ext>
              </a:extLst>
            </xdr:cNvPr>
            <xdr:cNvSpPr txBox="1"/>
          </xdr:nvSpPr>
          <xdr:spPr>
            <a:xfrm>
              <a:off x="14116050"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193" name="CuadroTexto 192">
              <a:extLst>
                <a:ext uri="{FF2B5EF4-FFF2-40B4-BE49-F238E27FC236}">
                  <a16:creationId xmlns:a16="http://schemas.microsoft.com/office/drawing/2014/main" id="{00000000-0008-0000-0800-0000C1000000}"/>
                </a:ext>
              </a:extLst>
            </xdr:cNvPr>
            <xdr:cNvSpPr txBox="1"/>
          </xdr:nvSpPr>
          <xdr:spPr>
            <a:xfrm>
              <a:off x="14116050"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193" name="CuadroTexto 192">
              <a:extLst>
                <a:ext uri="{FF2B5EF4-FFF2-40B4-BE49-F238E27FC236}">
                  <a16:creationId xmlns:a16="http://schemas.microsoft.com/office/drawing/2014/main" id="{AB76EF0B-6F57-4787-92C7-27F040396E7A}"/>
                </a:ext>
              </a:extLst>
            </xdr:cNvPr>
            <xdr:cNvSpPr txBox="1"/>
          </xdr:nvSpPr>
          <xdr:spPr>
            <a:xfrm>
              <a:off x="14116050"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206" name="CuadroTexto 205">
              <a:extLst>
                <a:ext uri="{FF2B5EF4-FFF2-40B4-BE49-F238E27FC236}">
                  <a16:creationId xmlns:a16="http://schemas.microsoft.com/office/drawing/2014/main" id="{00000000-0008-0000-0800-0000CE000000}"/>
                </a:ext>
              </a:extLst>
            </xdr:cNvPr>
            <xdr:cNvSpPr txBox="1"/>
          </xdr:nvSpPr>
          <xdr:spPr>
            <a:xfrm>
              <a:off x="14116050"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206" name="CuadroTexto 205">
              <a:extLst>
                <a:ext uri="{FF2B5EF4-FFF2-40B4-BE49-F238E27FC236}">
                  <a16:creationId xmlns:a16="http://schemas.microsoft.com/office/drawing/2014/main" id="{F3EE4E00-D125-4D1D-A543-396F0C579C2A}"/>
                </a:ext>
              </a:extLst>
            </xdr:cNvPr>
            <xdr:cNvSpPr txBox="1"/>
          </xdr:nvSpPr>
          <xdr:spPr>
            <a:xfrm>
              <a:off x="14116050"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219" name="CuadroTexto 218">
              <a:extLst>
                <a:ext uri="{FF2B5EF4-FFF2-40B4-BE49-F238E27FC236}">
                  <a16:creationId xmlns:a16="http://schemas.microsoft.com/office/drawing/2014/main" id="{00000000-0008-0000-0800-0000DB000000}"/>
                </a:ext>
              </a:extLst>
            </xdr:cNvPr>
            <xdr:cNvSpPr txBox="1"/>
          </xdr:nvSpPr>
          <xdr:spPr>
            <a:xfrm>
              <a:off x="14116050"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219" name="CuadroTexto 218">
              <a:extLst>
                <a:ext uri="{FF2B5EF4-FFF2-40B4-BE49-F238E27FC236}">
                  <a16:creationId xmlns:a16="http://schemas.microsoft.com/office/drawing/2014/main" id="{11F2BC2D-5DC4-413C-B4BA-7E3445BBC0AE}"/>
                </a:ext>
              </a:extLst>
            </xdr:cNvPr>
            <xdr:cNvSpPr txBox="1"/>
          </xdr:nvSpPr>
          <xdr:spPr>
            <a:xfrm>
              <a:off x="14116050"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232" name="CuadroTexto 231">
              <a:extLst>
                <a:ext uri="{FF2B5EF4-FFF2-40B4-BE49-F238E27FC236}">
                  <a16:creationId xmlns:a16="http://schemas.microsoft.com/office/drawing/2014/main" id="{00000000-0008-0000-0800-0000E8000000}"/>
                </a:ext>
              </a:extLst>
            </xdr:cNvPr>
            <xdr:cNvSpPr txBox="1"/>
          </xdr:nvSpPr>
          <xdr:spPr>
            <a:xfrm>
              <a:off x="21082907"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232" name="CuadroTexto 231">
              <a:extLst>
                <a:ext uri="{FF2B5EF4-FFF2-40B4-BE49-F238E27FC236}">
                  <a16:creationId xmlns:a16="http://schemas.microsoft.com/office/drawing/2014/main" id="{1C0FCA08-DB81-4A4C-A9F4-6DC37205CB77}"/>
                </a:ext>
              </a:extLst>
            </xdr:cNvPr>
            <xdr:cNvSpPr txBox="1"/>
          </xdr:nvSpPr>
          <xdr:spPr>
            <a:xfrm>
              <a:off x="21082907"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245" name="CuadroTexto 244">
              <a:extLst>
                <a:ext uri="{FF2B5EF4-FFF2-40B4-BE49-F238E27FC236}">
                  <a16:creationId xmlns:a16="http://schemas.microsoft.com/office/drawing/2014/main" id="{00000000-0008-0000-0800-0000F5000000}"/>
                </a:ext>
              </a:extLst>
            </xdr:cNvPr>
            <xdr:cNvSpPr txBox="1"/>
          </xdr:nvSpPr>
          <xdr:spPr>
            <a:xfrm>
              <a:off x="21082907"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245" name="CuadroTexto 244">
              <a:extLst>
                <a:ext uri="{FF2B5EF4-FFF2-40B4-BE49-F238E27FC236}">
                  <a16:creationId xmlns:a16="http://schemas.microsoft.com/office/drawing/2014/main" id="{66890967-F4AD-481B-B402-D2F800C1E823}"/>
                </a:ext>
              </a:extLst>
            </xdr:cNvPr>
            <xdr:cNvSpPr txBox="1"/>
          </xdr:nvSpPr>
          <xdr:spPr>
            <a:xfrm>
              <a:off x="21082907"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258" name="CuadroTexto 257">
              <a:extLst>
                <a:ext uri="{FF2B5EF4-FFF2-40B4-BE49-F238E27FC236}">
                  <a16:creationId xmlns:a16="http://schemas.microsoft.com/office/drawing/2014/main" id="{00000000-0008-0000-0800-000002010000}"/>
                </a:ext>
              </a:extLst>
            </xdr:cNvPr>
            <xdr:cNvSpPr txBox="1"/>
          </xdr:nvSpPr>
          <xdr:spPr>
            <a:xfrm>
              <a:off x="21082907"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258" name="CuadroTexto 257">
              <a:extLst>
                <a:ext uri="{FF2B5EF4-FFF2-40B4-BE49-F238E27FC236}">
                  <a16:creationId xmlns:a16="http://schemas.microsoft.com/office/drawing/2014/main" id="{D77C6487-1A0F-4DB3-99CC-EB4E4C3867D5}"/>
                </a:ext>
              </a:extLst>
            </xdr:cNvPr>
            <xdr:cNvSpPr txBox="1"/>
          </xdr:nvSpPr>
          <xdr:spPr>
            <a:xfrm>
              <a:off x="21082907"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271" name="CuadroTexto 270">
              <a:extLst>
                <a:ext uri="{FF2B5EF4-FFF2-40B4-BE49-F238E27FC236}">
                  <a16:creationId xmlns:a16="http://schemas.microsoft.com/office/drawing/2014/main" id="{00000000-0008-0000-0800-00000F010000}"/>
                </a:ext>
              </a:extLst>
            </xdr:cNvPr>
            <xdr:cNvSpPr txBox="1"/>
          </xdr:nvSpPr>
          <xdr:spPr>
            <a:xfrm>
              <a:off x="21082907"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271" name="CuadroTexto 270">
              <a:extLst>
                <a:ext uri="{FF2B5EF4-FFF2-40B4-BE49-F238E27FC236}">
                  <a16:creationId xmlns:a16="http://schemas.microsoft.com/office/drawing/2014/main" id="{DCA440D1-2A64-4EE6-874F-D97D2A69B6B4}"/>
                </a:ext>
              </a:extLst>
            </xdr:cNvPr>
            <xdr:cNvSpPr txBox="1"/>
          </xdr:nvSpPr>
          <xdr:spPr>
            <a:xfrm>
              <a:off x="21082907"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oneCellAnchor>
    <xdr:from>
      <xdr:col>11</xdr:col>
      <xdr:colOff>0</xdr:colOff>
      <xdr:row>87</xdr:row>
      <xdr:rowOff>23812</xdr:rowOff>
    </xdr:from>
    <xdr:ext cx="207942" cy="516680"/>
    <mc:AlternateContent xmlns:mc="http://schemas.openxmlformats.org/markup-compatibility/2006" xmlns:a14="http://schemas.microsoft.com/office/drawing/2010/main">
      <mc:Choice Requires="a14">
        <xdr:sp macro="" textlink="">
          <xdr:nvSpPr>
            <xdr:cNvPr id="284" name="CuadroTexto 283">
              <a:extLst>
                <a:ext uri="{FF2B5EF4-FFF2-40B4-BE49-F238E27FC236}">
                  <a16:creationId xmlns:a16="http://schemas.microsoft.com/office/drawing/2014/main" id="{00000000-0008-0000-0800-00001C010000}"/>
                </a:ext>
              </a:extLst>
            </xdr:cNvPr>
            <xdr:cNvSpPr txBox="1"/>
          </xdr:nvSpPr>
          <xdr:spPr>
            <a:xfrm>
              <a:off x="21082907"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100" i="1">
                        <a:latin typeface="Cambria Math" panose="02040503050406030204" pitchFamily="18" charset="0"/>
                        <a:ea typeface="Cambria Math" panose="02040503050406030204" pitchFamily="18" charset="0"/>
                      </a:rPr>
                      <m:t>𝜓</m:t>
                    </m:r>
                    <m:r>
                      <a:rPr lang="es-MX" sz="1100" b="0" i="1">
                        <a:latin typeface="Cambria Math" panose="02040503050406030204" pitchFamily="18" charset="0"/>
                        <a:ea typeface="Cambria Math" panose="02040503050406030204" pitchFamily="18" charset="0"/>
                      </a:rPr>
                      <m:t>°</m:t>
                    </m:r>
                  </m:oMath>
                </m:oMathPara>
              </a14:m>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Choice>
      <mc:Fallback xmlns="">
        <xdr:sp macro="" textlink="">
          <xdr:nvSpPr>
            <xdr:cNvPr id="284" name="CuadroTexto 283">
              <a:extLst>
                <a:ext uri="{FF2B5EF4-FFF2-40B4-BE49-F238E27FC236}">
                  <a16:creationId xmlns:a16="http://schemas.microsoft.com/office/drawing/2014/main" id="{BA53E13B-BB12-48DA-AA0A-38756818CD72}"/>
                </a:ext>
              </a:extLst>
            </xdr:cNvPr>
            <xdr:cNvSpPr txBox="1"/>
          </xdr:nvSpPr>
          <xdr:spPr>
            <a:xfrm>
              <a:off x="21082907" y="14665098"/>
              <a:ext cx="207942"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ea typeface="Cambria Math" panose="02040503050406030204" pitchFamily="18" charset="0"/>
                </a:rPr>
                <a:t>𝜓</a:t>
              </a:r>
              <a:r>
                <a:rPr lang="es-MX" sz="1100" b="0" i="0">
                  <a:latin typeface="Cambria Math" panose="02040503050406030204" pitchFamily="18" charset="0"/>
                  <a:ea typeface="Cambria Math" panose="02040503050406030204" pitchFamily="18" charset="0"/>
                </a:rPr>
                <a:t>°</a:t>
              </a:r>
              <a:endParaRPr lang="es-MX" sz="1100" b="0">
                <a:ea typeface="Cambria Math" panose="02040503050406030204" pitchFamily="18" charset="0"/>
              </a:endParaRPr>
            </a:p>
            <a:p>
              <a:endParaRPr lang="es-MX" sz="1100" b="0">
                <a:ea typeface="Cambria Math" panose="02040503050406030204" pitchFamily="18" charset="0"/>
              </a:endParaRPr>
            </a:p>
            <a:p>
              <a:endParaRPr lang="es-CO" sz="1100"/>
            </a:p>
          </xdr:txBody>
        </xdr:sp>
      </mc:Fallback>
    </mc:AlternateContent>
    <xdr:clientData/>
  </xdr:oneCellAnchor>
  <xdr:twoCellAnchor editAs="oneCell">
    <xdr:from>
      <xdr:col>2</xdr:col>
      <xdr:colOff>676275</xdr:colOff>
      <xdr:row>89</xdr:row>
      <xdr:rowOff>171450</xdr:rowOff>
    </xdr:from>
    <xdr:to>
      <xdr:col>7</xdr:col>
      <xdr:colOff>523875</xdr:colOff>
      <xdr:row>107</xdr:row>
      <xdr:rowOff>58629</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4762500" y="19611975"/>
          <a:ext cx="4495800" cy="3316179"/>
        </a:xfrm>
        <a:prstGeom prst="rect">
          <a:avLst/>
        </a:prstGeom>
      </xdr:spPr>
    </xdr:pic>
    <xdr:clientData/>
  </xdr:twoCellAnchor>
  <xdr:twoCellAnchor>
    <xdr:from>
      <xdr:col>3</xdr:col>
      <xdr:colOff>262758</xdr:colOff>
      <xdr:row>105</xdr:row>
      <xdr:rowOff>78828</xdr:rowOff>
    </xdr:from>
    <xdr:to>
      <xdr:col>7</xdr:col>
      <xdr:colOff>216776</xdr:colOff>
      <xdr:row>106</xdr:row>
      <xdr:rowOff>6569</xdr:rowOff>
    </xdr:to>
    <xdr:sp macro="" textlink="">
      <xdr:nvSpPr>
        <xdr:cNvPr id="16" name="Rectángulo 15">
          <a:extLst>
            <a:ext uri="{FF2B5EF4-FFF2-40B4-BE49-F238E27FC236}">
              <a16:creationId xmlns:a16="http://schemas.microsoft.com/office/drawing/2014/main" id="{00000000-0008-0000-0800-000010000000}"/>
            </a:ext>
          </a:extLst>
        </xdr:cNvPr>
        <xdr:cNvSpPr/>
      </xdr:nvSpPr>
      <xdr:spPr>
        <a:xfrm>
          <a:off x="5110655" y="22538121"/>
          <a:ext cx="3842845" cy="11824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13137</xdr:colOff>
      <xdr:row>92</xdr:row>
      <xdr:rowOff>111674</xdr:rowOff>
    </xdr:from>
    <xdr:to>
      <xdr:col>7</xdr:col>
      <xdr:colOff>223344</xdr:colOff>
      <xdr:row>106</xdr:row>
      <xdr:rowOff>6570</xdr:rowOff>
    </xdr:to>
    <xdr:sp macro="" textlink="">
      <xdr:nvSpPr>
        <xdr:cNvPr id="18" name="Rectángulo 17">
          <a:extLst>
            <a:ext uri="{FF2B5EF4-FFF2-40B4-BE49-F238E27FC236}">
              <a16:creationId xmlns:a16="http://schemas.microsoft.com/office/drawing/2014/main" id="{00000000-0008-0000-0800-000012000000}"/>
            </a:ext>
          </a:extLst>
        </xdr:cNvPr>
        <xdr:cNvSpPr/>
      </xdr:nvSpPr>
      <xdr:spPr>
        <a:xfrm>
          <a:off x="8749861" y="20094467"/>
          <a:ext cx="210207" cy="2561896"/>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3</xdr:col>
      <xdr:colOff>647700</xdr:colOff>
      <xdr:row>29</xdr:row>
      <xdr:rowOff>152400</xdr:rowOff>
    </xdr:from>
    <xdr:to>
      <xdr:col>7</xdr:col>
      <xdr:colOff>162400</xdr:colOff>
      <xdr:row>32</xdr:row>
      <xdr:rowOff>171532</xdr:rowOff>
    </xdr:to>
    <xdr:pic>
      <xdr:nvPicPr>
        <xdr:cNvPr id="92" name="Imagen 91" descr="Patrón de fondo&#10;&#10;Descripción generada automáticamente con confianza baja">
          <a:extLst>
            <a:ext uri="{FF2B5EF4-FFF2-40B4-BE49-F238E27FC236}">
              <a16:creationId xmlns:a16="http://schemas.microsoft.com/office/drawing/2014/main" id="{632E0CF6-4941-A712-D57A-20BFBE45E182}"/>
            </a:ext>
          </a:extLst>
        </xdr:cNvPr>
        <xdr:cNvPicPr>
          <a:picLocks noChangeAspect="1"/>
        </xdr:cNvPicPr>
      </xdr:nvPicPr>
      <xdr:blipFill>
        <a:blip xmlns:r="http://schemas.openxmlformats.org/officeDocument/2006/relationships" r:embed="rId4"/>
        <a:stretch>
          <a:fillRect/>
        </a:stretch>
      </xdr:blipFill>
      <xdr:spPr>
        <a:xfrm>
          <a:off x="5499100" y="6438900"/>
          <a:ext cx="3400900" cy="590632"/>
        </a:xfrm>
        <a:prstGeom prst="rect">
          <a:avLst/>
        </a:prstGeom>
      </xdr:spPr>
    </xdr:pic>
    <xdr:clientData/>
  </xdr:twoCellAnchor>
  <xdr:twoCellAnchor editAs="oneCell">
    <xdr:from>
      <xdr:col>3</xdr:col>
      <xdr:colOff>622300</xdr:colOff>
      <xdr:row>47</xdr:row>
      <xdr:rowOff>50800</xdr:rowOff>
    </xdr:from>
    <xdr:to>
      <xdr:col>7</xdr:col>
      <xdr:colOff>870527</xdr:colOff>
      <xdr:row>49</xdr:row>
      <xdr:rowOff>127064</xdr:rowOff>
    </xdr:to>
    <xdr:pic>
      <xdr:nvPicPr>
        <xdr:cNvPr id="93" name="Imagen 92">
          <a:extLst>
            <a:ext uri="{FF2B5EF4-FFF2-40B4-BE49-F238E27FC236}">
              <a16:creationId xmlns:a16="http://schemas.microsoft.com/office/drawing/2014/main" id="{2DDA4837-52B6-485F-0EA1-A843CE5CC208}"/>
            </a:ext>
          </a:extLst>
        </xdr:cNvPr>
        <xdr:cNvPicPr>
          <a:picLocks noChangeAspect="1"/>
        </xdr:cNvPicPr>
      </xdr:nvPicPr>
      <xdr:blipFill>
        <a:blip xmlns:r="http://schemas.openxmlformats.org/officeDocument/2006/relationships" r:embed="rId5"/>
        <a:stretch>
          <a:fillRect/>
        </a:stretch>
      </xdr:blipFill>
      <xdr:spPr>
        <a:xfrm>
          <a:off x="5473700" y="9372600"/>
          <a:ext cx="4134427" cy="457264"/>
        </a:xfrm>
        <a:prstGeom prst="rect">
          <a:avLst/>
        </a:prstGeom>
      </xdr:spPr>
    </xdr:pic>
    <xdr:clientData/>
  </xdr:twoCellAnchor>
  <xdr:twoCellAnchor editAs="oneCell">
    <xdr:from>
      <xdr:col>8</xdr:col>
      <xdr:colOff>101600</xdr:colOff>
      <xdr:row>64</xdr:row>
      <xdr:rowOff>63500</xdr:rowOff>
    </xdr:from>
    <xdr:to>
      <xdr:col>9</xdr:col>
      <xdr:colOff>1438275</xdr:colOff>
      <xdr:row>68</xdr:row>
      <xdr:rowOff>40005</xdr:rowOff>
    </xdr:to>
    <xdr:pic>
      <xdr:nvPicPr>
        <xdr:cNvPr id="94" name="Imagen 93">
          <a:extLst>
            <a:ext uri="{FF2B5EF4-FFF2-40B4-BE49-F238E27FC236}">
              <a16:creationId xmlns:a16="http://schemas.microsoft.com/office/drawing/2014/main" id="{4DF61C47-72B2-380B-0AE4-18500CEC3593}"/>
            </a:ext>
          </a:extLst>
        </xdr:cNvPr>
        <xdr:cNvPicPr>
          <a:picLocks noChangeAspect="1"/>
        </xdr:cNvPicPr>
      </xdr:nvPicPr>
      <xdr:blipFill>
        <a:blip xmlns:r="http://schemas.openxmlformats.org/officeDocument/2006/relationships" r:embed="rId6"/>
        <a:stretch>
          <a:fillRect/>
        </a:stretch>
      </xdr:blipFill>
      <xdr:spPr>
        <a:xfrm>
          <a:off x="10236200" y="12636500"/>
          <a:ext cx="2809875" cy="738505"/>
        </a:xfrm>
        <a:prstGeom prst="rect">
          <a:avLst/>
        </a:prstGeom>
      </xdr:spPr>
    </xdr:pic>
    <xdr:clientData/>
  </xdr:twoCellAnchor>
  <xdr:twoCellAnchor editAs="oneCell">
    <xdr:from>
      <xdr:col>8</xdr:col>
      <xdr:colOff>50800</xdr:colOff>
      <xdr:row>53</xdr:row>
      <xdr:rowOff>50800</xdr:rowOff>
    </xdr:from>
    <xdr:to>
      <xdr:col>11</xdr:col>
      <xdr:colOff>746125</xdr:colOff>
      <xdr:row>58</xdr:row>
      <xdr:rowOff>149225</xdr:rowOff>
    </xdr:to>
    <xdr:pic>
      <xdr:nvPicPr>
        <xdr:cNvPr id="95" name="Imagen 94" descr="Interfaz de usuario gráfica, Aplicación, Tabla&#10;&#10;Descripción generada automáticamente">
          <a:extLst>
            <a:ext uri="{FF2B5EF4-FFF2-40B4-BE49-F238E27FC236}">
              <a16:creationId xmlns:a16="http://schemas.microsoft.com/office/drawing/2014/main" id="{221969D8-F1F3-8179-E4AA-B0FBD4EBF235}"/>
            </a:ext>
          </a:extLst>
        </xdr:cNvPr>
        <xdr:cNvPicPr>
          <a:picLocks noChangeAspect="1"/>
        </xdr:cNvPicPr>
      </xdr:nvPicPr>
      <xdr:blipFill>
        <a:blip xmlns:r="http://schemas.openxmlformats.org/officeDocument/2006/relationships" r:embed="rId7"/>
        <a:stretch>
          <a:fillRect/>
        </a:stretch>
      </xdr:blipFill>
      <xdr:spPr>
        <a:xfrm>
          <a:off x="10185400" y="10528300"/>
          <a:ext cx="5114925" cy="1050925"/>
        </a:xfrm>
        <a:prstGeom prst="rect">
          <a:avLst/>
        </a:prstGeom>
      </xdr:spPr>
    </xdr:pic>
    <xdr:clientData/>
  </xdr:twoCellAnchor>
  <xdr:twoCellAnchor editAs="oneCell">
    <xdr:from>
      <xdr:col>0</xdr:col>
      <xdr:colOff>711200</xdr:colOff>
      <xdr:row>52</xdr:row>
      <xdr:rowOff>152400</xdr:rowOff>
    </xdr:from>
    <xdr:to>
      <xdr:col>2</xdr:col>
      <xdr:colOff>489490</xdr:colOff>
      <xdr:row>55</xdr:row>
      <xdr:rowOff>162006</xdr:rowOff>
    </xdr:to>
    <xdr:pic>
      <xdr:nvPicPr>
        <xdr:cNvPr id="96" name="Imagen 95" descr="Imagen que contiene Texto&#10;&#10;Descripción generada automáticamente">
          <a:extLst>
            <a:ext uri="{FF2B5EF4-FFF2-40B4-BE49-F238E27FC236}">
              <a16:creationId xmlns:a16="http://schemas.microsoft.com/office/drawing/2014/main" id="{C919B27C-7C42-B1F0-363B-02AC7A0B5A12}"/>
            </a:ext>
          </a:extLst>
        </xdr:cNvPr>
        <xdr:cNvPicPr>
          <a:picLocks noChangeAspect="1"/>
        </xdr:cNvPicPr>
      </xdr:nvPicPr>
      <xdr:blipFill>
        <a:blip xmlns:r="http://schemas.openxmlformats.org/officeDocument/2006/relationships" r:embed="rId8"/>
        <a:stretch>
          <a:fillRect/>
        </a:stretch>
      </xdr:blipFill>
      <xdr:spPr>
        <a:xfrm>
          <a:off x="711200" y="10439400"/>
          <a:ext cx="3867690" cy="581106"/>
        </a:xfrm>
        <a:prstGeom prst="rect">
          <a:avLst/>
        </a:prstGeom>
      </xdr:spPr>
    </xdr:pic>
    <xdr:clientData/>
  </xdr:twoCellAnchor>
  <xdr:twoCellAnchor editAs="oneCell">
    <xdr:from>
      <xdr:col>0</xdr:col>
      <xdr:colOff>749300</xdr:colOff>
      <xdr:row>56</xdr:row>
      <xdr:rowOff>38100</xdr:rowOff>
    </xdr:from>
    <xdr:to>
      <xdr:col>2</xdr:col>
      <xdr:colOff>432326</xdr:colOff>
      <xdr:row>59</xdr:row>
      <xdr:rowOff>38180</xdr:rowOff>
    </xdr:to>
    <xdr:pic>
      <xdr:nvPicPr>
        <xdr:cNvPr id="98" name="Imagen 97" descr="Imagen que contiene Interfaz de usuario gráfica&#10;&#10;Descripción generada automáticamente">
          <a:extLst>
            <a:ext uri="{FF2B5EF4-FFF2-40B4-BE49-F238E27FC236}">
              <a16:creationId xmlns:a16="http://schemas.microsoft.com/office/drawing/2014/main" id="{1A6977EC-7F8D-851E-D9BE-7F50BC0E16A8}"/>
            </a:ext>
          </a:extLst>
        </xdr:cNvPr>
        <xdr:cNvPicPr>
          <a:picLocks noChangeAspect="1"/>
        </xdr:cNvPicPr>
      </xdr:nvPicPr>
      <xdr:blipFill>
        <a:blip xmlns:r="http://schemas.openxmlformats.org/officeDocument/2006/relationships" r:embed="rId9"/>
        <a:stretch>
          <a:fillRect/>
        </a:stretch>
      </xdr:blipFill>
      <xdr:spPr>
        <a:xfrm>
          <a:off x="749300" y="11087100"/>
          <a:ext cx="3772426" cy="571580"/>
        </a:xfrm>
        <a:prstGeom prst="rect">
          <a:avLst/>
        </a:prstGeom>
      </xdr:spPr>
    </xdr:pic>
    <xdr:clientData/>
  </xdr:twoCellAnchor>
  <xdr:twoCellAnchor editAs="oneCell">
    <xdr:from>
      <xdr:col>1</xdr:col>
      <xdr:colOff>0</xdr:colOff>
      <xdr:row>59</xdr:row>
      <xdr:rowOff>165100</xdr:rowOff>
    </xdr:from>
    <xdr:to>
      <xdr:col>2</xdr:col>
      <xdr:colOff>483132</xdr:colOff>
      <xdr:row>62</xdr:row>
      <xdr:rowOff>136601</xdr:rowOff>
    </xdr:to>
    <xdr:pic>
      <xdr:nvPicPr>
        <xdr:cNvPr id="99" name="Imagen 98" descr="Imagen que contiene Interfaz de usuario gráfica&#10;&#10;Descripción generada automáticamente">
          <a:extLst>
            <a:ext uri="{FF2B5EF4-FFF2-40B4-BE49-F238E27FC236}">
              <a16:creationId xmlns:a16="http://schemas.microsoft.com/office/drawing/2014/main" id="{64C1D312-8FF2-745E-1E8E-56DE728B9922}"/>
            </a:ext>
          </a:extLst>
        </xdr:cNvPr>
        <xdr:cNvPicPr>
          <a:picLocks noChangeAspect="1"/>
        </xdr:cNvPicPr>
      </xdr:nvPicPr>
      <xdr:blipFill>
        <a:blip xmlns:r="http://schemas.openxmlformats.org/officeDocument/2006/relationships" r:embed="rId10"/>
        <a:stretch>
          <a:fillRect/>
        </a:stretch>
      </xdr:blipFill>
      <xdr:spPr>
        <a:xfrm>
          <a:off x="762000" y="11785600"/>
          <a:ext cx="3810532" cy="543001"/>
        </a:xfrm>
        <a:prstGeom prst="rect">
          <a:avLst/>
        </a:prstGeom>
      </xdr:spPr>
    </xdr:pic>
    <xdr:clientData/>
  </xdr:twoCellAnchor>
  <xdr:twoCellAnchor editAs="oneCell">
    <xdr:from>
      <xdr:col>0</xdr:col>
      <xdr:colOff>723900</xdr:colOff>
      <xdr:row>62</xdr:row>
      <xdr:rowOff>114300</xdr:rowOff>
    </xdr:from>
    <xdr:to>
      <xdr:col>2</xdr:col>
      <xdr:colOff>596900</xdr:colOff>
      <xdr:row>64</xdr:row>
      <xdr:rowOff>158135</xdr:rowOff>
    </xdr:to>
    <xdr:pic>
      <xdr:nvPicPr>
        <xdr:cNvPr id="100" name="Imagen 99">
          <a:extLst>
            <a:ext uri="{FF2B5EF4-FFF2-40B4-BE49-F238E27FC236}">
              <a16:creationId xmlns:a16="http://schemas.microsoft.com/office/drawing/2014/main" id="{97E51B21-980A-18E0-5244-9569A3C60FEC}"/>
            </a:ext>
          </a:extLst>
        </xdr:cNvPr>
        <xdr:cNvPicPr>
          <a:picLocks noChangeAspect="1"/>
        </xdr:cNvPicPr>
      </xdr:nvPicPr>
      <xdr:blipFill>
        <a:blip xmlns:r="http://schemas.openxmlformats.org/officeDocument/2006/relationships" r:embed="rId11"/>
        <a:stretch>
          <a:fillRect/>
        </a:stretch>
      </xdr:blipFill>
      <xdr:spPr>
        <a:xfrm>
          <a:off x="723900" y="12306300"/>
          <a:ext cx="3962400" cy="424835"/>
        </a:xfrm>
        <a:prstGeom prst="rect">
          <a:avLst/>
        </a:prstGeom>
      </xdr:spPr>
    </xdr:pic>
    <xdr:clientData/>
  </xdr:twoCellAnchor>
  <xdr:twoCellAnchor editAs="oneCell">
    <xdr:from>
      <xdr:col>0</xdr:col>
      <xdr:colOff>711200</xdr:colOff>
      <xdr:row>67</xdr:row>
      <xdr:rowOff>76200</xdr:rowOff>
    </xdr:from>
    <xdr:to>
      <xdr:col>2</xdr:col>
      <xdr:colOff>584200</xdr:colOff>
      <xdr:row>69</xdr:row>
      <xdr:rowOff>66675</xdr:rowOff>
    </xdr:to>
    <xdr:pic>
      <xdr:nvPicPr>
        <xdr:cNvPr id="101" name="Imagen 100">
          <a:extLst>
            <a:ext uri="{FF2B5EF4-FFF2-40B4-BE49-F238E27FC236}">
              <a16:creationId xmlns:a16="http://schemas.microsoft.com/office/drawing/2014/main" id="{7F6D7846-EE22-6AD7-A4C5-1C7D48940956}"/>
            </a:ext>
          </a:extLst>
        </xdr:cNvPr>
        <xdr:cNvPicPr>
          <a:picLocks noChangeAspect="1"/>
        </xdr:cNvPicPr>
      </xdr:nvPicPr>
      <xdr:blipFill>
        <a:blip xmlns:r="http://schemas.openxmlformats.org/officeDocument/2006/relationships" r:embed="rId12"/>
        <a:stretch>
          <a:fillRect/>
        </a:stretch>
      </xdr:blipFill>
      <xdr:spPr>
        <a:xfrm>
          <a:off x="711200" y="13220700"/>
          <a:ext cx="3962400" cy="371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443193</xdr:colOff>
      <xdr:row>6</xdr:row>
      <xdr:rowOff>59951</xdr:rowOff>
    </xdr:from>
    <xdr:to>
      <xdr:col>2</xdr:col>
      <xdr:colOff>521074</xdr:colOff>
      <xdr:row>7</xdr:row>
      <xdr:rowOff>129040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205193" y="1202951"/>
          <a:ext cx="839881" cy="259589"/>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INPUT</a:t>
          </a:r>
        </a:p>
      </xdr:txBody>
    </xdr:sp>
    <xdr:clientData/>
  </xdr:twoCellAnchor>
  <xdr:twoCellAnchor>
    <xdr:from>
      <xdr:col>1</xdr:col>
      <xdr:colOff>357468</xdr:colOff>
      <xdr:row>8</xdr:row>
      <xdr:rowOff>151840</xdr:rowOff>
    </xdr:from>
    <xdr:to>
      <xdr:col>2</xdr:col>
      <xdr:colOff>609600</xdr:colOff>
      <xdr:row>10</xdr:row>
      <xdr:rowOff>30429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1119468" y="1675840"/>
          <a:ext cx="1014132" cy="259589"/>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DIMENSIONES</a:t>
          </a:r>
        </a:p>
      </xdr:txBody>
    </xdr:sp>
    <xdr:clientData/>
  </xdr:twoCellAnchor>
  <xdr:twoCellAnchor>
    <xdr:from>
      <xdr:col>0</xdr:col>
      <xdr:colOff>314325</xdr:colOff>
      <xdr:row>1</xdr:row>
      <xdr:rowOff>47625</xdr:rowOff>
    </xdr:from>
    <xdr:to>
      <xdr:col>1</xdr:col>
      <xdr:colOff>476250</xdr:colOff>
      <xdr:row>2</xdr:row>
      <xdr:rowOff>114300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900-000004000000}"/>
            </a:ext>
          </a:extLst>
        </xdr:cNvPr>
        <xdr:cNvSpPr/>
      </xdr:nvSpPr>
      <xdr:spPr>
        <a:xfrm>
          <a:off x="314325" y="47625"/>
          <a:ext cx="923925" cy="257175"/>
        </a:xfrm>
        <a:prstGeom prst="roundRect">
          <a:avLst/>
        </a:prstGeom>
        <a:solidFill>
          <a:srgbClr val="92D050"/>
        </a:solidFill>
        <a:ln>
          <a:solidFill>
            <a:schemeClr val="tx1"/>
          </a:solidFill>
        </a:ln>
      </xdr:spPr>
      <xdr:style>
        <a:lnRef idx="1">
          <a:schemeClr val="dk1"/>
        </a:lnRef>
        <a:fillRef idx="3">
          <a:schemeClr val="dk1"/>
        </a:fillRef>
        <a:effectRef idx="2">
          <a:schemeClr val="dk1"/>
        </a:effectRef>
        <a:fontRef idx="minor">
          <a:schemeClr val="lt1"/>
        </a:fontRef>
      </xdr:style>
      <xdr:txBody>
        <a:bodyPr vertOverflow="clip" horzOverflow="clip" rtlCol="0" anchor="ctr"/>
        <a:lstStyle/>
        <a:p>
          <a:pPr algn="ctr"/>
          <a:r>
            <a:rPr lang="es-CO" sz="900" b="1" cap="none" spc="0">
              <a:ln w="3175">
                <a:noFill/>
                <a:prstDash val="solid"/>
              </a:ln>
              <a:solidFill>
                <a:schemeClr val="bg1"/>
              </a:solidFill>
              <a:effectLst>
                <a:outerShdw blurRad="38100" dist="22860" dir="5400000" algn="tl" rotWithShape="0">
                  <a:srgbClr val="000000">
                    <a:alpha val="30000"/>
                  </a:srgbClr>
                </a:outerShdw>
              </a:effectLst>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69D5F-B614-4C39-B271-0BEE68F821DF}">
  <dimension ref="B1:J19"/>
  <sheetViews>
    <sheetView showGridLines="0" topLeftCell="A14" zoomScale="59" workbookViewId="0">
      <selection activeCell="A17" sqref="A17:XFD18"/>
    </sheetView>
  </sheetViews>
  <sheetFormatPr baseColWidth="10" defaultColWidth="10.7109375" defaultRowHeight="15"/>
  <cols>
    <col min="9" max="9" width="4.85546875" customWidth="1"/>
    <col min="10" max="10" width="79" customWidth="1"/>
  </cols>
  <sheetData>
    <row r="1" spans="2:10" ht="15.75" thickBot="1"/>
    <row r="2" spans="2:10" ht="15.75" thickBot="1">
      <c r="B2" s="216" t="s">
        <v>269</v>
      </c>
      <c r="C2" s="217"/>
      <c r="D2" s="217"/>
      <c r="E2" s="217"/>
      <c r="F2" s="217"/>
      <c r="G2" s="217"/>
      <c r="H2" s="217"/>
      <c r="I2" s="217"/>
      <c r="J2" s="218"/>
    </row>
    <row r="3" spans="2:10">
      <c r="B3" s="213" t="s">
        <v>31</v>
      </c>
      <c r="C3" s="214"/>
      <c r="D3" s="214"/>
      <c r="E3" s="214"/>
      <c r="F3" s="214"/>
      <c r="G3" s="214"/>
      <c r="H3" s="214"/>
      <c r="I3" s="214"/>
      <c r="J3" s="215"/>
    </row>
    <row r="4" spans="2:10" ht="45" customHeight="1" thickBot="1">
      <c r="B4" s="210" t="s">
        <v>439</v>
      </c>
      <c r="C4" s="211"/>
      <c r="D4" s="211"/>
      <c r="E4" s="211"/>
      <c r="F4" s="211"/>
      <c r="G4" s="211"/>
      <c r="H4" s="211"/>
      <c r="I4" s="211"/>
      <c r="J4" s="212"/>
    </row>
    <row r="5" spans="2:10">
      <c r="B5" s="15"/>
      <c r="C5" s="15"/>
      <c r="D5" s="15"/>
      <c r="E5" s="15"/>
      <c r="F5" s="15"/>
      <c r="G5" s="15"/>
      <c r="H5" s="15"/>
    </row>
    <row r="6" spans="2:10">
      <c r="B6" s="220" t="s">
        <v>277</v>
      </c>
      <c r="C6" s="220"/>
      <c r="D6" s="220"/>
      <c r="E6" s="220"/>
      <c r="F6" s="220"/>
      <c r="G6" s="220"/>
      <c r="H6" s="220"/>
      <c r="J6" s="106" t="s">
        <v>276</v>
      </c>
    </row>
    <row r="8" spans="2:10" s="1" customFormat="1" ht="30">
      <c r="B8" s="130">
        <v>1</v>
      </c>
      <c r="C8" s="219" t="s">
        <v>278</v>
      </c>
      <c r="D8" s="219"/>
      <c r="E8" s="219"/>
      <c r="F8" s="219"/>
      <c r="G8" s="219"/>
      <c r="H8" s="219"/>
      <c r="J8" s="53" t="s">
        <v>443</v>
      </c>
    </row>
    <row r="9" spans="2:10" s="1" customFormat="1" ht="75">
      <c r="B9" s="130">
        <v>2</v>
      </c>
      <c r="C9" s="219" t="s">
        <v>270</v>
      </c>
      <c r="D9" s="219"/>
      <c r="E9" s="219"/>
      <c r="F9" s="219"/>
      <c r="G9" s="219"/>
      <c r="H9" s="219"/>
      <c r="J9" s="53" t="s">
        <v>442</v>
      </c>
    </row>
    <row r="10" spans="2:10" s="1" customFormat="1" ht="60">
      <c r="B10" s="130">
        <v>3</v>
      </c>
      <c r="C10" s="219" t="s">
        <v>273</v>
      </c>
      <c r="D10" s="219"/>
      <c r="E10" s="219"/>
      <c r="F10" s="219"/>
      <c r="G10" s="219"/>
      <c r="H10" s="219"/>
      <c r="J10" s="53" t="s">
        <v>440</v>
      </c>
    </row>
    <row r="11" spans="2:10" s="1" customFormat="1" ht="75">
      <c r="B11" s="130">
        <v>4</v>
      </c>
      <c r="C11" s="219" t="s">
        <v>271</v>
      </c>
      <c r="D11" s="219"/>
      <c r="E11" s="219"/>
      <c r="F11" s="219"/>
      <c r="G11" s="219"/>
      <c r="H11" s="219"/>
      <c r="J11" s="53" t="s">
        <v>441</v>
      </c>
    </row>
    <row r="12" spans="2:10" s="1" customFormat="1" ht="45">
      <c r="B12" s="130">
        <v>5</v>
      </c>
      <c r="C12" s="219" t="s">
        <v>272</v>
      </c>
      <c r="D12" s="219"/>
      <c r="E12" s="219"/>
      <c r="F12" s="219"/>
      <c r="G12" s="219"/>
      <c r="H12" s="219"/>
      <c r="J12" s="53" t="s">
        <v>444</v>
      </c>
    </row>
    <row r="13" spans="2:10" s="1" customFormat="1" ht="90">
      <c r="B13" s="130">
        <v>6</v>
      </c>
      <c r="C13" s="219" t="s">
        <v>274</v>
      </c>
      <c r="D13" s="219"/>
      <c r="E13" s="219"/>
      <c r="F13" s="219"/>
      <c r="G13" s="219"/>
      <c r="H13" s="219"/>
      <c r="J13" s="53" t="s">
        <v>448</v>
      </c>
    </row>
    <row r="14" spans="2:10" s="1" customFormat="1" ht="60">
      <c r="B14" s="130">
        <v>7</v>
      </c>
      <c r="C14" s="219" t="s">
        <v>275</v>
      </c>
      <c r="D14" s="219"/>
      <c r="E14" s="219"/>
      <c r="F14" s="219"/>
      <c r="G14" s="219"/>
      <c r="H14" s="219"/>
      <c r="J14" s="53" t="s">
        <v>447</v>
      </c>
    </row>
    <row r="15" spans="2:10" s="1" customFormat="1" ht="75">
      <c r="B15" s="130">
        <v>8</v>
      </c>
      <c r="C15" s="219" t="s">
        <v>346</v>
      </c>
      <c r="D15" s="219"/>
      <c r="E15" s="219"/>
      <c r="F15" s="219"/>
      <c r="G15" s="219"/>
      <c r="H15" s="219"/>
      <c r="J15" s="53" t="s">
        <v>446</v>
      </c>
    </row>
    <row r="16" spans="2:10" s="1" customFormat="1" ht="45">
      <c r="B16" s="130">
        <v>9</v>
      </c>
      <c r="C16" s="219" t="s">
        <v>437</v>
      </c>
      <c r="D16" s="219"/>
      <c r="E16" s="219"/>
      <c r="F16" s="219"/>
      <c r="G16" s="219"/>
      <c r="H16" s="219"/>
      <c r="J16" s="53" t="s">
        <v>445</v>
      </c>
    </row>
    <row r="17" spans="2:5">
      <c r="B17" s="105"/>
    </row>
    <row r="19" spans="2:5">
      <c r="E19" s="196"/>
    </row>
  </sheetData>
  <mergeCells count="13">
    <mergeCell ref="C15:H15"/>
    <mergeCell ref="C16:H16"/>
    <mergeCell ref="C9:H9"/>
    <mergeCell ref="C10:H10"/>
    <mergeCell ref="C11:H11"/>
    <mergeCell ref="C12:H12"/>
    <mergeCell ref="B4:J4"/>
    <mergeCell ref="B3:J3"/>
    <mergeCell ref="B2:J2"/>
    <mergeCell ref="C13:H13"/>
    <mergeCell ref="C14:H14"/>
    <mergeCell ref="B6:H6"/>
    <mergeCell ref="C8:H8"/>
  </mergeCells>
  <hyperlinks>
    <hyperlink ref="C9:H9" location="Input!A1" display="INPUT" xr:uid="{3310D9EB-6F0B-4734-8F93-5CE3B7D3AC36}"/>
    <hyperlink ref="C10:H10" location="'Dimensiones Muro'!A1" display="CALCULO DIMENSIONES MURO" xr:uid="{D0795691-6ABF-4694-9C6A-4BDDD520ED4C}"/>
    <hyperlink ref="C11:H11" location="'Cálculo de Pa y Pp'!A1" display="CALCULO DE Pa y Pp" xr:uid="{961117D0-AFC0-4B2E-AD33-84528AC80540}"/>
    <hyperlink ref="C12:H12" location="Fuerzas!A1" display="CALCULO DE FUERZAS" xr:uid="{7C3C4A50-6CC4-403A-AD1B-3215845C3DF9}"/>
    <hyperlink ref="C13:H13" location="'Tabla resumen de fuerzas'!A1" display="TABLA RESUMEN DE FUERZAS" xr:uid="{40B9DDD2-D60B-452C-85B5-23BE7881DF69}"/>
    <hyperlink ref="C14:H14" location="LFRD!A1" display="METODOLOGIA LFRD" xr:uid="{257C9A15-625C-4A9E-9F70-F9FB4711C178}"/>
    <hyperlink ref="C15:H15" location="'Capacidad de Carga'!A1" display="CAPACIDAD DE CARGA" xr:uid="{DE9D3517-B508-4AEE-B94D-176AAA737F1A}"/>
    <hyperlink ref="C16:H16" location="'Verificación de resultados'!A1" display="VERIFICACIÓN DE RESULTADOS" xr:uid="{5B9ECD4B-273A-4B42-84A0-F167CDC88C80}"/>
    <hyperlink ref="C8:H8" location="Nomenclatura!A1" display="NOMENCLATURA" xr:uid="{AC3A348A-2A2E-41B5-9217-4DE9E8DAF5A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0209-C5E8-493F-BF3E-73ED1F0C4ABD}">
  <dimension ref="C1:I40"/>
  <sheetViews>
    <sheetView showGridLines="0" tabSelected="1" zoomScale="81" zoomScaleNormal="130" workbookViewId="0">
      <selection activeCell="J30" sqref="J30"/>
    </sheetView>
  </sheetViews>
  <sheetFormatPr baseColWidth="10" defaultColWidth="10.7109375" defaultRowHeight="15"/>
  <cols>
    <col min="4" max="5" width="12" customWidth="1"/>
    <col min="6" max="6" width="14.85546875" customWidth="1"/>
    <col min="7" max="7" width="11.28515625" bestFit="1" customWidth="1"/>
  </cols>
  <sheetData>
    <row r="1" spans="3:9" ht="15.75" thickBot="1"/>
    <row r="2" spans="3:9">
      <c r="C2" s="251" t="s">
        <v>319</v>
      </c>
      <c r="D2" s="252"/>
      <c r="E2" s="252"/>
      <c r="F2" s="252"/>
      <c r="G2" s="252"/>
      <c r="H2" s="253"/>
    </row>
    <row r="3" spans="3:9" ht="32.25" customHeight="1" thickBot="1">
      <c r="C3" s="280" t="s">
        <v>438</v>
      </c>
      <c r="D3" s="299"/>
      <c r="E3" s="299"/>
      <c r="F3" s="299"/>
      <c r="G3" s="299"/>
      <c r="H3" s="300"/>
    </row>
    <row r="5" spans="3:9">
      <c r="D5" s="302" t="s">
        <v>338</v>
      </c>
      <c r="E5" s="302" t="s">
        <v>339</v>
      </c>
      <c r="F5" s="302"/>
      <c r="G5" s="126"/>
      <c r="I5" t="s">
        <v>662</v>
      </c>
    </row>
    <row r="6" spans="3:9">
      <c r="D6" s="302"/>
      <c r="E6" s="125" t="s">
        <v>432</v>
      </c>
      <c r="F6" s="125" t="s">
        <v>433</v>
      </c>
      <c r="G6" s="127" t="s">
        <v>344</v>
      </c>
    </row>
    <row r="7" spans="3:9">
      <c r="D7" s="10" t="s">
        <v>340</v>
      </c>
      <c r="E7" s="6">
        <f>+LFRD!F57</f>
        <v>334.06863493683693</v>
      </c>
      <c r="F7" s="6">
        <f>+LFRD!G57</f>
        <v>98.134862209277145</v>
      </c>
      <c r="G7" s="115" t="str">
        <f>+IF(E7&gt;F7,"Cumple","No Cumple")</f>
        <v>Cumple</v>
      </c>
    </row>
    <row r="8" spans="3:9">
      <c r="D8" s="10" t="s">
        <v>341</v>
      </c>
      <c r="E8" s="6">
        <f>+LFRD!F58</f>
        <v>323.10442329122463</v>
      </c>
      <c r="F8" s="6">
        <f>+LFRD!G58</f>
        <v>61.781146722084657</v>
      </c>
      <c r="G8" s="115" t="str">
        <f t="shared" ref="G8:G10" si="0">+IF(E8&gt;F8,"Cumple","No Cumple")</f>
        <v>Cumple</v>
      </c>
    </row>
    <row r="9" spans="3:9">
      <c r="D9" s="10" t="s">
        <v>342</v>
      </c>
      <c r="E9" s="6">
        <f>+LFRD!F59</f>
        <v>347.49419896845126</v>
      </c>
      <c r="F9" s="6">
        <f>+LFRD!G59</f>
        <v>77.813052445141011</v>
      </c>
      <c r="G9" s="115" t="str">
        <f t="shared" si="0"/>
        <v>Cumple</v>
      </c>
    </row>
    <row r="10" spans="3:9">
      <c r="D10" s="10" t="s">
        <v>343</v>
      </c>
      <c r="E10" s="6">
        <f>+LFRD!F60</f>
        <v>286.98</v>
      </c>
      <c r="F10" s="6">
        <f>+LFRD!G60</f>
        <v>118.05486246978434</v>
      </c>
      <c r="G10" s="115" t="str">
        <f t="shared" si="0"/>
        <v>Cumple</v>
      </c>
    </row>
    <row r="11" spans="3:9">
      <c r="D11" s="1"/>
      <c r="E11" s="1"/>
      <c r="F11" s="1"/>
    </row>
    <row r="12" spans="3:9">
      <c r="D12" s="302" t="s">
        <v>338</v>
      </c>
      <c r="E12" s="302" t="s">
        <v>345</v>
      </c>
      <c r="F12" s="302"/>
      <c r="G12" s="126"/>
    </row>
    <row r="13" spans="3:9">
      <c r="D13" s="302"/>
      <c r="E13" s="125" t="s">
        <v>434</v>
      </c>
      <c r="F13" s="125" t="s">
        <v>435</v>
      </c>
      <c r="G13" s="127" t="s">
        <v>344</v>
      </c>
    </row>
    <row r="14" spans="3:9">
      <c r="D14" s="10" t="s">
        <v>340</v>
      </c>
      <c r="E14" s="6">
        <f>+LFRD!F64</f>
        <v>122.11768769820601</v>
      </c>
      <c r="F14" s="6">
        <f>+LFRD!G64</f>
        <v>73.189311927080084</v>
      </c>
      <c r="G14" s="115" t="str">
        <f t="shared" ref="G14:G16" si="1">+IF(E14&gt;F14,"Cumple","No Cumple")</f>
        <v>Cumple</v>
      </c>
    </row>
    <row r="15" spans="3:9">
      <c r="D15" s="10" t="s">
        <v>341</v>
      </c>
      <c r="E15" s="6">
        <f>+LFRD!F65</f>
        <v>148.40038980008222</v>
      </c>
      <c r="F15" s="6">
        <f>+LFRD!G65</f>
        <v>46.711677617615237</v>
      </c>
      <c r="G15" s="115" t="str">
        <f t="shared" si="1"/>
        <v>Cumple</v>
      </c>
    </row>
    <row r="16" spans="3:9">
      <c r="D16" s="10" t="s">
        <v>342</v>
      </c>
      <c r="E16" s="6">
        <f>+LFRD!F66</f>
        <v>155.45744213637789</v>
      </c>
      <c r="F16" s="6">
        <f>+LFRD!G66</f>
        <v>63.575106595177921</v>
      </c>
      <c r="G16" s="115" t="str">
        <f t="shared" si="1"/>
        <v>Cumple</v>
      </c>
    </row>
    <row r="17" spans="4:7">
      <c r="D17" s="10" t="s">
        <v>343</v>
      </c>
      <c r="E17" s="6">
        <f>+LFRD!F67</f>
        <v>148.40038980008222</v>
      </c>
      <c r="F17" s="6">
        <f>+LFRD!G67</f>
        <v>59.668086616300769</v>
      </c>
      <c r="G17" s="115" t="str">
        <f>+IF(E17&gt;F17,"Cumple","No Cumple")</f>
        <v>Cumple</v>
      </c>
    </row>
    <row r="19" spans="4:7">
      <c r="D19" s="125" t="s">
        <v>366</v>
      </c>
      <c r="E19" s="125" t="s">
        <v>365</v>
      </c>
      <c r="F19" s="125" t="s">
        <v>429</v>
      </c>
      <c r="G19" s="127" t="s">
        <v>344</v>
      </c>
    </row>
    <row r="20" spans="4:7">
      <c r="D20" s="10" t="s">
        <v>340</v>
      </c>
      <c r="E20" s="128">
        <f>+LFRD!F70</f>
        <v>7.2016567803570242E-2</v>
      </c>
      <c r="F20" s="128">
        <f>+LFRD!G70</f>
        <v>0.96666666666666667</v>
      </c>
      <c r="G20" s="115" t="str">
        <f>IF(E20&lt;F20,"cumple","no cumple")</f>
        <v>cumple</v>
      </c>
    </row>
    <row r="21" spans="4:7">
      <c r="D21" s="10" t="s">
        <v>341</v>
      </c>
      <c r="E21" s="128">
        <f>+LFRD!F71</f>
        <v>2.7598982607808464E-2</v>
      </c>
      <c r="F21" s="128">
        <f>+LFRD!G71</f>
        <v>0.96666666666666667</v>
      </c>
      <c r="G21" s="115" t="str">
        <f t="shared" ref="G21:G23" si="2">IF(E21&lt;F21,"cumple","no cumple")</f>
        <v>cumple</v>
      </c>
    </row>
    <row r="22" spans="4:7">
      <c r="D22" s="10" t="s">
        <v>342</v>
      </c>
      <c r="E22" s="128">
        <f>+LFRD!F72</f>
        <v>5.6353653668064219E-3</v>
      </c>
      <c r="F22" s="128">
        <f>+LFRD!G72</f>
        <v>0.96666666666666667</v>
      </c>
      <c r="G22" s="115" t="str">
        <f t="shared" si="2"/>
        <v>cumple</v>
      </c>
    </row>
    <row r="23" spans="4:7">
      <c r="D23" s="10" t="s">
        <v>343</v>
      </c>
      <c r="E23" s="128">
        <f>+LFRD!F73</f>
        <v>0.49484738356060065</v>
      </c>
      <c r="F23" s="128">
        <f>+LFRD!G73</f>
        <v>0.96666666666666667</v>
      </c>
      <c r="G23" s="115" t="str">
        <f t="shared" si="2"/>
        <v>cumple</v>
      </c>
    </row>
    <row r="25" spans="4:7">
      <c r="D25" s="302" t="s">
        <v>405</v>
      </c>
      <c r="E25" s="302"/>
      <c r="F25" s="302"/>
      <c r="G25" s="302"/>
    </row>
    <row r="26" spans="4:7">
      <c r="D26" s="125" t="s">
        <v>402</v>
      </c>
      <c r="E26" s="125" t="s">
        <v>436</v>
      </c>
      <c r="F26" s="125" t="s">
        <v>664</v>
      </c>
      <c r="G26" s="125" t="s">
        <v>344</v>
      </c>
    </row>
    <row r="27" spans="4:7">
      <c r="D27" s="10" t="s">
        <v>403</v>
      </c>
      <c r="E27" s="6">
        <f>+'Capacidad de Carga'!E76</f>
        <v>2496.8640661937438</v>
      </c>
      <c r="F27" s="6">
        <f>+'Capacidad de Carga'!I112</f>
        <v>73.210351947482479</v>
      </c>
      <c r="G27" s="4" t="str">
        <f>+IF(E27&gt;F27,"Cumple","No Cumple")</f>
        <v>Cumple</v>
      </c>
    </row>
    <row r="32" spans="4:7">
      <c r="D32" s="326" t="s">
        <v>670</v>
      </c>
      <c r="E32" s="327"/>
    </row>
    <row r="33" spans="3:6">
      <c r="D33" s="320" t="s">
        <v>673</v>
      </c>
      <c r="E33" s="320" t="s">
        <v>665</v>
      </c>
      <c r="F33" s="320" t="s">
        <v>674</v>
      </c>
    </row>
    <row r="34" spans="3:6">
      <c r="C34" s="320" t="s">
        <v>666</v>
      </c>
      <c r="D34" s="325">
        <f>E8/F8</f>
        <v>5.2298223719393313</v>
      </c>
      <c r="E34" s="320">
        <v>5.7</v>
      </c>
      <c r="F34" s="321">
        <f>(E34-D34)/E34</f>
        <v>8.248730316853839E-2</v>
      </c>
    </row>
    <row r="35" spans="3:6">
      <c r="C35" s="320" t="s">
        <v>667</v>
      </c>
      <c r="D35" s="325">
        <f>E9/F9</f>
        <v>4.4657571968846508</v>
      </c>
      <c r="E35" s="320">
        <v>4.76</v>
      </c>
      <c r="F35" s="321">
        <f>(E35-D35)/E35</f>
        <v>6.1815714940199371E-2</v>
      </c>
    </row>
    <row r="37" spans="3:6">
      <c r="D37" s="288" t="s">
        <v>345</v>
      </c>
      <c r="E37" s="288"/>
    </row>
    <row r="38" spans="3:6">
      <c r="D38" s="320" t="s">
        <v>673</v>
      </c>
      <c r="E38" s="320" t="s">
        <v>665</v>
      </c>
    </row>
    <row r="39" spans="3:6">
      <c r="C39" s="320" t="s">
        <v>668</v>
      </c>
      <c r="D39" s="325">
        <f>E15/F15</f>
        <v>3.176944125511767</v>
      </c>
      <c r="E39" s="320">
        <v>3.91</v>
      </c>
      <c r="F39" s="321">
        <f>(E39-D39)/E39</f>
        <v>0.18748232084098035</v>
      </c>
    </row>
    <row r="40" spans="3:6">
      <c r="C40" s="320" t="s">
        <v>669</v>
      </c>
      <c r="D40" s="325">
        <f>E16/F16</f>
        <v>2.4452564920774997</v>
      </c>
      <c r="E40" s="320">
        <v>3.09</v>
      </c>
      <c r="F40" s="321">
        <f>(E40-D40)/E40</f>
        <v>0.20865485693284794</v>
      </c>
    </row>
  </sheetData>
  <mergeCells count="9">
    <mergeCell ref="D37:E37"/>
    <mergeCell ref="D32:E32"/>
    <mergeCell ref="D25:G25"/>
    <mergeCell ref="C2:H2"/>
    <mergeCell ref="C3:H3"/>
    <mergeCell ref="D5:D6"/>
    <mergeCell ref="E5:F5"/>
    <mergeCell ref="D12:D13"/>
    <mergeCell ref="E12:F1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39403-E778-44F7-99E9-1CE28405437E}">
  <dimension ref="B1:Q270"/>
  <sheetViews>
    <sheetView showGridLines="0" topLeftCell="A9" zoomScale="73" zoomScaleNormal="115" workbookViewId="0">
      <selection activeCell="E19" sqref="E19"/>
    </sheetView>
  </sheetViews>
  <sheetFormatPr baseColWidth="10" defaultColWidth="10.7109375" defaultRowHeight="15"/>
  <cols>
    <col min="4" max="4" width="26.85546875" customWidth="1"/>
    <col min="5" max="5" width="30.28515625" customWidth="1"/>
    <col min="6" max="6" width="24.42578125" customWidth="1"/>
    <col min="7" max="8" width="26" customWidth="1"/>
    <col min="9" max="9" width="24.28515625" bestFit="1" customWidth="1"/>
    <col min="10" max="10" width="12.5703125" customWidth="1"/>
  </cols>
  <sheetData>
    <row r="1" spans="2:17" ht="15.75" thickBot="1"/>
    <row r="2" spans="2:17">
      <c r="D2" s="251" t="s">
        <v>319</v>
      </c>
      <c r="E2" s="252"/>
      <c r="F2" s="252"/>
      <c r="G2" s="252"/>
      <c r="H2" s="252"/>
      <c r="I2" s="253"/>
    </row>
    <row r="3" spans="2:17" ht="15.75" thickBot="1">
      <c r="D3" s="280" t="s">
        <v>555</v>
      </c>
      <c r="E3" s="299"/>
      <c r="F3" s="299"/>
      <c r="G3" s="299"/>
      <c r="H3" s="299"/>
      <c r="I3" s="300"/>
    </row>
    <row r="4" spans="2:17" ht="15.75" thickBot="1"/>
    <row r="5" spans="2:17" ht="15.75" thickBot="1">
      <c r="D5" s="216" t="s">
        <v>656</v>
      </c>
      <c r="E5" s="217"/>
      <c r="F5" s="217"/>
      <c r="G5" s="217"/>
      <c r="H5" s="217"/>
      <c r="I5" s="218"/>
    </row>
    <row r="6" spans="2:17">
      <c r="D6" s="154"/>
      <c r="E6" s="155" t="s">
        <v>62</v>
      </c>
      <c r="F6" s="155" t="s">
        <v>368</v>
      </c>
      <c r="G6" s="155" t="s">
        <v>367</v>
      </c>
      <c r="H6" s="155" t="s">
        <v>369</v>
      </c>
      <c r="I6" s="145" t="s">
        <v>370</v>
      </c>
    </row>
    <row r="7" spans="2:17" ht="18">
      <c r="D7" s="120" t="s">
        <v>320</v>
      </c>
      <c r="E7" s="162">
        <v>1.5</v>
      </c>
      <c r="F7" s="46" t="s">
        <v>220</v>
      </c>
      <c r="G7" s="6">
        <f>+LFRD!G16</f>
        <v>34.224495614986296</v>
      </c>
      <c r="H7" s="82">
        <f>+LFRD!I16-'Dimensiones Muro'!D17</f>
        <v>0.66666666666666674</v>
      </c>
      <c r="I7" s="73">
        <f>+G7*H7</f>
        <v>22.816330409990865</v>
      </c>
    </row>
    <row r="8" spans="2:17" ht="18">
      <c r="D8" s="120" t="s">
        <v>321</v>
      </c>
      <c r="E8" s="162">
        <v>1</v>
      </c>
      <c r="F8" s="119" t="s">
        <v>218</v>
      </c>
      <c r="G8" s="6">
        <f>+LFRD!G18</f>
        <v>57.33151559386345</v>
      </c>
      <c r="H8" s="82">
        <f>+LFRD!I18-'Dimensiones Muro'!D17</f>
        <v>0.66666666666666674</v>
      </c>
      <c r="I8" s="73">
        <f t="shared" ref="I8" si="0">+G8*H8</f>
        <v>38.221010395908969</v>
      </c>
    </row>
    <row r="9" spans="2:17">
      <c r="D9" s="120" t="s">
        <v>322</v>
      </c>
      <c r="E9" s="162">
        <v>1</v>
      </c>
      <c r="F9" s="46" t="s">
        <v>213</v>
      </c>
      <c r="G9" s="6">
        <f>+LFRD!G20</f>
        <v>12.48718200262894</v>
      </c>
      <c r="H9" s="82">
        <f>+LFRD!I20-'Dimensiones Muro'!D17</f>
        <v>1.25</v>
      </c>
      <c r="I9" s="73">
        <f>+G9*H9</f>
        <v>15.608977503286175</v>
      </c>
    </row>
    <row r="10" spans="2:17" ht="15.75" thickBot="1">
      <c r="D10" s="121" t="s">
        <v>326</v>
      </c>
      <c r="E10" s="162">
        <v>1</v>
      </c>
      <c r="F10" s="122" t="s">
        <v>268</v>
      </c>
      <c r="G10" s="79">
        <f>+LFRD!G23</f>
        <v>19.2</v>
      </c>
      <c r="H10" s="83">
        <f>+'Tabla resumen de fuerzas'!I24-'Dimensiones Muro'!D17</f>
        <v>3</v>
      </c>
      <c r="I10" s="80">
        <f>+G10*H10</f>
        <v>57.599999999999994</v>
      </c>
    </row>
    <row r="11" spans="2:17">
      <c r="I11" s="52"/>
    </row>
    <row r="12" spans="2:17" ht="15.75" thickBot="1"/>
    <row r="13" spans="2:17" ht="15.75" thickBot="1">
      <c r="D13" s="216" t="s">
        <v>478</v>
      </c>
      <c r="E13" s="217"/>
      <c r="F13" s="217"/>
      <c r="G13" s="217"/>
      <c r="H13" s="217"/>
      <c r="I13" s="218"/>
    </row>
    <row r="14" spans="2:17" ht="15.75" thickBot="1">
      <c r="B14" s="148" t="s">
        <v>163</v>
      </c>
      <c r="D14" s="100"/>
      <c r="E14" s="101"/>
      <c r="F14" s="101"/>
      <c r="G14" s="101"/>
      <c r="H14" s="101"/>
      <c r="I14" s="102"/>
      <c r="K14" s="307" t="s">
        <v>17</v>
      </c>
      <c r="L14" s="308"/>
      <c r="M14" s="308"/>
      <c r="N14" s="308"/>
      <c r="O14" s="308"/>
      <c r="P14" s="308"/>
      <c r="Q14" s="309"/>
    </row>
    <row r="15" spans="2:17">
      <c r="D15" s="90"/>
      <c r="I15" s="91"/>
    </row>
    <row r="16" spans="2:17">
      <c r="D16" s="48" t="s">
        <v>376</v>
      </c>
      <c r="E16" s="128">
        <f>+'Dimensiones Muro'!D12</f>
        <v>0.3</v>
      </c>
      <c r="F16" s="46" t="s">
        <v>3</v>
      </c>
      <c r="I16" s="91"/>
      <c r="K16" s="306" t="s">
        <v>474</v>
      </c>
      <c r="L16" s="306"/>
      <c r="M16" s="306"/>
      <c r="N16" s="306"/>
      <c r="O16" s="306"/>
      <c r="P16" s="306"/>
      <c r="Q16" s="306"/>
    </row>
    <row r="17" spans="4:17">
      <c r="D17" s="48" t="s">
        <v>373</v>
      </c>
      <c r="E17" s="133">
        <v>1</v>
      </c>
      <c r="F17" s="46" t="s">
        <v>3</v>
      </c>
      <c r="I17" s="91"/>
      <c r="K17" s="306" t="s">
        <v>473</v>
      </c>
      <c r="L17" s="306"/>
      <c r="M17" s="306"/>
      <c r="N17" s="306"/>
      <c r="O17" s="306"/>
      <c r="P17" s="306"/>
      <c r="Q17" s="306"/>
    </row>
    <row r="18" spans="4:17">
      <c r="D18" s="48" t="s">
        <v>377</v>
      </c>
      <c r="E18" s="133">
        <f>+Input!D14</f>
        <v>3.5</v>
      </c>
      <c r="F18" s="46" t="s">
        <v>3</v>
      </c>
      <c r="I18" s="91"/>
      <c r="K18" s="306" t="s">
        <v>472</v>
      </c>
      <c r="L18" s="306"/>
      <c r="M18" s="306"/>
      <c r="N18" s="306"/>
      <c r="O18" s="306"/>
      <c r="P18" s="306"/>
      <c r="Q18" s="306"/>
    </row>
    <row r="19" spans="4:17">
      <c r="D19" s="90"/>
      <c r="I19" s="91"/>
    </row>
    <row r="20" spans="4:17">
      <c r="D20" s="48" t="s">
        <v>374</v>
      </c>
      <c r="E20" s="162">
        <v>28</v>
      </c>
      <c r="F20" s="46" t="s">
        <v>378</v>
      </c>
      <c r="G20" s="46" t="s">
        <v>457</v>
      </c>
      <c r="I20" s="91"/>
      <c r="K20" s="306" t="s">
        <v>471</v>
      </c>
      <c r="L20" s="306"/>
      <c r="M20" s="306"/>
      <c r="N20" s="306"/>
      <c r="O20" s="306"/>
      <c r="P20" s="306"/>
      <c r="Q20" s="306"/>
    </row>
    <row r="21" spans="4:17">
      <c r="D21" s="48" t="s">
        <v>375</v>
      </c>
      <c r="E21" s="162">
        <v>420</v>
      </c>
      <c r="F21" s="46" t="s">
        <v>378</v>
      </c>
      <c r="G21" s="46" t="s">
        <v>457</v>
      </c>
      <c r="I21" s="91"/>
      <c r="K21" s="306" t="s">
        <v>470</v>
      </c>
      <c r="L21" s="306"/>
      <c r="M21" s="306"/>
      <c r="N21" s="306"/>
      <c r="O21" s="306"/>
      <c r="P21" s="306"/>
      <c r="Q21" s="306"/>
    </row>
    <row r="22" spans="4:17">
      <c r="D22" s="90"/>
      <c r="I22" s="91"/>
    </row>
    <row r="23" spans="4:17">
      <c r="D23" s="48" t="s">
        <v>476</v>
      </c>
      <c r="E23" s="162">
        <f>75/1000</f>
        <v>7.4999999999999997E-2</v>
      </c>
      <c r="F23" s="46" t="s">
        <v>3</v>
      </c>
      <c r="I23" s="91"/>
      <c r="K23" s="27" t="s">
        <v>475</v>
      </c>
    </row>
    <row r="24" spans="4:17">
      <c r="D24" s="48" t="s">
        <v>371</v>
      </c>
      <c r="E24" s="128">
        <f>SUM(I7:I10)</f>
        <v>134.24631830918599</v>
      </c>
      <c r="F24" s="46" t="s">
        <v>253</v>
      </c>
      <c r="I24" s="91"/>
      <c r="K24" s="306" t="s">
        <v>469</v>
      </c>
      <c r="L24" s="306"/>
      <c r="M24" s="306"/>
      <c r="N24" s="306"/>
      <c r="O24" s="306"/>
      <c r="P24" s="306"/>
      <c r="Q24" s="306"/>
    </row>
    <row r="25" spans="4:17">
      <c r="D25" s="48" t="s">
        <v>372</v>
      </c>
      <c r="E25" s="162">
        <v>0.9</v>
      </c>
      <c r="F25" s="46"/>
      <c r="I25" s="91"/>
      <c r="K25" s="306" t="s">
        <v>468</v>
      </c>
      <c r="L25" s="306"/>
      <c r="M25" s="306"/>
      <c r="N25" s="306"/>
      <c r="O25" s="306"/>
      <c r="P25" s="306"/>
      <c r="Q25" s="306"/>
    </row>
    <row r="26" spans="4:17">
      <c r="D26" s="48" t="s">
        <v>235</v>
      </c>
      <c r="E26" s="162">
        <f>+(E16-E23)</f>
        <v>0.22499999999999998</v>
      </c>
      <c r="F26" s="46" t="s">
        <v>3</v>
      </c>
      <c r="I26" s="91"/>
      <c r="K26" s="306" t="s">
        <v>467</v>
      </c>
      <c r="L26" s="306"/>
      <c r="M26" s="306"/>
      <c r="N26" s="306"/>
      <c r="O26" s="306"/>
      <c r="P26" s="306"/>
      <c r="Q26" s="306"/>
    </row>
    <row r="27" spans="4:17">
      <c r="D27" s="90"/>
      <c r="I27" s="91"/>
    </row>
    <row r="28" spans="4:17">
      <c r="D28" s="48" t="s">
        <v>453</v>
      </c>
      <c r="E28" s="128">
        <f>+E24/E25</f>
        <v>149.16257589909554</v>
      </c>
      <c r="F28" s="46" t="s">
        <v>253</v>
      </c>
      <c r="I28" s="91"/>
      <c r="K28" s="306" t="s">
        <v>465</v>
      </c>
      <c r="L28" s="306"/>
      <c r="M28" s="306"/>
      <c r="N28" s="306"/>
      <c r="O28" s="306"/>
      <c r="P28" s="306"/>
      <c r="Q28" s="306"/>
    </row>
    <row r="29" spans="4:17">
      <c r="D29" s="90"/>
      <c r="I29" s="91"/>
    </row>
    <row r="30" spans="4:17" ht="15.75" thickBot="1">
      <c r="D30" s="48" t="s">
        <v>454</v>
      </c>
      <c r="E30" s="128">
        <f>+E31*E21*1000*(E26-(E31*E21)/(1.7*E20*E17))</f>
        <v>63.999995460478551</v>
      </c>
      <c r="F30" s="46" t="s">
        <v>253</v>
      </c>
      <c r="I30" s="91"/>
      <c r="K30" s="306" t="s">
        <v>466</v>
      </c>
      <c r="L30" s="306"/>
      <c r="M30" s="306"/>
      <c r="N30" s="306"/>
      <c r="O30" s="306"/>
      <c r="P30" s="306"/>
      <c r="Q30" s="306"/>
    </row>
    <row r="31" spans="4:17" ht="15.75" thickBot="1">
      <c r="D31" s="48" t="s">
        <v>455</v>
      </c>
      <c r="E31" s="152">
        <v>6.9625950357695148E-4</v>
      </c>
      <c r="F31" s="46" t="s">
        <v>86</v>
      </c>
      <c r="G31" s="128">
        <f>+E31*1000000</f>
        <v>696.25950357695149</v>
      </c>
      <c r="H31" s="50" t="s">
        <v>456</v>
      </c>
      <c r="I31" s="153" t="s">
        <v>505</v>
      </c>
      <c r="K31" s="306" t="s">
        <v>460</v>
      </c>
      <c r="L31" s="306"/>
      <c r="M31" s="306"/>
      <c r="N31" s="306"/>
      <c r="O31" s="306"/>
      <c r="P31" s="306"/>
      <c r="Q31" s="306"/>
    </row>
    <row r="32" spans="4:17">
      <c r="D32" s="90"/>
      <c r="I32" s="91"/>
    </row>
    <row r="33" spans="4:17">
      <c r="D33" s="48" t="s">
        <v>459</v>
      </c>
      <c r="E33" s="146">
        <f>1.4/E21</f>
        <v>3.3333333333333331E-3</v>
      </c>
      <c r="I33" s="91"/>
      <c r="K33" s="306" t="s">
        <v>461</v>
      </c>
      <c r="L33" s="306"/>
      <c r="M33" s="306"/>
      <c r="N33" s="306"/>
      <c r="O33" s="306"/>
      <c r="P33" s="306"/>
      <c r="Q33" s="306"/>
    </row>
    <row r="34" spans="4:17">
      <c r="D34" s="48" t="s">
        <v>459</v>
      </c>
      <c r="E34" s="146">
        <f>+SQRT(E20)/(4*E21)</f>
        <v>3.1497039417435605E-3</v>
      </c>
      <c r="I34" s="91"/>
      <c r="K34" s="306" t="s">
        <v>462</v>
      </c>
      <c r="L34" s="306"/>
      <c r="M34" s="306"/>
      <c r="N34" s="306"/>
      <c r="O34" s="306"/>
      <c r="P34" s="306"/>
      <c r="Q34" s="306"/>
    </row>
    <row r="35" spans="4:17">
      <c r="D35" s="90"/>
      <c r="I35" s="91"/>
    </row>
    <row r="36" spans="4:17">
      <c r="D36" s="48" t="s">
        <v>459</v>
      </c>
      <c r="E36" s="146">
        <f>+MAX(E33:E34)</f>
        <v>3.3333333333333331E-3</v>
      </c>
      <c r="I36" s="91"/>
      <c r="K36" s="306" t="s">
        <v>463</v>
      </c>
      <c r="L36" s="306"/>
      <c r="M36" s="306"/>
      <c r="N36" s="306"/>
      <c r="O36" s="306"/>
      <c r="P36" s="306"/>
      <c r="Q36" s="306"/>
    </row>
    <row r="37" spans="4:17">
      <c r="D37" s="48" t="s">
        <v>458</v>
      </c>
      <c r="E37" s="115">
        <f>+E36*E26*E17</f>
        <v>7.4999999999999991E-4</v>
      </c>
      <c r="F37" s="46" t="s">
        <v>86</v>
      </c>
      <c r="G37" s="128">
        <f>+E37*1000000</f>
        <v>749.99999999999989</v>
      </c>
      <c r="H37" s="46" t="s">
        <v>456</v>
      </c>
      <c r="I37" s="91"/>
      <c r="K37" s="306" t="s">
        <v>464</v>
      </c>
      <c r="L37" s="306"/>
      <c r="M37" s="306"/>
      <c r="N37" s="306"/>
      <c r="O37" s="306"/>
      <c r="P37" s="306"/>
      <c r="Q37" s="306"/>
    </row>
    <row r="38" spans="4:17">
      <c r="D38" s="90"/>
      <c r="I38" s="91"/>
    </row>
    <row r="39" spans="4:17">
      <c r="D39" s="48" t="s">
        <v>508</v>
      </c>
      <c r="E39" s="149">
        <f>3/8*0.85^2*E20/E21</f>
        <v>1.8062499999999995E-2</v>
      </c>
      <c r="I39" s="91"/>
      <c r="K39" s="306" t="s">
        <v>509</v>
      </c>
      <c r="L39" s="306"/>
      <c r="M39" s="306"/>
      <c r="N39" s="306"/>
      <c r="O39" s="306"/>
      <c r="P39" s="306"/>
      <c r="Q39" s="306"/>
    </row>
    <row r="40" spans="4:17">
      <c r="D40" s="48" t="s">
        <v>477</v>
      </c>
      <c r="E40" s="149">
        <f>+E39*E17*E26</f>
        <v>4.0640624999999982E-3</v>
      </c>
      <c r="F40" s="46" t="s">
        <v>86</v>
      </c>
      <c r="G40" s="128">
        <f>+E40*1000000</f>
        <v>4064.0624999999982</v>
      </c>
      <c r="H40" s="46" t="s">
        <v>456</v>
      </c>
      <c r="I40" s="91"/>
      <c r="K40" s="306" t="s">
        <v>479</v>
      </c>
      <c r="L40" s="306"/>
      <c r="M40" s="306"/>
      <c r="N40" s="306"/>
      <c r="O40" s="306"/>
      <c r="P40" s="306"/>
      <c r="Q40" s="306"/>
    </row>
    <row r="41" spans="4:17">
      <c r="D41" s="90"/>
      <c r="I41" s="91"/>
      <c r="K41" s="306"/>
      <c r="L41" s="306"/>
      <c r="M41" s="306"/>
      <c r="N41" s="306"/>
      <c r="O41" s="306"/>
      <c r="P41" s="306"/>
      <c r="Q41" s="306"/>
    </row>
    <row r="42" spans="4:17">
      <c r="D42" s="48" t="s">
        <v>455</v>
      </c>
      <c r="E42" s="150">
        <f>MAX(E37,E31)</f>
        <v>7.4999999999999991E-4</v>
      </c>
      <c r="F42" s="46" t="s">
        <v>86</v>
      </c>
      <c r="G42" s="184">
        <f>+E42*1000000</f>
        <v>749.99999999999989</v>
      </c>
      <c r="H42" s="46" t="s">
        <v>456</v>
      </c>
      <c r="I42" s="91"/>
      <c r="K42" s="306" t="s">
        <v>507</v>
      </c>
      <c r="L42" s="306"/>
      <c r="M42" s="306"/>
      <c r="N42" s="306"/>
      <c r="O42" s="306"/>
      <c r="P42" s="306"/>
      <c r="Q42" s="306"/>
    </row>
    <row r="43" spans="4:17">
      <c r="D43" s="90"/>
      <c r="G43" s="99">
        <f>+G42/(10)^2</f>
        <v>7.4999999999999991</v>
      </c>
      <c r="H43" s="46" t="s">
        <v>548</v>
      </c>
      <c r="I43" s="91"/>
    </row>
    <row r="44" spans="4:17" ht="32.25" customHeight="1">
      <c r="D44" s="304" t="s">
        <v>506</v>
      </c>
      <c r="E44" s="305"/>
      <c r="F44" s="1" t="str">
        <f>+IF(E42&lt;E40, "Cumple!","No Cumple!")</f>
        <v>Cumple!</v>
      </c>
      <c r="I44" s="91"/>
      <c r="K44" s="306" t="s">
        <v>480</v>
      </c>
      <c r="L44" s="306"/>
      <c r="M44" s="306"/>
      <c r="N44" s="306"/>
      <c r="O44" s="306"/>
      <c r="P44" s="306"/>
      <c r="Q44" s="306"/>
    </row>
    <row r="45" spans="4:17">
      <c r="D45" s="164"/>
      <c r="E45" s="165"/>
      <c r="I45" s="91"/>
      <c r="K45" s="147"/>
      <c r="L45" s="147"/>
      <c r="M45" s="147"/>
      <c r="N45" s="147"/>
      <c r="O45" s="147"/>
      <c r="P45" s="147"/>
      <c r="Q45" s="147"/>
    </row>
    <row r="46" spans="4:17">
      <c r="D46" s="166" t="s">
        <v>485</v>
      </c>
      <c r="E46" s="151" t="s">
        <v>498</v>
      </c>
      <c r="F46" s="151" t="s">
        <v>499</v>
      </c>
      <c r="I46" s="91"/>
      <c r="K46" s="147"/>
      <c r="L46" s="147"/>
      <c r="M46" s="147"/>
      <c r="N46" s="147"/>
      <c r="O46" s="147"/>
      <c r="P46" s="147"/>
      <c r="Q46" s="147"/>
    </row>
    <row r="47" spans="4:17">
      <c r="D47" s="167" t="s">
        <v>486</v>
      </c>
      <c r="E47" s="115">
        <v>6.4</v>
      </c>
      <c r="F47" s="115">
        <v>32</v>
      </c>
      <c r="I47" s="91"/>
      <c r="K47" s="147"/>
      <c r="L47" s="147"/>
      <c r="M47" s="147"/>
      <c r="N47" s="147"/>
      <c r="O47" s="147"/>
      <c r="P47" s="147"/>
      <c r="Q47" s="147"/>
    </row>
    <row r="48" spans="4:17">
      <c r="D48" s="167" t="s">
        <v>487</v>
      </c>
      <c r="E48" s="115">
        <v>9.5</v>
      </c>
      <c r="F48" s="115">
        <v>71</v>
      </c>
      <c r="I48" s="91"/>
      <c r="K48" s="147"/>
      <c r="L48" s="147"/>
      <c r="M48" s="147"/>
      <c r="N48" s="147"/>
      <c r="O48" s="147"/>
      <c r="P48" s="147"/>
      <c r="Q48" s="147"/>
    </row>
    <row r="49" spans="3:17">
      <c r="D49" s="167" t="s">
        <v>488</v>
      </c>
      <c r="E49" s="115">
        <v>12.7</v>
      </c>
      <c r="F49" s="115">
        <v>129</v>
      </c>
      <c r="I49" s="91"/>
      <c r="K49" s="147"/>
      <c r="L49" s="147"/>
      <c r="M49" s="147"/>
      <c r="N49" s="147"/>
      <c r="O49" s="147"/>
      <c r="P49" s="147"/>
      <c r="Q49" s="147"/>
    </row>
    <row r="50" spans="3:17">
      <c r="D50" s="167" t="s">
        <v>489</v>
      </c>
      <c r="E50" s="115">
        <v>15.9</v>
      </c>
      <c r="F50" s="115">
        <v>199</v>
      </c>
      <c r="I50" s="91"/>
      <c r="K50" s="147"/>
      <c r="L50" s="147"/>
      <c r="M50" s="147"/>
      <c r="N50" s="147"/>
      <c r="O50" s="147"/>
      <c r="P50" s="147"/>
      <c r="Q50" s="147"/>
    </row>
    <row r="51" spans="3:17">
      <c r="D51" s="167" t="s">
        <v>490</v>
      </c>
      <c r="E51" s="115">
        <v>19.100000000000001</v>
      </c>
      <c r="F51" s="115">
        <v>284</v>
      </c>
      <c r="I51" s="91"/>
      <c r="K51" s="147"/>
      <c r="L51" s="147"/>
      <c r="M51" s="147"/>
      <c r="N51" s="147"/>
      <c r="O51" s="147"/>
      <c r="P51" s="147"/>
      <c r="Q51" s="147"/>
    </row>
    <row r="52" spans="3:17">
      <c r="D52" s="167" t="s">
        <v>491</v>
      </c>
      <c r="E52" s="115">
        <v>22.2</v>
      </c>
      <c r="F52" s="115">
        <v>387</v>
      </c>
      <c r="I52" s="91"/>
      <c r="K52" s="147"/>
      <c r="L52" s="147"/>
      <c r="M52" s="147"/>
      <c r="N52" s="147"/>
      <c r="O52" s="147"/>
      <c r="P52" s="147"/>
      <c r="Q52" s="147"/>
    </row>
    <row r="53" spans="3:17">
      <c r="D53" s="167" t="s">
        <v>492</v>
      </c>
      <c r="E53" s="115">
        <v>25.4</v>
      </c>
      <c r="F53" s="115">
        <v>510</v>
      </c>
      <c r="I53" s="91"/>
      <c r="K53" s="147"/>
      <c r="L53" s="147"/>
      <c r="M53" s="147"/>
      <c r="N53" s="147"/>
      <c r="O53" s="147"/>
      <c r="P53" s="147"/>
      <c r="Q53" s="147"/>
    </row>
    <row r="54" spans="3:17">
      <c r="C54" s="159">
        <v>0</v>
      </c>
      <c r="D54" s="167" t="s">
        <v>493</v>
      </c>
      <c r="E54" s="115">
        <v>28.7</v>
      </c>
      <c r="F54" s="115">
        <v>645</v>
      </c>
      <c r="I54" s="91"/>
      <c r="K54" s="147"/>
      <c r="L54" s="147"/>
      <c r="M54" s="147"/>
      <c r="N54" s="147"/>
      <c r="O54" s="147"/>
      <c r="P54" s="147"/>
      <c r="Q54" s="147"/>
    </row>
    <row r="55" spans="3:17">
      <c r="C55" s="159">
        <v>1</v>
      </c>
      <c r="D55" s="167" t="s">
        <v>494</v>
      </c>
      <c r="E55" s="115">
        <v>32.299999999999997</v>
      </c>
      <c r="F55" s="115">
        <v>819</v>
      </c>
      <c r="I55" s="91"/>
      <c r="K55" s="147"/>
      <c r="L55" s="147"/>
      <c r="M55" s="147"/>
      <c r="N55" s="147"/>
      <c r="O55" s="147"/>
      <c r="P55" s="147"/>
      <c r="Q55" s="147"/>
    </row>
    <row r="56" spans="3:17">
      <c r="C56" s="159">
        <v>2</v>
      </c>
      <c r="D56" s="167" t="s">
        <v>495</v>
      </c>
      <c r="E56" s="115">
        <v>35.799999999999997</v>
      </c>
      <c r="F56" s="115">
        <v>1006</v>
      </c>
      <c r="I56" s="91"/>
      <c r="K56" s="147"/>
      <c r="L56" s="147"/>
      <c r="M56" s="147"/>
      <c r="N56" s="147"/>
      <c r="O56" s="147"/>
      <c r="P56" s="147"/>
      <c r="Q56" s="147"/>
    </row>
    <row r="57" spans="3:17">
      <c r="C57" s="159">
        <v>3</v>
      </c>
      <c r="D57" s="167" t="s">
        <v>496</v>
      </c>
      <c r="E57" s="115">
        <v>43</v>
      </c>
      <c r="F57" s="115">
        <v>1452</v>
      </c>
      <c r="I57" s="91"/>
      <c r="K57" s="147"/>
      <c r="L57" s="147"/>
      <c r="M57" s="147"/>
      <c r="N57" s="147"/>
      <c r="O57" s="147"/>
      <c r="P57" s="147"/>
      <c r="Q57" s="147"/>
    </row>
    <row r="58" spans="3:17">
      <c r="C58" s="159">
        <v>4</v>
      </c>
      <c r="D58" s="167" t="s">
        <v>497</v>
      </c>
      <c r="E58" s="115">
        <v>57.3</v>
      </c>
      <c r="F58" s="115">
        <v>2581</v>
      </c>
      <c r="I58" s="91"/>
      <c r="K58" s="147"/>
      <c r="L58" s="147"/>
      <c r="M58" s="147"/>
      <c r="N58" s="147"/>
      <c r="O58" s="147"/>
      <c r="P58" s="147"/>
      <c r="Q58" s="147"/>
    </row>
    <row r="59" spans="3:17">
      <c r="C59" s="159">
        <v>5</v>
      </c>
      <c r="D59" s="168" t="s">
        <v>523</v>
      </c>
      <c r="E59" s="160">
        <v>0</v>
      </c>
      <c r="F59" s="160">
        <v>0</v>
      </c>
      <c r="I59" s="91"/>
    </row>
    <row r="60" spans="3:17">
      <c r="C60" s="159">
        <v>6</v>
      </c>
      <c r="D60" s="48" t="s">
        <v>481</v>
      </c>
      <c r="E60" s="157">
        <v>7</v>
      </c>
      <c r="I60" s="91"/>
      <c r="K60" s="27" t="s">
        <v>501</v>
      </c>
    </row>
    <row r="61" spans="3:17">
      <c r="C61" s="159">
        <v>7</v>
      </c>
      <c r="D61" s="48" t="s">
        <v>482</v>
      </c>
      <c r="E61" s="156" t="s">
        <v>489</v>
      </c>
      <c r="I61" s="91"/>
      <c r="K61" s="27" t="s">
        <v>502</v>
      </c>
    </row>
    <row r="62" spans="3:17">
      <c r="C62" s="159">
        <v>8</v>
      </c>
      <c r="D62" s="48" t="s">
        <v>483</v>
      </c>
      <c r="E62" s="115">
        <f>(VLOOKUP(E61,$D$47:$F$58,3))</f>
        <v>199</v>
      </c>
      <c r="F62" s="46" t="s">
        <v>456</v>
      </c>
      <c r="G62" s="149">
        <f>E62/1000</f>
        <v>0.19900000000000001</v>
      </c>
      <c r="H62" s="46" t="s">
        <v>86</v>
      </c>
      <c r="I62" s="91"/>
      <c r="K62" s="27" t="s">
        <v>503</v>
      </c>
    </row>
    <row r="63" spans="3:17">
      <c r="C63" s="159">
        <v>9</v>
      </c>
      <c r="D63" s="48" t="s">
        <v>484</v>
      </c>
      <c r="E63" s="183">
        <f>+E62*E60</f>
        <v>1393</v>
      </c>
      <c r="F63" s="46" t="s">
        <v>533</v>
      </c>
      <c r="G63" s="183">
        <f>+E63/100</f>
        <v>13.93</v>
      </c>
      <c r="H63" s="46" t="s">
        <v>549</v>
      </c>
      <c r="I63" s="91"/>
      <c r="K63" s="27" t="s">
        <v>504</v>
      </c>
    </row>
    <row r="64" spans="3:17">
      <c r="C64" s="159">
        <v>10</v>
      </c>
      <c r="D64" s="90"/>
      <c r="I64" s="91"/>
    </row>
    <row r="65" spans="3:9" ht="31.5" customHeight="1">
      <c r="C65" s="159">
        <v>11</v>
      </c>
      <c r="D65" s="304" t="s">
        <v>500</v>
      </c>
      <c r="E65" s="305"/>
      <c r="F65" s="1" t="str">
        <f>+IF(G42&lt;E63, "Cumple!","No Cumple!")</f>
        <v>Cumple!</v>
      </c>
      <c r="I65" s="91"/>
    </row>
    <row r="66" spans="3:9">
      <c r="C66" s="159">
        <v>12</v>
      </c>
      <c r="D66" s="90"/>
      <c r="I66" s="91"/>
    </row>
    <row r="67" spans="3:9" ht="15.75" thickBot="1">
      <c r="C67" s="159">
        <v>13</v>
      </c>
      <c r="D67" s="92"/>
      <c r="E67" s="93"/>
      <c r="F67" s="93"/>
      <c r="G67" s="93"/>
      <c r="H67" s="93"/>
      <c r="I67" s="94"/>
    </row>
    <row r="68" spans="3:9" ht="15.75" thickBot="1">
      <c r="C68" s="159">
        <v>14</v>
      </c>
      <c r="D68" s="216" t="s">
        <v>510</v>
      </c>
      <c r="E68" s="217"/>
      <c r="F68" s="217"/>
      <c r="G68" s="217"/>
      <c r="H68" s="217"/>
      <c r="I68" s="218"/>
    </row>
    <row r="69" spans="3:9" s="1" customFormat="1" ht="15.75" thickBot="1">
      <c r="C69" s="159">
        <v>15</v>
      </c>
      <c r="D69" s="216" t="s">
        <v>520</v>
      </c>
      <c r="E69" s="217"/>
      <c r="F69" s="217"/>
      <c r="G69" s="217"/>
      <c r="H69" s="217"/>
      <c r="I69" s="218"/>
    </row>
    <row r="70" spans="3:9" s="1" customFormat="1">
      <c r="C70" s="159">
        <v>16</v>
      </c>
      <c r="D70" s="30"/>
      <c r="E70" s="74" t="s">
        <v>404</v>
      </c>
      <c r="F70" s="74" t="s">
        <v>340</v>
      </c>
      <c r="G70" s="74" t="s">
        <v>516</v>
      </c>
      <c r="H70" s="74" t="s">
        <v>517</v>
      </c>
      <c r="I70" s="32"/>
    </row>
    <row r="71" spans="3:9" s="1" customFormat="1">
      <c r="C71" s="159">
        <v>17</v>
      </c>
      <c r="D71" s="48" t="s">
        <v>518</v>
      </c>
      <c r="E71" s="6" t="e">
        <f>+'Capacidad de Carga'!#REF!</f>
        <v>#REF!</v>
      </c>
      <c r="F71" s="6">
        <f>+'Capacidad de Carga'!F43</f>
        <v>176.85669768662916</v>
      </c>
      <c r="G71" s="6" t="e">
        <f>+'Capacidad de Carga'!#REF!</f>
        <v>#REF!</v>
      </c>
      <c r="H71" s="6" t="e">
        <f>+'Capacidad de Carga'!#REF!</f>
        <v>#REF!</v>
      </c>
      <c r="I71" s="2"/>
    </row>
    <row r="72" spans="3:9" s="1" customFormat="1">
      <c r="C72" s="159">
        <v>18</v>
      </c>
      <c r="D72" s="48" t="s">
        <v>350</v>
      </c>
      <c r="E72" s="6" t="e">
        <f>+'Capacidad de Carga'!#REF!</f>
        <v>#REF!</v>
      </c>
      <c r="F72" s="6">
        <f>+'Capacidad de Carga'!F46</f>
        <v>2.7598982607808464E-2</v>
      </c>
      <c r="G72" s="6" t="e">
        <f>+'Capacidad de Carga'!#REF!</f>
        <v>#REF!</v>
      </c>
      <c r="H72" s="6" t="e">
        <f>+'Capacidad de Carga'!#REF!</f>
        <v>#REF!</v>
      </c>
      <c r="I72" s="2"/>
    </row>
    <row r="73" spans="3:9" s="1" customFormat="1">
      <c r="C73" s="159">
        <v>19</v>
      </c>
      <c r="D73" s="5"/>
      <c r="I73" s="2"/>
    </row>
    <row r="74" spans="3:9" s="1" customFormat="1">
      <c r="C74" s="159">
        <v>20</v>
      </c>
      <c r="D74" s="48" t="s">
        <v>511</v>
      </c>
      <c r="E74" s="6">
        <f>+F71</f>
        <v>176.85669768662916</v>
      </c>
      <c r="F74" s="46" t="s">
        <v>88</v>
      </c>
      <c r="I74" s="2"/>
    </row>
    <row r="75" spans="3:9" s="1" customFormat="1">
      <c r="C75" s="159">
        <v>21</v>
      </c>
      <c r="D75" s="48" t="s">
        <v>265</v>
      </c>
      <c r="E75" s="6">
        <f>+'Dimensiones Muro'!D16</f>
        <v>2.9</v>
      </c>
      <c r="F75" s="46" t="s">
        <v>3</v>
      </c>
      <c r="I75" s="2"/>
    </row>
    <row r="76" spans="3:9" s="1" customFormat="1">
      <c r="C76" s="159">
        <v>22</v>
      </c>
      <c r="D76" s="48" t="s">
        <v>350</v>
      </c>
      <c r="E76" s="6">
        <f>+F72</f>
        <v>2.7598982607808464E-2</v>
      </c>
      <c r="G76" s="52"/>
      <c r="I76" s="2"/>
    </row>
    <row r="77" spans="3:9" s="1" customFormat="1">
      <c r="C77" s="159">
        <v>23</v>
      </c>
      <c r="D77" s="5"/>
      <c r="I77" s="2"/>
    </row>
    <row r="78" spans="3:9" s="1" customFormat="1">
      <c r="C78" s="159">
        <v>24</v>
      </c>
      <c r="D78" s="48" t="s">
        <v>512</v>
      </c>
      <c r="E78" s="6">
        <f>+E74/E75*(1+6*E76/E75)</f>
        <v>64.467397483042916</v>
      </c>
      <c r="F78" s="46" t="s">
        <v>88</v>
      </c>
      <c r="I78" s="2"/>
    </row>
    <row r="79" spans="3:9" s="1" customFormat="1">
      <c r="C79" s="159">
        <v>25</v>
      </c>
      <c r="D79" s="48" t="s">
        <v>513</v>
      </c>
      <c r="E79" s="6">
        <f>+E74/E75*(1-6*E76/E75)</f>
        <v>57.502738852563411</v>
      </c>
      <c r="F79" s="46" t="s">
        <v>88</v>
      </c>
      <c r="I79" s="2"/>
    </row>
    <row r="80" spans="3:9" s="1" customFormat="1" ht="15.75" thickBot="1">
      <c r="C80" s="159">
        <v>26</v>
      </c>
      <c r="D80" s="5"/>
      <c r="I80" s="2"/>
    </row>
    <row r="81" spans="3:9" s="1" customFormat="1">
      <c r="C81" s="159">
        <v>27</v>
      </c>
      <c r="D81" s="239" t="s">
        <v>168</v>
      </c>
      <c r="E81" s="240"/>
      <c r="I81" s="2"/>
    </row>
    <row r="82" spans="3:9" s="1" customFormat="1">
      <c r="C82" s="159">
        <v>28</v>
      </c>
      <c r="D82" s="67" t="s">
        <v>169</v>
      </c>
      <c r="E82" s="58">
        <v>0</v>
      </c>
      <c r="I82" s="2"/>
    </row>
    <row r="83" spans="3:9" s="1" customFormat="1">
      <c r="C83" s="159">
        <v>29</v>
      </c>
      <c r="D83" s="3" t="s">
        <v>170</v>
      </c>
      <c r="E83" s="73">
        <f>+E78</f>
        <v>64.467397483042916</v>
      </c>
      <c r="I83" s="2"/>
    </row>
    <row r="84" spans="3:9" s="1" customFormat="1">
      <c r="C84" s="159">
        <v>30</v>
      </c>
      <c r="D84" s="68"/>
      <c r="E84" s="69"/>
      <c r="I84" s="2"/>
    </row>
    <row r="85" spans="3:9" s="1" customFormat="1">
      <c r="C85" s="161"/>
      <c r="D85" s="3" t="s">
        <v>171</v>
      </c>
      <c r="E85" s="73">
        <f>+E75</f>
        <v>2.9</v>
      </c>
      <c r="I85" s="2"/>
    </row>
    <row r="86" spans="3:9" s="1" customFormat="1">
      <c r="D86" s="3" t="s">
        <v>172</v>
      </c>
      <c r="E86" s="73">
        <f>+E79</f>
        <v>57.502738852563411</v>
      </c>
      <c r="I86" s="2"/>
    </row>
    <row r="87" spans="3:9" s="1" customFormat="1">
      <c r="D87" s="68"/>
      <c r="E87" s="69"/>
      <c r="I87" s="2"/>
    </row>
    <row r="88" spans="3:9" s="1" customFormat="1">
      <c r="D88" s="3" t="s">
        <v>173</v>
      </c>
      <c r="E88" s="58">
        <f>(E86-E83)/(E85-E82)</f>
        <v>-2.4016064243032775</v>
      </c>
      <c r="I88" s="2"/>
    </row>
    <row r="89" spans="3:9" s="1" customFormat="1">
      <c r="D89" s="68"/>
      <c r="E89" s="69"/>
      <c r="I89" s="2"/>
    </row>
    <row r="90" spans="3:9" s="1" customFormat="1">
      <c r="D90" s="3" t="s">
        <v>174</v>
      </c>
      <c r="E90" s="73">
        <f>((E91-E83)/E88)+E82</f>
        <v>26.843448131491964</v>
      </c>
      <c r="I90" s="2"/>
    </row>
    <row r="91" spans="3:9" s="1" customFormat="1" ht="15.75" thickBot="1">
      <c r="D91" s="70" t="s">
        <v>175</v>
      </c>
      <c r="E91" s="71">
        <v>0</v>
      </c>
      <c r="I91" s="2"/>
    </row>
    <row r="92" spans="3:9" s="1" customFormat="1">
      <c r="D92" s="5"/>
      <c r="I92" s="2"/>
    </row>
    <row r="93" spans="3:9" s="1" customFormat="1">
      <c r="D93" s="48" t="s">
        <v>514</v>
      </c>
      <c r="E93" s="6">
        <f>+((E78-E79)*E75^2)/6+E79*(E75^2)/2</f>
        <v>251.56114672208457</v>
      </c>
      <c r="F93" s="46" t="s">
        <v>253</v>
      </c>
      <c r="I93" s="2"/>
    </row>
    <row r="94" spans="3:9" s="1" customFormat="1">
      <c r="D94" s="48" t="s">
        <v>515</v>
      </c>
      <c r="E94" s="6">
        <f>+E90*E78/2*E90/3</f>
        <v>7742.2197034532483</v>
      </c>
      <c r="F94" s="46" t="s">
        <v>253</v>
      </c>
      <c r="I94" s="2"/>
    </row>
    <row r="95" spans="3:9" s="1" customFormat="1">
      <c r="D95" s="5"/>
      <c r="I95" s="2"/>
    </row>
    <row r="96" spans="3:9" s="1" customFormat="1">
      <c r="D96" s="48" t="s">
        <v>371</v>
      </c>
      <c r="E96" s="163">
        <f>+IF(E79&lt;0,E94,E93)</f>
        <v>251.56114672208457</v>
      </c>
      <c r="F96" s="46" t="s">
        <v>253</v>
      </c>
      <c r="I96" s="2"/>
    </row>
    <row r="97" spans="4:9" s="1" customFormat="1">
      <c r="D97" s="5"/>
      <c r="I97" s="2"/>
    </row>
    <row r="98" spans="4:9" s="1" customFormat="1">
      <c r="D98" s="48" t="s">
        <v>374</v>
      </c>
      <c r="E98" s="128">
        <f>+E20</f>
        <v>28</v>
      </c>
      <c r="F98" s="46" t="s">
        <v>378</v>
      </c>
      <c r="G98" s="46" t="s">
        <v>457</v>
      </c>
      <c r="I98" s="2"/>
    </row>
    <row r="99" spans="4:9" s="1" customFormat="1">
      <c r="D99" s="48" t="s">
        <v>375</v>
      </c>
      <c r="E99" s="128">
        <f>+E21</f>
        <v>420</v>
      </c>
      <c r="F99" s="46" t="s">
        <v>378</v>
      </c>
      <c r="G99" s="46" t="s">
        <v>457</v>
      </c>
      <c r="I99" s="2"/>
    </row>
    <row r="100" spans="4:9" s="1" customFormat="1">
      <c r="D100" s="5"/>
      <c r="I100" s="2"/>
    </row>
    <row r="101" spans="4:9" s="1" customFormat="1">
      <c r="D101" s="48" t="s">
        <v>376</v>
      </c>
      <c r="E101" s="128">
        <f>+E16</f>
        <v>0.3</v>
      </c>
      <c r="F101" s="46" t="s">
        <v>3</v>
      </c>
      <c r="I101" s="2"/>
    </row>
    <row r="102" spans="4:9" s="1" customFormat="1">
      <c r="D102" s="48" t="s">
        <v>373</v>
      </c>
      <c r="E102" s="128">
        <f t="shared" ref="E102:E103" si="1">+E17</f>
        <v>1</v>
      </c>
      <c r="F102" s="46" t="s">
        <v>3</v>
      </c>
      <c r="I102" s="2"/>
    </row>
    <row r="103" spans="4:9" s="1" customFormat="1">
      <c r="D103" s="48" t="s">
        <v>377</v>
      </c>
      <c r="E103" s="128">
        <f t="shared" si="1"/>
        <v>3.5</v>
      </c>
      <c r="F103" s="46" t="s">
        <v>3</v>
      </c>
      <c r="I103" s="2"/>
    </row>
    <row r="104" spans="4:9" s="1" customFormat="1">
      <c r="D104" s="5"/>
      <c r="I104" s="2"/>
    </row>
    <row r="105" spans="4:9" s="1" customFormat="1">
      <c r="D105" s="48" t="s">
        <v>476</v>
      </c>
      <c r="E105" s="149">
        <f>+E23</f>
        <v>7.4999999999999997E-2</v>
      </c>
      <c r="F105" s="46" t="s">
        <v>3</v>
      </c>
      <c r="I105" s="2"/>
    </row>
    <row r="106" spans="4:9" s="1" customFormat="1">
      <c r="D106" s="48" t="s">
        <v>371</v>
      </c>
      <c r="E106" s="6">
        <f>+E96</f>
        <v>251.56114672208457</v>
      </c>
      <c r="F106" s="46" t="s">
        <v>253</v>
      </c>
      <c r="I106" s="2"/>
    </row>
    <row r="107" spans="4:9" s="1" customFormat="1">
      <c r="D107" s="48" t="s">
        <v>372</v>
      </c>
      <c r="E107" s="128">
        <f>+E25</f>
        <v>0.9</v>
      </c>
      <c r="F107" s="46"/>
      <c r="I107" s="2"/>
    </row>
    <row r="108" spans="4:9" s="1" customFormat="1">
      <c r="D108" s="48" t="s">
        <v>235</v>
      </c>
      <c r="E108" s="128">
        <f>+E26</f>
        <v>0.22499999999999998</v>
      </c>
      <c r="F108" s="46" t="s">
        <v>3</v>
      </c>
      <c r="I108" s="2"/>
    </row>
    <row r="109" spans="4:9" s="1" customFormat="1">
      <c r="D109" s="5"/>
      <c r="I109" s="2"/>
    </row>
    <row r="110" spans="4:9" s="1" customFormat="1">
      <c r="D110" s="48" t="s">
        <v>453</v>
      </c>
      <c r="E110" s="128">
        <f>+E96/E107</f>
        <v>279.51238524676063</v>
      </c>
      <c r="F110" s="46" t="s">
        <v>253</v>
      </c>
      <c r="G110"/>
      <c r="H110"/>
      <c r="I110" s="91"/>
    </row>
    <row r="111" spans="4:9" s="1" customFormat="1">
      <c r="D111" s="90"/>
      <c r="E111"/>
      <c r="F111"/>
      <c r="G111"/>
      <c r="H111"/>
      <c r="I111" s="91"/>
    </row>
    <row r="112" spans="4:9" s="1" customFormat="1" ht="15.75" thickBot="1">
      <c r="D112" s="48" t="s">
        <v>454</v>
      </c>
      <c r="E112" s="128">
        <f>+E113*E99*1000*(E108-(E113*E99)/(1.7*E98*E102))</f>
        <v>94.900547951396959</v>
      </c>
      <c r="F112" s="46" t="s">
        <v>253</v>
      </c>
      <c r="G112"/>
      <c r="H112"/>
      <c r="I112" s="91"/>
    </row>
    <row r="113" spans="4:9" s="1" customFormat="1" ht="15.75" thickBot="1">
      <c r="D113" s="48" t="s">
        <v>455</v>
      </c>
      <c r="E113" s="152">
        <v>1.0472475189738921E-3</v>
      </c>
      <c r="F113" s="46" t="s">
        <v>86</v>
      </c>
      <c r="G113" s="128">
        <f>+E113*1000000</f>
        <v>1047.2475189738921</v>
      </c>
      <c r="H113" s="50" t="s">
        <v>456</v>
      </c>
      <c r="I113" s="153" t="s">
        <v>505</v>
      </c>
    </row>
    <row r="114" spans="4:9" s="1" customFormat="1">
      <c r="D114" s="90"/>
      <c r="E114"/>
      <c r="F114"/>
      <c r="G114"/>
      <c r="H114"/>
      <c r="I114" s="91"/>
    </row>
    <row r="115" spans="4:9" s="1" customFormat="1">
      <c r="D115" s="48" t="s">
        <v>459</v>
      </c>
      <c r="E115" s="146">
        <f>1.4/E99</f>
        <v>3.3333333333333331E-3</v>
      </c>
      <c r="F115"/>
      <c r="G115"/>
      <c r="H115"/>
      <c r="I115" s="91"/>
    </row>
    <row r="116" spans="4:9" s="1" customFormat="1">
      <c r="D116" s="48" t="s">
        <v>459</v>
      </c>
      <c r="E116" s="146">
        <f>SQRT(E98)/(4*E99)</f>
        <v>3.1497039417435605E-3</v>
      </c>
      <c r="F116"/>
      <c r="G116"/>
      <c r="H116"/>
      <c r="I116" s="91"/>
    </row>
    <row r="117" spans="4:9" s="1" customFormat="1">
      <c r="D117" s="90"/>
      <c r="E117"/>
      <c r="F117"/>
      <c r="G117"/>
      <c r="H117"/>
      <c r="I117" s="91"/>
    </row>
    <row r="118" spans="4:9" s="1" customFormat="1">
      <c r="D118" s="48" t="s">
        <v>459</v>
      </c>
      <c r="E118" s="146">
        <f>+MAX(E115:E116)</f>
        <v>3.3333333333333331E-3</v>
      </c>
      <c r="F118"/>
      <c r="G118"/>
      <c r="H118"/>
      <c r="I118" s="91"/>
    </row>
    <row r="119" spans="4:9" s="1" customFormat="1">
      <c r="D119" s="48" t="s">
        <v>458</v>
      </c>
      <c r="E119" s="115">
        <f>+E118*E108*E102</f>
        <v>7.4999999999999991E-4</v>
      </c>
      <c r="F119" s="46" t="s">
        <v>86</v>
      </c>
      <c r="G119" s="128">
        <f>+E119*1000000</f>
        <v>749.99999999999989</v>
      </c>
      <c r="H119" s="46" t="s">
        <v>456</v>
      </c>
      <c r="I119" s="91"/>
    </row>
    <row r="120" spans="4:9" s="1" customFormat="1">
      <c r="D120" s="90"/>
      <c r="E120"/>
      <c r="F120"/>
      <c r="G120"/>
      <c r="H120"/>
      <c r="I120" s="91"/>
    </row>
    <row r="121" spans="4:9" s="1" customFormat="1">
      <c r="D121" s="48" t="s">
        <v>508</v>
      </c>
      <c r="E121" s="149">
        <f>3/8*0.85^2*E98/E99</f>
        <v>1.8062499999999995E-2</v>
      </c>
      <c r="F121"/>
      <c r="G121"/>
      <c r="H121"/>
      <c r="I121" s="91"/>
    </row>
    <row r="122" spans="4:9" s="1" customFormat="1">
      <c r="D122" s="48" t="s">
        <v>477</v>
      </c>
      <c r="E122" s="149">
        <f>+E121*E102*E108</f>
        <v>4.0640624999999982E-3</v>
      </c>
      <c r="F122" s="46" t="s">
        <v>86</v>
      </c>
      <c r="G122" s="128">
        <f>+E122*1000000</f>
        <v>4064.0624999999982</v>
      </c>
      <c r="H122" s="46" t="s">
        <v>456</v>
      </c>
      <c r="I122" s="91"/>
    </row>
    <row r="123" spans="4:9" s="1" customFormat="1">
      <c r="D123" s="90"/>
      <c r="E123"/>
      <c r="F123"/>
      <c r="G123"/>
      <c r="H123"/>
      <c r="I123" s="91"/>
    </row>
    <row r="124" spans="4:9" s="1" customFormat="1">
      <c r="D124" s="48" t="s">
        <v>455</v>
      </c>
      <c r="E124" s="150">
        <f>MAX(E119,E113)</f>
        <v>1.0472475189738921E-3</v>
      </c>
      <c r="F124" s="46" t="s">
        <v>86</v>
      </c>
      <c r="G124" s="184">
        <f>+E124*1000000</f>
        <v>1047.2475189738921</v>
      </c>
      <c r="H124" s="46" t="s">
        <v>456</v>
      </c>
      <c r="I124" s="91"/>
    </row>
    <row r="125" spans="4:9" s="1" customFormat="1">
      <c r="D125" s="5"/>
      <c r="G125" s="99">
        <f>+G124/(10)^2</f>
        <v>10.472475189738921</v>
      </c>
      <c r="H125" s="46" t="s">
        <v>548</v>
      </c>
      <c r="I125" s="2"/>
    </row>
    <row r="126" spans="4:9" s="1" customFormat="1" ht="33" customHeight="1">
      <c r="D126" s="304" t="s">
        <v>506</v>
      </c>
      <c r="E126" s="305"/>
      <c r="F126" s="1" t="str">
        <f>+IF(AND(E119&lt;E124,E124&lt;E122),"Cumple!","No Cumple!")</f>
        <v>Cumple!</v>
      </c>
      <c r="I126" s="2"/>
    </row>
    <row r="127" spans="4:9" s="1" customFormat="1">
      <c r="D127" s="5"/>
      <c r="I127" s="2"/>
    </row>
    <row r="128" spans="4:9" s="1" customFormat="1">
      <c r="D128" s="48" t="s">
        <v>481</v>
      </c>
      <c r="E128" s="157">
        <v>7</v>
      </c>
      <c r="F128"/>
      <c r="G128"/>
      <c r="H128"/>
      <c r="I128" s="2"/>
    </row>
    <row r="129" spans="4:9" s="1" customFormat="1">
      <c r="D129" s="48" t="s">
        <v>482</v>
      </c>
      <c r="E129" s="156" t="s">
        <v>489</v>
      </c>
      <c r="F129"/>
      <c r="H129"/>
      <c r="I129" s="2"/>
    </row>
    <row r="130" spans="4:9" s="1" customFormat="1">
      <c r="D130" s="48" t="s">
        <v>483</v>
      </c>
      <c r="E130" s="115">
        <f>+VLOOKUP(E129,$D$47:$F$59,3)</f>
        <v>199</v>
      </c>
      <c r="F130" s="46" t="s">
        <v>456</v>
      </c>
      <c r="G130" s="149">
        <f>E130/1000</f>
        <v>0.19900000000000001</v>
      </c>
      <c r="H130" s="46" t="s">
        <v>86</v>
      </c>
      <c r="I130" s="2"/>
    </row>
    <row r="131" spans="4:9" s="1" customFormat="1">
      <c r="D131" s="48" t="s">
        <v>484</v>
      </c>
      <c r="E131" s="183">
        <f>+E130*E128</f>
        <v>1393</v>
      </c>
      <c r="F131" s="46" t="s">
        <v>533</v>
      </c>
      <c r="G131" s="183">
        <f>+E131/100</f>
        <v>13.93</v>
      </c>
      <c r="H131" s="46" t="s">
        <v>549</v>
      </c>
      <c r="I131" s="2"/>
    </row>
    <row r="132" spans="4:9" s="1" customFormat="1">
      <c r="D132" s="90"/>
      <c r="E132"/>
      <c r="F132"/>
      <c r="G132"/>
      <c r="H132"/>
      <c r="I132" s="2"/>
    </row>
    <row r="133" spans="4:9" s="1" customFormat="1">
      <c r="D133" s="304" t="s">
        <v>500</v>
      </c>
      <c r="E133" s="305"/>
      <c r="F133" s="1" t="str">
        <f>+IF(E131&gt;G124,"Cumple!","No Cumple!")</f>
        <v>Cumple!</v>
      </c>
      <c r="G133"/>
      <c r="H133"/>
      <c r="I133" s="2"/>
    </row>
    <row r="134" spans="4:9" s="1" customFormat="1" ht="15.75" thickBot="1">
      <c r="D134" s="7"/>
      <c r="E134" s="8"/>
      <c r="F134" s="8"/>
      <c r="G134" s="8"/>
      <c r="H134" s="8"/>
      <c r="I134" s="9"/>
    </row>
    <row r="135" spans="4:9" s="1" customFormat="1" ht="15.75" thickBot="1">
      <c r="D135" s="216" t="s">
        <v>521</v>
      </c>
      <c r="E135" s="217"/>
      <c r="F135" s="217"/>
      <c r="G135" s="217"/>
      <c r="H135" s="217"/>
      <c r="I135" s="218"/>
    </row>
    <row r="136" spans="4:9" s="1" customFormat="1" hidden="1">
      <c r="D136" s="30"/>
      <c r="E136" s="31"/>
      <c r="F136" s="31"/>
      <c r="G136" s="31"/>
      <c r="H136" s="31"/>
      <c r="I136" s="32"/>
    </row>
    <row r="137" spans="4:9" s="1" customFormat="1" hidden="1">
      <c r="D137" s="48" t="s">
        <v>512</v>
      </c>
      <c r="E137" s="6">
        <f>+E78</f>
        <v>64.467397483042916</v>
      </c>
      <c r="F137" s="46" t="s">
        <v>88</v>
      </c>
      <c r="I137" s="2"/>
    </row>
    <row r="138" spans="4:9" s="1" customFormat="1" hidden="1">
      <c r="D138" s="48" t="s">
        <v>513</v>
      </c>
      <c r="E138" s="6">
        <f>+E79</f>
        <v>57.502738852563411</v>
      </c>
      <c r="F138" s="46" t="s">
        <v>88</v>
      </c>
      <c r="I138" s="2"/>
    </row>
    <row r="139" spans="4:9" s="1" customFormat="1" ht="15.75" hidden="1" thickBot="1">
      <c r="D139" s="5"/>
      <c r="I139" s="2"/>
    </row>
    <row r="140" spans="4:9" s="1" customFormat="1" hidden="1">
      <c r="D140" s="239" t="s">
        <v>168</v>
      </c>
      <c r="E140" s="240"/>
      <c r="I140" s="2"/>
    </row>
    <row r="141" spans="4:9" s="1" customFormat="1" hidden="1">
      <c r="D141" s="67" t="s">
        <v>169</v>
      </c>
      <c r="E141" s="58">
        <f>+E82</f>
        <v>0</v>
      </c>
      <c r="I141" s="2"/>
    </row>
    <row r="142" spans="4:9" s="1" customFormat="1" hidden="1">
      <c r="D142" s="3" t="s">
        <v>170</v>
      </c>
      <c r="E142" s="73">
        <f>+E83</f>
        <v>64.467397483042916</v>
      </c>
      <c r="I142" s="2"/>
    </row>
    <row r="143" spans="4:9" s="1" customFormat="1" hidden="1">
      <c r="D143" s="68"/>
      <c r="E143" s="69"/>
      <c r="I143" s="2"/>
    </row>
    <row r="144" spans="4:9" s="1" customFormat="1" hidden="1">
      <c r="D144" s="3" t="s">
        <v>171</v>
      </c>
      <c r="E144" s="73">
        <f>+E85</f>
        <v>2.9</v>
      </c>
      <c r="I144" s="2"/>
    </row>
    <row r="145" spans="4:9" s="1" customFormat="1" hidden="1">
      <c r="D145" s="3" t="s">
        <v>172</v>
      </c>
      <c r="E145" s="73">
        <f>+E86</f>
        <v>57.502738852563411</v>
      </c>
      <c r="I145" s="2"/>
    </row>
    <row r="146" spans="4:9" s="1" customFormat="1" hidden="1">
      <c r="D146" s="68"/>
      <c r="E146" s="69"/>
      <c r="I146" s="2"/>
    </row>
    <row r="147" spans="4:9" s="1" customFormat="1" hidden="1">
      <c r="D147" s="3" t="s">
        <v>173</v>
      </c>
      <c r="E147" s="58">
        <f>(E145-E142)/(E144-E141)</f>
        <v>-2.4016064243032775</v>
      </c>
      <c r="I147" s="2"/>
    </row>
    <row r="148" spans="4:9" s="1" customFormat="1" hidden="1">
      <c r="D148" s="68"/>
      <c r="E148" s="69"/>
      <c r="G148" s="52"/>
      <c r="I148" s="2"/>
    </row>
    <row r="149" spans="4:9" s="1" customFormat="1" hidden="1">
      <c r="D149" s="3" t="s">
        <v>174</v>
      </c>
      <c r="E149" s="58">
        <f>+'Dimensiones Muro'!B17-'Dimensiones Muro'!B9-'Dimensiones Muro'!B13</f>
        <v>0</v>
      </c>
      <c r="I149" s="2"/>
    </row>
    <row r="150" spans="4:9" s="1" customFormat="1" ht="15.75" hidden="1" thickBot="1">
      <c r="D150" s="70" t="s">
        <v>175</v>
      </c>
      <c r="E150" s="158">
        <f>E147*(E149-E141)+E142</f>
        <v>64.467397483042916</v>
      </c>
      <c r="I150" s="2"/>
    </row>
    <row r="151" spans="4:9" s="1" customFormat="1" hidden="1">
      <c r="D151" s="5"/>
      <c r="I151" s="2"/>
    </row>
    <row r="152" spans="4:9" s="1" customFormat="1" hidden="1">
      <c r="D152" s="48" t="s">
        <v>522</v>
      </c>
      <c r="E152" s="6">
        <f>+E150</f>
        <v>64.467397483042916</v>
      </c>
      <c r="F152" s="46" t="s">
        <v>88</v>
      </c>
      <c r="I152" s="2"/>
    </row>
    <row r="153" spans="4:9" s="1" customFormat="1" hidden="1">
      <c r="D153" s="5"/>
      <c r="I153" s="2"/>
    </row>
    <row r="154" spans="4:9" s="1" customFormat="1" hidden="1">
      <c r="D154" s="48" t="s">
        <v>371</v>
      </c>
      <c r="E154" s="6">
        <f>+E152*E149^1+(E137-E152)*E149*0.666666666666667*E149</f>
        <v>0</v>
      </c>
      <c r="F154" s="46" t="s">
        <v>253</v>
      </c>
      <c r="I154" s="2"/>
    </row>
    <row r="155" spans="4:9" s="1" customFormat="1" hidden="1">
      <c r="D155" s="5"/>
      <c r="I155" s="2"/>
    </row>
    <row r="156" spans="4:9" s="1" customFormat="1" hidden="1">
      <c r="D156" s="48" t="s">
        <v>374</v>
      </c>
      <c r="E156" s="128">
        <f>+E98</f>
        <v>28</v>
      </c>
      <c r="F156" s="46" t="s">
        <v>378</v>
      </c>
      <c r="G156" s="46" t="s">
        <v>457</v>
      </c>
      <c r="I156" s="2"/>
    </row>
    <row r="157" spans="4:9" s="1" customFormat="1" hidden="1">
      <c r="D157" s="48" t="s">
        <v>375</v>
      </c>
      <c r="E157" s="128">
        <f>+E99</f>
        <v>420</v>
      </c>
      <c r="F157" s="46" t="s">
        <v>378</v>
      </c>
      <c r="G157" s="46" t="s">
        <v>457</v>
      </c>
      <c r="I157" s="2"/>
    </row>
    <row r="158" spans="4:9" s="1" customFormat="1" hidden="1">
      <c r="D158" s="5"/>
      <c r="I158" s="2"/>
    </row>
    <row r="159" spans="4:9" s="1" customFormat="1" hidden="1">
      <c r="D159" s="48" t="s">
        <v>376</v>
      </c>
      <c r="E159" s="128">
        <f>+E16</f>
        <v>0.3</v>
      </c>
      <c r="F159" s="46" t="s">
        <v>3</v>
      </c>
      <c r="I159" s="2"/>
    </row>
    <row r="160" spans="4:9" s="1" customFormat="1" hidden="1">
      <c r="D160" s="48" t="s">
        <v>373</v>
      </c>
      <c r="E160" s="128">
        <f t="shared" ref="E160:E161" si="2">+E17</f>
        <v>1</v>
      </c>
      <c r="F160" s="46" t="s">
        <v>3</v>
      </c>
      <c r="I160" s="2"/>
    </row>
    <row r="161" spans="4:9" s="1" customFormat="1" hidden="1">
      <c r="D161" s="48" t="s">
        <v>377</v>
      </c>
      <c r="E161" s="128">
        <f t="shared" si="2"/>
        <v>3.5</v>
      </c>
      <c r="F161" s="46" t="s">
        <v>3</v>
      </c>
      <c r="I161" s="2"/>
    </row>
    <row r="162" spans="4:9" s="1" customFormat="1" hidden="1">
      <c r="D162" s="5"/>
      <c r="I162" s="2"/>
    </row>
    <row r="163" spans="4:9" s="1" customFormat="1" hidden="1">
      <c r="D163" s="48" t="s">
        <v>476</v>
      </c>
      <c r="E163" s="149">
        <f>+E23</f>
        <v>7.4999999999999997E-2</v>
      </c>
      <c r="F163" s="46" t="s">
        <v>3</v>
      </c>
      <c r="I163" s="2"/>
    </row>
    <row r="164" spans="4:9" s="1" customFormat="1" hidden="1">
      <c r="D164" s="48" t="s">
        <v>371</v>
      </c>
      <c r="E164" s="149">
        <f>+E154</f>
        <v>0</v>
      </c>
      <c r="F164" s="46" t="s">
        <v>253</v>
      </c>
      <c r="I164" s="2"/>
    </row>
    <row r="165" spans="4:9" s="1" customFormat="1" hidden="1">
      <c r="D165" s="48" t="s">
        <v>372</v>
      </c>
      <c r="E165" s="149">
        <f t="shared" ref="E165:E166" si="3">+E25</f>
        <v>0.9</v>
      </c>
      <c r="F165" s="46"/>
      <c r="I165" s="2"/>
    </row>
    <row r="166" spans="4:9" s="1" customFormat="1" hidden="1">
      <c r="D166" s="48" t="s">
        <v>235</v>
      </c>
      <c r="E166" s="149">
        <f t="shared" si="3"/>
        <v>0.22499999999999998</v>
      </c>
      <c r="F166" s="46" t="s">
        <v>3</v>
      </c>
      <c r="I166" s="2"/>
    </row>
    <row r="167" spans="4:9" s="1" customFormat="1" hidden="1">
      <c r="D167" s="5"/>
      <c r="I167" s="2"/>
    </row>
    <row r="168" spans="4:9" s="1" customFormat="1" hidden="1">
      <c r="D168" s="48" t="s">
        <v>453</v>
      </c>
      <c r="E168" s="128">
        <f>+E154/E165</f>
        <v>0</v>
      </c>
      <c r="F168" s="46" t="s">
        <v>253</v>
      </c>
      <c r="G168"/>
      <c r="H168"/>
      <c r="I168" s="91"/>
    </row>
    <row r="169" spans="4:9" s="1" customFormat="1" hidden="1">
      <c r="D169" s="90"/>
      <c r="E169"/>
      <c r="F169"/>
      <c r="G169"/>
      <c r="H169"/>
      <c r="I169" s="91"/>
    </row>
    <row r="170" spans="4:9" s="1" customFormat="1" ht="15.75" hidden="1" thickBot="1">
      <c r="D170" s="48" t="s">
        <v>454</v>
      </c>
      <c r="E170" s="128">
        <f>+E171*E157*1000*(E166-(E171*E157)/(1.7*E156*E160))</f>
        <v>5.8435751948367459E-4</v>
      </c>
      <c r="F170" s="46" t="s">
        <v>253</v>
      </c>
      <c r="G170"/>
      <c r="H170"/>
      <c r="I170" s="91"/>
    </row>
    <row r="171" spans="4:9" s="1" customFormat="1" ht="15.75" hidden="1" thickBot="1">
      <c r="D171" s="48" t="s">
        <v>455</v>
      </c>
      <c r="E171" s="152">
        <v>6.1836789543786181E-9</v>
      </c>
      <c r="F171" s="46" t="s">
        <v>86</v>
      </c>
      <c r="G171" s="128">
        <f>+E171*1000000</f>
        <v>6.1836789543786184E-3</v>
      </c>
      <c r="H171" s="50" t="s">
        <v>456</v>
      </c>
      <c r="I171" s="153" t="s">
        <v>505</v>
      </c>
    </row>
    <row r="172" spans="4:9" s="1" customFormat="1" hidden="1">
      <c r="D172" s="90"/>
      <c r="E172"/>
      <c r="F172"/>
      <c r="G172"/>
      <c r="H172"/>
      <c r="I172" s="91"/>
    </row>
    <row r="173" spans="4:9" s="1" customFormat="1" hidden="1">
      <c r="D173" s="48" t="s">
        <v>459</v>
      </c>
      <c r="E173" s="146">
        <f>1.4/E157</f>
        <v>3.3333333333333331E-3</v>
      </c>
      <c r="F173"/>
      <c r="G173"/>
      <c r="H173"/>
      <c r="I173" s="91"/>
    </row>
    <row r="174" spans="4:9" s="1" customFormat="1" hidden="1">
      <c r="D174" s="48" t="s">
        <v>459</v>
      </c>
      <c r="E174" s="146">
        <f>SQRT(E156)/(4*E157)</f>
        <v>3.1497039417435605E-3</v>
      </c>
      <c r="F174"/>
      <c r="G174"/>
      <c r="H174"/>
      <c r="I174" s="91"/>
    </row>
    <row r="175" spans="4:9" s="1" customFormat="1" hidden="1">
      <c r="D175" s="90"/>
      <c r="E175"/>
      <c r="F175"/>
      <c r="G175"/>
      <c r="H175"/>
      <c r="I175" s="91"/>
    </row>
    <row r="176" spans="4:9" s="1" customFormat="1" hidden="1">
      <c r="D176" s="48" t="s">
        <v>459</v>
      </c>
      <c r="E176" s="146">
        <f>+MAX(E173:E174)</f>
        <v>3.3333333333333331E-3</v>
      </c>
      <c r="F176"/>
      <c r="G176"/>
      <c r="H176"/>
      <c r="I176" s="91"/>
    </row>
    <row r="177" spans="4:9" s="1" customFormat="1" hidden="1">
      <c r="D177" s="48" t="s">
        <v>458</v>
      </c>
      <c r="E177" s="115">
        <f>+E176*E166*E160</f>
        <v>7.4999999999999991E-4</v>
      </c>
      <c r="F177" s="46" t="s">
        <v>86</v>
      </c>
      <c r="G177" s="128">
        <f>+E177*1000000</f>
        <v>749.99999999999989</v>
      </c>
      <c r="H177" s="46" t="s">
        <v>456</v>
      </c>
      <c r="I177" s="91"/>
    </row>
    <row r="178" spans="4:9" s="1" customFormat="1" hidden="1">
      <c r="D178" s="90"/>
      <c r="E178"/>
      <c r="F178"/>
      <c r="G178"/>
      <c r="H178"/>
      <c r="I178" s="91"/>
    </row>
    <row r="179" spans="4:9" s="1" customFormat="1" hidden="1">
      <c r="D179" s="48" t="s">
        <v>508</v>
      </c>
      <c r="E179" s="149">
        <f>3/8*0.85^2*E156/E157</f>
        <v>1.8062499999999995E-2</v>
      </c>
      <c r="F179"/>
      <c r="G179"/>
      <c r="H179"/>
      <c r="I179" s="91"/>
    </row>
    <row r="180" spans="4:9" s="1" customFormat="1" hidden="1">
      <c r="D180" s="48" t="s">
        <v>477</v>
      </c>
      <c r="E180" s="149">
        <f>+E179*E160*E166</f>
        <v>4.0640624999999982E-3</v>
      </c>
      <c r="F180" s="46" t="s">
        <v>86</v>
      </c>
      <c r="G180" s="128">
        <f>+E180*1000000</f>
        <v>4064.0624999999982</v>
      </c>
      <c r="H180" s="46" t="s">
        <v>456</v>
      </c>
      <c r="I180" s="91"/>
    </row>
    <row r="181" spans="4:9" s="1" customFormat="1" hidden="1">
      <c r="D181" s="90"/>
      <c r="E181"/>
      <c r="F181"/>
      <c r="G181"/>
      <c r="H181"/>
      <c r="I181" s="91"/>
    </row>
    <row r="182" spans="4:9" s="1" customFormat="1">
      <c r="D182" s="48" t="s">
        <v>455</v>
      </c>
      <c r="E182" s="150">
        <f>IF(E164&gt;0,MAX(E177,E171),0)</f>
        <v>0</v>
      </c>
      <c r="F182" s="46" t="s">
        <v>86</v>
      </c>
      <c r="G182" s="184">
        <f>+E182*1000000</f>
        <v>0</v>
      </c>
      <c r="H182" s="46" t="s">
        <v>456</v>
      </c>
      <c r="I182" s="91"/>
    </row>
    <row r="183" spans="4:9" s="1" customFormat="1">
      <c r="D183" s="5"/>
      <c r="G183" s="99">
        <f>+G182/(10)^2</f>
        <v>0</v>
      </c>
      <c r="H183" s="46" t="s">
        <v>548</v>
      </c>
      <c r="I183" s="2"/>
    </row>
    <row r="184" spans="4:9" s="1" customFormat="1">
      <c r="D184" s="304" t="s">
        <v>506</v>
      </c>
      <c r="E184" s="305"/>
      <c r="F184" s="1" t="str">
        <f>+IF(AND(E177&lt;E182,E182&lt;E180),"Cumple!",IF(E182=0,"No Aplica","No Cumple!"))</f>
        <v>No Aplica</v>
      </c>
      <c r="I184" s="2"/>
    </row>
    <row r="185" spans="4:9" s="1" customFormat="1">
      <c r="D185" s="5"/>
      <c r="I185" s="2"/>
    </row>
    <row r="186" spans="4:9" s="1" customFormat="1">
      <c r="D186" s="48" t="s">
        <v>481</v>
      </c>
      <c r="E186" s="157">
        <v>0</v>
      </c>
      <c r="F186"/>
      <c r="G186"/>
      <c r="H186"/>
      <c r="I186" s="2"/>
    </row>
    <row r="187" spans="4:9" s="1" customFormat="1">
      <c r="D187" s="48" t="s">
        <v>482</v>
      </c>
      <c r="E187" s="156" t="s">
        <v>523</v>
      </c>
      <c r="F187"/>
      <c r="H187"/>
      <c r="I187" s="2"/>
    </row>
    <row r="188" spans="4:9" s="1" customFormat="1">
      <c r="D188" s="48" t="s">
        <v>483</v>
      </c>
      <c r="E188" s="115">
        <f>+VLOOKUP(E129,$D$47:$F$58,3)</f>
        <v>199</v>
      </c>
      <c r="F188" s="46" t="s">
        <v>456</v>
      </c>
      <c r="G188" s="149">
        <f>E188/1000</f>
        <v>0.19900000000000001</v>
      </c>
      <c r="H188" s="46" t="s">
        <v>86</v>
      </c>
      <c r="I188" s="2"/>
    </row>
    <row r="189" spans="4:9" s="1" customFormat="1">
      <c r="D189" s="48" t="s">
        <v>484</v>
      </c>
      <c r="E189" s="183">
        <f>+E188*E186</f>
        <v>0</v>
      </c>
      <c r="F189" s="46" t="s">
        <v>533</v>
      </c>
      <c r="G189" s="183">
        <f>+E189/100</f>
        <v>0</v>
      </c>
      <c r="H189" s="46" t="s">
        <v>549</v>
      </c>
      <c r="I189" s="2"/>
    </row>
    <row r="190" spans="4:9" s="1" customFormat="1">
      <c r="D190" s="90"/>
      <c r="E190"/>
      <c r="F190"/>
      <c r="G190"/>
      <c r="H190"/>
      <c r="I190" s="2"/>
    </row>
    <row r="191" spans="4:9" s="1" customFormat="1">
      <c r="D191" s="304" t="s">
        <v>500</v>
      </c>
      <c r="E191" s="305"/>
      <c r="F191" s="1" t="str">
        <f>+IF(E189&gt;G182,"Cumple!",IF(E182=0,"No Aplica","No Cumple!"))</f>
        <v>No Aplica</v>
      </c>
      <c r="G191"/>
      <c r="H191"/>
      <c r="I191" s="2"/>
    </row>
    <row r="192" spans="4:9" s="1" customFormat="1" ht="15.75" thickBot="1">
      <c r="D192" s="7"/>
      <c r="E192" s="8"/>
      <c r="F192" s="8"/>
      <c r="G192" s="8"/>
      <c r="H192" s="8"/>
      <c r="I192" s="9"/>
    </row>
    <row r="193" spans="4:9" s="1" customFormat="1" ht="15.75" thickBot="1">
      <c r="D193" s="216" t="s">
        <v>529</v>
      </c>
      <c r="E193" s="217"/>
      <c r="F193" s="217"/>
      <c r="G193" s="217"/>
      <c r="H193" s="217"/>
      <c r="I193" s="218"/>
    </row>
    <row r="194" spans="4:9" s="1" customFormat="1">
      <c r="D194" s="30"/>
      <c r="E194" s="31"/>
      <c r="F194" s="31"/>
      <c r="G194" s="31"/>
      <c r="H194" s="31"/>
      <c r="I194" s="32"/>
    </row>
    <row r="195" spans="4:9" s="1" customFormat="1">
      <c r="D195" s="48" t="s">
        <v>373</v>
      </c>
      <c r="E195" s="6">
        <f>+'Dimensiones Muro'!D13*1000</f>
        <v>3000</v>
      </c>
      <c r="F195" s="46" t="s">
        <v>526</v>
      </c>
      <c r="G195" s="6">
        <f>+E195*0.039</f>
        <v>117</v>
      </c>
      <c r="H195" s="46" t="s">
        <v>545</v>
      </c>
      <c r="I195" s="2"/>
    </row>
    <row r="196" spans="4:9" s="1" customFormat="1">
      <c r="D196" s="48" t="s">
        <v>376</v>
      </c>
      <c r="E196" s="6">
        <f>+'Dimensiones Muro'!D12*1000</f>
        <v>300</v>
      </c>
      <c r="F196" s="46" t="s">
        <v>526</v>
      </c>
      <c r="G196" s="6">
        <f>+E196*0.039</f>
        <v>11.7</v>
      </c>
      <c r="H196" s="46" t="s">
        <v>545</v>
      </c>
      <c r="I196" s="2"/>
    </row>
    <row r="197" spans="4:9" s="1" customFormat="1">
      <c r="D197" s="48" t="s">
        <v>375</v>
      </c>
      <c r="E197" s="6">
        <f>+E157</f>
        <v>420</v>
      </c>
      <c r="F197" s="46" t="s">
        <v>187</v>
      </c>
      <c r="G197" s="6">
        <f>+E197/6.895</f>
        <v>60.913705583756347</v>
      </c>
      <c r="H197" s="46" t="s">
        <v>546</v>
      </c>
      <c r="I197" s="2"/>
    </row>
    <row r="198" spans="4:9" s="1" customFormat="1" ht="15.75" thickBot="1">
      <c r="D198" s="5"/>
      <c r="I198" s="2"/>
    </row>
    <row r="199" spans="4:9" s="1" customFormat="1" ht="15.75" thickBot="1">
      <c r="D199" s="48" t="s">
        <v>455</v>
      </c>
      <c r="E199" s="172">
        <f>0.0018*G195*G196</f>
        <v>2.4640199999999997</v>
      </c>
      <c r="F199" s="171" t="s">
        <v>525</v>
      </c>
      <c r="G199" s="173">
        <f>+(1.3*G195*G196)/(2*(G195+G196)*G197)</f>
        <v>0.11349886363636363</v>
      </c>
      <c r="H199" s="169" t="str">
        <f>IF(E199&gt;G199,"Cumple!","No Cumple!")</f>
        <v>Cumple!</v>
      </c>
      <c r="I199" s="49" t="s">
        <v>544</v>
      </c>
    </row>
    <row r="200" spans="4:9" s="1" customFormat="1">
      <c r="D200" s="5"/>
      <c r="G200" s="1">
        <f>4.72*E195*E196/(2*(E195+E196)*E197)</f>
        <v>1.5324675324675325</v>
      </c>
      <c r="I200" s="2"/>
    </row>
    <row r="201" spans="4:9" s="1" customFormat="1">
      <c r="D201" s="48" t="s">
        <v>527</v>
      </c>
      <c r="E201" s="6">
        <v>0.11</v>
      </c>
      <c r="F201" s="46" t="s">
        <v>544</v>
      </c>
      <c r="I201" s="2"/>
    </row>
    <row r="202" spans="4:9" s="1" customFormat="1">
      <c r="D202" s="48" t="s">
        <v>528</v>
      </c>
      <c r="E202" s="6">
        <v>0.6</v>
      </c>
      <c r="F202" s="46" t="s">
        <v>544</v>
      </c>
      <c r="I202" s="2"/>
    </row>
    <row r="203" spans="4:9" s="1" customFormat="1">
      <c r="D203" s="5"/>
      <c r="I203" s="2"/>
    </row>
    <row r="204" spans="4:9" s="1" customFormat="1">
      <c r="D204" s="48" t="s">
        <v>455</v>
      </c>
      <c r="E204" s="6">
        <f>MAX(E201,G199)</f>
        <v>0.11349886363636363</v>
      </c>
      <c r="F204" s="46" t="s">
        <v>544</v>
      </c>
      <c r="G204" s="6">
        <f>+E204*2116.66</f>
        <v>240.23850470454542</v>
      </c>
      <c r="H204" s="46" t="s">
        <v>533</v>
      </c>
      <c r="I204" s="2"/>
    </row>
    <row r="205" spans="4:9" s="1" customFormat="1">
      <c r="D205" s="5"/>
      <c r="G205" s="52"/>
      <c r="I205" s="2"/>
    </row>
    <row r="206" spans="4:9" s="1" customFormat="1">
      <c r="D206" s="48" t="s">
        <v>547</v>
      </c>
      <c r="E206" s="6">
        <f>2*(E195+E196)/1000</f>
        <v>6.6</v>
      </c>
      <c r="F206" s="46" t="s">
        <v>3</v>
      </c>
      <c r="I206" s="2"/>
    </row>
    <row r="207" spans="4:9" s="1" customFormat="1">
      <c r="D207" s="5"/>
      <c r="I207" s="2"/>
    </row>
    <row r="208" spans="4:9" s="1" customFormat="1">
      <c r="D208" s="48" t="s">
        <v>455</v>
      </c>
      <c r="E208" s="99">
        <f>+E206*G204</f>
        <v>1585.5741310499998</v>
      </c>
      <c r="F208" s="46" t="s">
        <v>456</v>
      </c>
      <c r="G208" s="99">
        <f>+E208/(10)^2</f>
        <v>15.855741310499997</v>
      </c>
      <c r="H208" s="46" t="s">
        <v>548</v>
      </c>
      <c r="I208" s="2"/>
    </row>
    <row r="209" spans="4:9" s="1" customFormat="1">
      <c r="D209" s="5"/>
      <c r="I209" s="2"/>
    </row>
    <row r="210" spans="4:9" s="1" customFormat="1" ht="15" customHeight="1">
      <c r="D210" s="304" t="s">
        <v>506</v>
      </c>
      <c r="E210" s="305"/>
      <c r="F210" s="1" t="str">
        <f>+IF(AND(E201&lt;=E204,E204&lt;E202),"Cumple!","No Cumple!")</f>
        <v>Cumple!</v>
      </c>
      <c r="I210" s="2"/>
    </row>
    <row r="211" spans="4:9" s="1" customFormat="1">
      <c r="D211" s="5"/>
      <c r="I211" s="2"/>
    </row>
    <row r="212" spans="4:9" s="1" customFormat="1">
      <c r="D212" s="48" t="s">
        <v>481</v>
      </c>
      <c r="E212" s="157">
        <v>14</v>
      </c>
      <c r="F212"/>
      <c r="G212"/>
      <c r="H212"/>
      <c r="I212" s="2"/>
    </row>
    <row r="213" spans="4:9" s="1" customFormat="1">
      <c r="D213" s="48" t="s">
        <v>482</v>
      </c>
      <c r="E213" s="156" t="s">
        <v>489</v>
      </c>
      <c r="F213"/>
      <c r="H213"/>
      <c r="I213" s="2"/>
    </row>
    <row r="214" spans="4:9" s="1" customFormat="1">
      <c r="D214" s="48" t="s">
        <v>483</v>
      </c>
      <c r="E214" s="115">
        <f>+VLOOKUP(E213,$D$47:$F$58,3)</f>
        <v>199</v>
      </c>
      <c r="F214" s="46" t="s">
        <v>456</v>
      </c>
      <c r="G214" s="149">
        <f>E214/1000</f>
        <v>0.19900000000000001</v>
      </c>
      <c r="H214" s="46" t="s">
        <v>86</v>
      </c>
      <c r="I214" s="2"/>
    </row>
    <row r="215" spans="4:9" s="1" customFormat="1">
      <c r="D215" s="48" t="s">
        <v>484</v>
      </c>
      <c r="E215" s="183">
        <f>+E214*E212</f>
        <v>2786</v>
      </c>
      <c r="F215" s="46" t="s">
        <v>456</v>
      </c>
      <c r="G215" s="183">
        <f>+E215/(10)^2</f>
        <v>27.86</v>
      </c>
      <c r="H215" s="46" t="s">
        <v>548</v>
      </c>
      <c r="I215" s="2"/>
    </row>
    <row r="216" spans="4:9" s="1" customFormat="1">
      <c r="D216" s="90"/>
      <c r="E216"/>
      <c r="F216"/>
      <c r="G216"/>
      <c r="H216"/>
      <c r="I216" s="2"/>
    </row>
    <row r="217" spans="4:9" s="1" customFormat="1">
      <c r="D217" s="304" t="s">
        <v>500</v>
      </c>
      <c r="E217" s="305"/>
      <c r="F217" s="1" t="str">
        <f>+IF(E215&gt;E208,"Cumple!",IF(E215=0,"No Aplica","No Cumple!"))</f>
        <v>Cumple!</v>
      </c>
      <c r="G217"/>
      <c r="H217"/>
      <c r="I217" s="2"/>
    </row>
    <row r="218" spans="4:9" s="1" customFormat="1" ht="15.75" thickBot="1">
      <c r="D218" s="7"/>
      <c r="E218" s="8"/>
      <c r="F218" s="8"/>
      <c r="G218" s="8"/>
      <c r="H218" s="8"/>
      <c r="I218" s="9"/>
    </row>
    <row r="219" spans="4:9" s="1" customFormat="1" ht="15.75" thickBot="1">
      <c r="D219" s="216" t="s">
        <v>532</v>
      </c>
      <c r="E219" s="217"/>
      <c r="F219" s="217"/>
      <c r="G219" s="217"/>
      <c r="H219" s="217"/>
      <c r="I219" s="218"/>
    </row>
    <row r="220" spans="4:9" s="1" customFormat="1" hidden="1">
      <c r="D220" s="30"/>
      <c r="E220" s="31"/>
      <c r="F220" s="31"/>
      <c r="G220" s="31"/>
      <c r="H220" s="31"/>
      <c r="I220" s="32"/>
    </row>
    <row r="221" spans="4:9" s="1" customFormat="1" hidden="1">
      <c r="D221" s="48" t="s">
        <v>373</v>
      </c>
      <c r="E221" s="6">
        <f>+'Dimensiones Muro'!D16*1000-'Dimensiones Muro'!D12*1000</f>
        <v>2600</v>
      </c>
      <c r="F221" s="46" t="s">
        <v>526</v>
      </c>
      <c r="G221" s="6">
        <f>+E221*0.039</f>
        <v>101.4</v>
      </c>
      <c r="H221" s="46" t="s">
        <v>545</v>
      </c>
      <c r="I221" s="2"/>
    </row>
    <row r="222" spans="4:9" s="1" customFormat="1" hidden="1">
      <c r="D222" s="48" t="s">
        <v>376</v>
      </c>
      <c r="E222" s="6">
        <f>+'Dimensiones Muro'!D17*1000</f>
        <v>500</v>
      </c>
      <c r="F222" s="46" t="s">
        <v>526</v>
      </c>
      <c r="G222" s="6">
        <f>+E222*0.039</f>
        <v>19.5</v>
      </c>
      <c r="H222" s="46" t="s">
        <v>545</v>
      </c>
      <c r="I222" s="2"/>
    </row>
    <row r="223" spans="4:9" s="1" customFormat="1" hidden="1">
      <c r="D223" s="48" t="s">
        <v>375</v>
      </c>
      <c r="E223" s="6">
        <f>+E157</f>
        <v>420</v>
      </c>
      <c r="F223" s="46" t="s">
        <v>187</v>
      </c>
      <c r="G223" s="6">
        <f>+E223/6.895</f>
        <v>60.913705583756347</v>
      </c>
      <c r="H223" s="46" t="s">
        <v>546</v>
      </c>
      <c r="I223" s="2"/>
    </row>
    <row r="224" spans="4:9" s="1" customFormat="1" ht="15.75" hidden="1" thickBot="1">
      <c r="D224" s="5"/>
      <c r="I224" s="2"/>
    </row>
    <row r="225" spans="4:9" s="1" customFormat="1" ht="15.75" hidden="1" thickBot="1">
      <c r="D225" s="48" t="s">
        <v>455</v>
      </c>
      <c r="E225" s="172">
        <f>0.0018*G221*G222</f>
        <v>3.5591400000000002</v>
      </c>
      <c r="F225" s="171" t="s">
        <v>525</v>
      </c>
      <c r="G225" s="173">
        <f>+(1.3*G221*G222)/(2*(G221+G222)*G223)</f>
        <v>0.17451975806451614</v>
      </c>
      <c r="H225" s="169" t="str">
        <f>IF(E225&gt;G225,"Cumple!","No Cumple!")</f>
        <v>Cumple!</v>
      </c>
      <c r="I225" s="49" t="s">
        <v>544</v>
      </c>
    </row>
    <row r="226" spans="4:9" s="1" customFormat="1" hidden="1">
      <c r="D226" s="5"/>
      <c r="I226" s="2"/>
    </row>
    <row r="227" spans="4:9" s="1" customFormat="1" hidden="1">
      <c r="D227" s="48" t="s">
        <v>527</v>
      </c>
      <c r="E227" s="6">
        <v>0.11</v>
      </c>
      <c r="F227" s="46" t="s">
        <v>544</v>
      </c>
      <c r="I227" s="2"/>
    </row>
    <row r="228" spans="4:9" s="1" customFormat="1" hidden="1">
      <c r="D228" s="48" t="s">
        <v>528</v>
      </c>
      <c r="E228" s="6">
        <v>0.6</v>
      </c>
      <c r="F228" s="46" t="s">
        <v>544</v>
      </c>
      <c r="I228" s="2"/>
    </row>
    <row r="229" spans="4:9" s="1" customFormat="1" hidden="1">
      <c r="D229" s="5"/>
      <c r="I229" s="2"/>
    </row>
    <row r="230" spans="4:9" s="1" customFormat="1" hidden="1">
      <c r="D230" s="48" t="s">
        <v>455</v>
      </c>
      <c r="E230" s="6">
        <f>MAX(E227,G225)</f>
        <v>0.17451975806451614</v>
      </c>
      <c r="F230" s="46" t="s">
        <v>544</v>
      </c>
      <c r="G230" s="6">
        <f>+E230*2116.66</f>
        <v>369.39899110483873</v>
      </c>
      <c r="H230" s="46" t="s">
        <v>533</v>
      </c>
      <c r="I230" s="2"/>
    </row>
    <row r="231" spans="4:9" s="1" customFormat="1" hidden="1">
      <c r="D231" s="5"/>
      <c r="G231" s="52"/>
      <c r="I231" s="2"/>
    </row>
    <row r="232" spans="4:9" s="1" customFormat="1" hidden="1">
      <c r="D232" s="48" t="s">
        <v>547</v>
      </c>
      <c r="E232" s="6">
        <f>2*(E221+E222)/1000</f>
        <v>6.2</v>
      </c>
      <c r="F232" s="46" t="s">
        <v>3</v>
      </c>
      <c r="I232" s="2"/>
    </row>
    <row r="233" spans="4:9" s="1" customFormat="1" hidden="1">
      <c r="D233" s="5"/>
      <c r="I233" s="2"/>
    </row>
    <row r="234" spans="4:9" s="1" customFormat="1">
      <c r="D234" s="48" t="s">
        <v>455</v>
      </c>
      <c r="E234" s="99">
        <f>+E232*G230</f>
        <v>2290.2737448500002</v>
      </c>
      <c r="F234" s="46" t="s">
        <v>456</v>
      </c>
      <c r="G234" s="99">
        <f>+E234/(10)^2</f>
        <v>22.902737448500002</v>
      </c>
      <c r="H234" s="46" t="s">
        <v>548</v>
      </c>
      <c r="I234" s="2"/>
    </row>
    <row r="235" spans="4:9" s="1" customFormat="1">
      <c r="D235" s="5"/>
      <c r="I235" s="2"/>
    </row>
    <row r="236" spans="4:9" s="1" customFormat="1">
      <c r="D236" s="304" t="s">
        <v>506</v>
      </c>
      <c r="E236" s="305"/>
      <c r="F236" s="1" t="str">
        <f>+IF(AND(E227&lt;=E230,E230&lt;E228),"Cumple!","No Cumple!")</f>
        <v>Cumple!</v>
      </c>
      <c r="I236" s="2"/>
    </row>
    <row r="237" spans="4:9" s="1" customFormat="1">
      <c r="D237" s="5"/>
      <c r="I237" s="2"/>
    </row>
    <row r="238" spans="4:9" s="1" customFormat="1">
      <c r="D238" s="48" t="s">
        <v>481</v>
      </c>
      <c r="E238" s="157">
        <v>18</v>
      </c>
      <c r="F238"/>
      <c r="G238"/>
      <c r="H238"/>
      <c r="I238" s="2"/>
    </row>
    <row r="239" spans="4:9" s="1" customFormat="1">
      <c r="D239" s="48" t="s">
        <v>482</v>
      </c>
      <c r="E239" s="156" t="s">
        <v>487</v>
      </c>
      <c r="F239"/>
      <c r="H239"/>
      <c r="I239" s="2"/>
    </row>
    <row r="240" spans="4:9" s="1" customFormat="1">
      <c r="D240" s="48" t="s">
        <v>483</v>
      </c>
      <c r="E240" s="115">
        <f>+VLOOKUP(E239,$D$47:$F$58,3)</f>
        <v>71</v>
      </c>
      <c r="F240" s="46" t="s">
        <v>456</v>
      </c>
      <c r="G240" s="149">
        <f>E240/1000</f>
        <v>7.0999999999999994E-2</v>
      </c>
      <c r="H240" s="46" t="s">
        <v>86</v>
      </c>
      <c r="I240" s="2"/>
    </row>
    <row r="241" spans="4:12" s="1" customFormat="1">
      <c r="D241" s="48" t="s">
        <v>484</v>
      </c>
      <c r="E241" s="183">
        <f>+E240*E238</f>
        <v>1278</v>
      </c>
      <c r="F241" s="46" t="s">
        <v>456</v>
      </c>
      <c r="G241" s="183">
        <f>+E241/(10)^2</f>
        <v>12.78</v>
      </c>
      <c r="H241" s="46" t="s">
        <v>548</v>
      </c>
      <c r="I241" s="2"/>
    </row>
    <row r="242" spans="4:12" s="1" customFormat="1">
      <c r="D242" s="90"/>
      <c r="E242"/>
      <c r="F242"/>
      <c r="G242"/>
      <c r="H242"/>
      <c r="I242" s="2"/>
    </row>
    <row r="243" spans="4:12" s="1" customFormat="1">
      <c r="D243" s="304" t="s">
        <v>500</v>
      </c>
      <c r="E243" s="305"/>
      <c r="F243" s="1" t="str">
        <f>+IF(E241&gt;E234,"Cumple!",IF(E241=0,"No Aplica","No Cumple!"))</f>
        <v>No Cumple!</v>
      </c>
      <c r="G243"/>
      <c r="H243"/>
      <c r="I243" s="2"/>
    </row>
    <row r="244" spans="4:12" s="1" customFormat="1" ht="15.75" thickBot="1">
      <c r="D244" s="7"/>
      <c r="E244" s="8"/>
      <c r="F244" s="8"/>
      <c r="G244" s="8"/>
      <c r="H244" s="8"/>
      <c r="I244" s="9"/>
    </row>
    <row r="245" spans="4:12" s="1" customFormat="1" ht="15.75" thickBot="1">
      <c r="D245" s="216" t="s">
        <v>530</v>
      </c>
      <c r="E245" s="217"/>
      <c r="F245" s="217"/>
      <c r="G245" s="217"/>
      <c r="H245" s="217"/>
      <c r="I245" s="218"/>
    </row>
    <row r="246" spans="4:12" s="1" customFormat="1" hidden="1">
      <c r="D246" s="30"/>
      <c r="E246" s="31"/>
      <c r="F246" s="31"/>
      <c r="G246" s="31"/>
      <c r="H246" s="31"/>
      <c r="I246" s="32"/>
    </row>
    <row r="247" spans="4:12" s="1" customFormat="1" hidden="1">
      <c r="D247" s="48" t="s">
        <v>373</v>
      </c>
      <c r="E247" s="6">
        <f>+('Dimensiones Muro'!D16-'Dimensiones Muro'!D12-'Dimensiones Muro'!D8)*1000</f>
        <v>800</v>
      </c>
      <c r="F247" s="46" t="s">
        <v>526</v>
      </c>
      <c r="G247" s="6">
        <f>+E247*0.039</f>
        <v>31.2</v>
      </c>
      <c r="H247" s="46" t="s">
        <v>545</v>
      </c>
      <c r="I247" s="2"/>
    </row>
    <row r="248" spans="4:12" s="1" customFormat="1" hidden="1">
      <c r="D248" s="48" t="s">
        <v>376</v>
      </c>
      <c r="E248" s="6">
        <f>+'Dimensiones Muro'!D17*1000</f>
        <v>500</v>
      </c>
      <c r="F248" s="46" t="s">
        <v>526</v>
      </c>
      <c r="G248" s="6">
        <f>+E248*0.039</f>
        <v>19.5</v>
      </c>
      <c r="H248" s="46" t="s">
        <v>545</v>
      </c>
      <c r="I248" s="2"/>
      <c r="J248"/>
      <c r="K248"/>
      <c r="L248"/>
    </row>
    <row r="249" spans="4:12" hidden="1">
      <c r="D249" s="48" t="s">
        <v>375</v>
      </c>
      <c r="E249" s="6">
        <f>+E157</f>
        <v>420</v>
      </c>
      <c r="F249" s="46" t="s">
        <v>187</v>
      </c>
      <c r="G249" s="6">
        <f>+E249/6.895</f>
        <v>60.913705583756347</v>
      </c>
      <c r="H249" s="46" t="s">
        <v>546</v>
      </c>
      <c r="I249" s="2"/>
    </row>
    <row r="250" spans="4:12" ht="15.75" hidden="1" thickBot="1">
      <c r="D250" s="5"/>
      <c r="E250" s="1"/>
      <c r="F250" s="1"/>
      <c r="G250" s="1"/>
      <c r="H250" s="1"/>
      <c r="I250" s="2"/>
    </row>
    <row r="251" spans="4:12" ht="15.75" hidden="1" thickBot="1">
      <c r="D251" s="48" t="s">
        <v>455</v>
      </c>
      <c r="E251" s="172">
        <f>0.0018*G247*G248</f>
        <v>1.0951199999999999</v>
      </c>
      <c r="F251" s="171" t="s">
        <v>525</v>
      </c>
      <c r="G251" s="173">
        <f>+IF(E247=0,0,1.3*G247*G248)/(2*(G247+G248)*G249)</f>
        <v>0.12805</v>
      </c>
      <c r="H251" s="169" t="str">
        <f>IF(E251&gt;G251,"Cumple!",IF(G251=0,"No aplica","No Cumple!"))</f>
        <v>Cumple!</v>
      </c>
      <c r="I251" s="49" t="s">
        <v>544</v>
      </c>
    </row>
    <row r="252" spans="4:12" hidden="1">
      <c r="D252" s="5"/>
      <c r="E252" s="1"/>
      <c r="F252" s="1"/>
      <c r="G252" s="1"/>
      <c r="H252" s="1"/>
      <c r="I252" s="2"/>
    </row>
    <row r="253" spans="4:12" hidden="1">
      <c r="D253" s="48" t="s">
        <v>527</v>
      </c>
      <c r="E253" s="6">
        <v>0.11</v>
      </c>
      <c r="F253" s="46" t="s">
        <v>544</v>
      </c>
      <c r="G253" s="1"/>
      <c r="H253" s="1"/>
      <c r="I253" s="2"/>
    </row>
    <row r="254" spans="4:12" hidden="1">
      <c r="D254" s="48" t="s">
        <v>528</v>
      </c>
      <c r="E254" s="6">
        <v>0.6</v>
      </c>
      <c r="F254" s="46" t="s">
        <v>544</v>
      </c>
      <c r="G254" s="1"/>
      <c r="H254" s="1"/>
      <c r="I254" s="2"/>
    </row>
    <row r="255" spans="4:12" hidden="1">
      <c r="D255" s="5"/>
      <c r="E255" s="1"/>
      <c r="F255" s="1"/>
      <c r="G255" s="1"/>
      <c r="H255" s="1"/>
      <c r="I255" s="2"/>
    </row>
    <row r="256" spans="4:12" hidden="1">
      <c r="D256" s="48" t="s">
        <v>455</v>
      </c>
      <c r="E256" s="6">
        <f>IF(G251=0,0,MAX(E253,G251))</f>
        <v>0.12805</v>
      </c>
      <c r="F256" s="46" t="s">
        <v>544</v>
      </c>
      <c r="G256" s="6">
        <f>+E256*2116.66</f>
        <v>271.03831299999996</v>
      </c>
      <c r="H256" s="46" t="s">
        <v>533</v>
      </c>
      <c r="I256" s="2"/>
    </row>
    <row r="257" spans="4:9" hidden="1">
      <c r="D257" s="5"/>
      <c r="E257" s="1"/>
      <c r="F257" s="1"/>
      <c r="G257" s="52"/>
      <c r="H257" s="1"/>
      <c r="I257" s="2"/>
    </row>
    <row r="258" spans="4:9" hidden="1">
      <c r="D258" s="48" t="s">
        <v>547</v>
      </c>
      <c r="E258" s="6">
        <f>2*(E247+E248)/1000</f>
        <v>2.6</v>
      </c>
      <c r="F258" s="46" t="s">
        <v>3</v>
      </c>
      <c r="G258" s="1"/>
      <c r="H258" s="1"/>
      <c r="I258" s="2"/>
    </row>
    <row r="259" spans="4:9" hidden="1">
      <c r="D259" s="5"/>
      <c r="E259" s="1"/>
      <c r="F259" s="1"/>
      <c r="G259" s="1"/>
      <c r="H259" s="1"/>
      <c r="I259" s="2"/>
    </row>
    <row r="260" spans="4:9">
      <c r="D260" s="48" t="s">
        <v>455</v>
      </c>
      <c r="E260" s="183">
        <f>+E258*G256</f>
        <v>704.69961379999995</v>
      </c>
      <c r="F260" s="46" t="s">
        <v>456</v>
      </c>
      <c r="G260" s="99">
        <f>+E260/(10)^2</f>
        <v>7.0469961379999999</v>
      </c>
      <c r="H260" s="46" t="s">
        <v>548</v>
      </c>
      <c r="I260" s="2"/>
    </row>
    <row r="261" spans="4:9">
      <c r="D261" s="5"/>
      <c r="E261" s="1"/>
      <c r="F261" s="1"/>
      <c r="G261" s="1"/>
      <c r="H261" s="1"/>
      <c r="I261" s="2"/>
    </row>
    <row r="262" spans="4:9" ht="15" customHeight="1">
      <c r="D262" s="304" t="s">
        <v>506</v>
      </c>
      <c r="E262" s="305"/>
      <c r="F262" s="1" t="str">
        <f>+IF(AND(E253&lt;=E256,E256&lt;E254),"Cumple!",IF(E260=0,"No Aplica","No Cumple!"))</f>
        <v>Cumple!</v>
      </c>
      <c r="G262" s="1"/>
      <c r="H262" s="1"/>
      <c r="I262" s="2"/>
    </row>
    <row r="263" spans="4:9">
      <c r="D263" s="5"/>
      <c r="E263" s="1"/>
      <c r="F263" s="1"/>
      <c r="G263" s="1"/>
      <c r="H263" s="1"/>
      <c r="I263" s="2"/>
    </row>
    <row r="264" spans="4:9">
      <c r="D264" s="48" t="s">
        <v>481</v>
      </c>
      <c r="E264" s="157">
        <v>0</v>
      </c>
      <c r="I264" s="2"/>
    </row>
    <row r="265" spans="4:9">
      <c r="D265" s="48" t="s">
        <v>482</v>
      </c>
      <c r="E265" s="156" t="s">
        <v>523</v>
      </c>
      <c r="G265" s="1"/>
      <c r="I265" s="2"/>
    </row>
    <row r="266" spans="4:9">
      <c r="D266" s="48" t="s">
        <v>483</v>
      </c>
      <c r="E266" s="115" t="e">
        <f>+VLOOKUP(E265,$D$47:$F$58,3)</f>
        <v>#N/A</v>
      </c>
      <c r="F266" s="46" t="s">
        <v>456</v>
      </c>
      <c r="G266" s="149" t="e">
        <f>E266/1000</f>
        <v>#N/A</v>
      </c>
      <c r="H266" s="46" t="s">
        <v>86</v>
      </c>
      <c r="I266" s="2"/>
    </row>
    <row r="267" spans="4:9">
      <c r="D267" s="48" t="s">
        <v>484</v>
      </c>
      <c r="E267" s="183" t="e">
        <f>IF(E260=0,0,E266*E264)</f>
        <v>#N/A</v>
      </c>
      <c r="F267" s="46" t="s">
        <v>456</v>
      </c>
      <c r="G267" s="183" t="e">
        <f>+E267/(10)^2</f>
        <v>#N/A</v>
      </c>
      <c r="H267" s="46" t="s">
        <v>548</v>
      </c>
      <c r="I267" s="2"/>
    </row>
    <row r="268" spans="4:9">
      <c r="D268" s="90"/>
      <c r="I268" s="2"/>
    </row>
    <row r="269" spans="4:9" ht="15" customHeight="1">
      <c r="D269" s="304" t="s">
        <v>500</v>
      </c>
      <c r="E269" s="305"/>
      <c r="F269" s="1" t="e">
        <f>IF(E267&gt;E260,"Cumple!",IF(E267=0,"No Aplica","No Cumple!"))</f>
        <v>#N/A</v>
      </c>
      <c r="I269" s="2"/>
    </row>
    <row r="270" spans="4:9" ht="15.75" thickBot="1">
      <c r="D270" s="7"/>
      <c r="E270" s="8"/>
      <c r="F270" s="8"/>
      <c r="G270" s="8"/>
      <c r="H270" s="8"/>
      <c r="I270" s="9"/>
    </row>
  </sheetData>
  <mergeCells count="45">
    <mergeCell ref="D2:I2"/>
    <mergeCell ref="D3:I3"/>
    <mergeCell ref="K14:Q14"/>
    <mergeCell ref="K37:Q37"/>
    <mergeCell ref="D65:E65"/>
    <mergeCell ref="K40:Q40"/>
    <mergeCell ref="K41:Q41"/>
    <mergeCell ref="K39:Q39"/>
    <mergeCell ref="D44:E44"/>
    <mergeCell ref="K42:Q42"/>
    <mergeCell ref="K44:Q44"/>
    <mergeCell ref="K20:Q20"/>
    <mergeCell ref="K16:Q16"/>
    <mergeCell ref="K18:Q18"/>
    <mergeCell ref="K17:Q17"/>
    <mergeCell ref="K24:Q24"/>
    <mergeCell ref="K21:Q21"/>
    <mergeCell ref="K28:Q28"/>
    <mergeCell ref="D217:E217"/>
    <mergeCell ref="K26:Q26"/>
    <mergeCell ref="K25:Q25"/>
    <mergeCell ref="K36:Q36"/>
    <mergeCell ref="K34:Q34"/>
    <mergeCell ref="K33:Q33"/>
    <mergeCell ref="K31:Q31"/>
    <mergeCell ref="K30:Q30"/>
    <mergeCell ref="D193:I193"/>
    <mergeCell ref="D210:E210"/>
    <mergeCell ref="D191:E191"/>
    <mergeCell ref="D5:I5"/>
    <mergeCell ref="D13:I13"/>
    <mergeCell ref="D135:I135"/>
    <mergeCell ref="D140:E140"/>
    <mergeCell ref="D184:E184"/>
    <mergeCell ref="D81:E81"/>
    <mergeCell ref="D126:E126"/>
    <mergeCell ref="D133:E133"/>
    <mergeCell ref="D69:I69"/>
    <mergeCell ref="D68:I68"/>
    <mergeCell ref="D262:E262"/>
    <mergeCell ref="D269:E269"/>
    <mergeCell ref="D219:I219"/>
    <mergeCell ref="D236:E236"/>
    <mergeCell ref="D243:E243"/>
    <mergeCell ref="D245:I245"/>
  </mergeCells>
  <phoneticPr fontId="3" type="noConversion"/>
  <conditionalFormatting sqref="F44">
    <cfRule type="expression" dxfId="26" priority="43">
      <formula>$F$44="Cumple!"</formula>
    </cfRule>
    <cfRule type="expression" dxfId="25" priority="48">
      <formula>$F$44="No Cumple!"</formula>
    </cfRule>
  </conditionalFormatting>
  <conditionalFormatting sqref="F65">
    <cfRule type="expression" dxfId="24" priority="41">
      <formula>$F$65="No Cumple!"</formula>
    </cfRule>
    <cfRule type="expression" dxfId="23" priority="42">
      <formula>$F$65="Cumple!"</formula>
    </cfRule>
  </conditionalFormatting>
  <conditionalFormatting sqref="F126">
    <cfRule type="expression" dxfId="22" priority="35">
      <formula>$F$126="No Cumple!"</formula>
    </cfRule>
    <cfRule type="expression" dxfId="21" priority="36">
      <formula>$F$126="Cumple!"</formula>
    </cfRule>
  </conditionalFormatting>
  <conditionalFormatting sqref="F133">
    <cfRule type="expression" dxfId="20" priority="33">
      <formula>+$F$133="No Cumple!"</formula>
    </cfRule>
    <cfRule type="expression" dxfId="19" priority="34">
      <formula>+$F$133="Cumple!"</formula>
    </cfRule>
  </conditionalFormatting>
  <conditionalFormatting sqref="F184">
    <cfRule type="expression" dxfId="18" priority="1">
      <formula>$F$184="No Aplica"</formula>
    </cfRule>
    <cfRule type="expression" dxfId="17" priority="13">
      <formula>$F$184="No Cumple!"</formula>
    </cfRule>
    <cfRule type="expression" dxfId="16" priority="20">
      <formula>$F$184="Cumple!"</formula>
    </cfRule>
  </conditionalFormatting>
  <conditionalFormatting sqref="F191">
    <cfRule type="expression" dxfId="15" priority="2">
      <formula>$F$191="No Aplica"</formula>
    </cfRule>
    <cfRule type="expression" dxfId="14" priority="12">
      <formula>$F$191</formula>
    </cfRule>
    <cfRule type="expression" dxfId="13" priority="19">
      <formula>+$F$191="Cumple!"</formula>
    </cfRule>
  </conditionalFormatting>
  <conditionalFormatting sqref="F210">
    <cfRule type="expression" dxfId="12" priority="11">
      <formula>$F$210="No Cumple!"</formula>
    </cfRule>
    <cfRule type="expression" dxfId="11" priority="18">
      <formula>+$F$210="Cumple!"</formula>
    </cfRule>
  </conditionalFormatting>
  <conditionalFormatting sqref="F217">
    <cfRule type="expression" dxfId="10" priority="7">
      <formula>$F$217="No Cumple!"</formula>
    </cfRule>
    <cfRule type="expression" dxfId="9" priority="9">
      <formula>$F$217="Cumple!"</formula>
    </cfRule>
    <cfRule type="expression" dxfId="8" priority="10">
      <formula>$F$217="No Cumple!"</formula>
    </cfRule>
  </conditionalFormatting>
  <conditionalFormatting sqref="F236">
    <cfRule type="expression" dxfId="7" priority="6">
      <formula>$F$236="No Cumple!"</formula>
    </cfRule>
    <cfRule type="expression" dxfId="6" priority="17">
      <formula>$F$236="Cumple!"</formula>
    </cfRule>
  </conditionalFormatting>
  <conditionalFormatting sqref="F243">
    <cfRule type="expression" dxfId="5" priority="5">
      <formula>$F$243="Nco Cumple!"</formula>
    </cfRule>
    <cfRule type="expression" dxfId="4" priority="16">
      <formula>$F$243="Cumple!"</formula>
    </cfRule>
  </conditionalFormatting>
  <conditionalFormatting sqref="F262">
    <cfRule type="expression" dxfId="3" priority="4">
      <formula>$F$262="No Aplica"</formula>
    </cfRule>
    <cfRule type="expression" dxfId="2" priority="15">
      <formula>$F$262="Cumple!"</formula>
    </cfRule>
  </conditionalFormatting>
  <conditionalFormatting sqref="F269">
    <cfRule type="expression" dxfId="1" priority="3">
      <formula>$F$269="No Aplica"</formula>
    </cfRule>
    <cfRule type="expression" dxfId="0" priority="14">
      <formula>$F$269="Cumple!"</formula>
    </cfRule>
  </conditionalFormatting>
  <dataValidations count="4">
    <dataValidation type="list" allowBlank="1" showInputMessage="1" showErrorMessage="1" sqref="E61" xr:uid="{CDD64C47-DE48-4108-926E-A050C8BCA395}">
      <formula1>$D$47:$D$58</formula1>
    </dataValidation>
    <dataValidation type="list" allowBlank="1" showInputMessage="1" showErrorMessage="1" sqref="E60" xr:uid="{BA9D5C40-1753-4BEB-9695-255D1FAF1C11}">
      <formula1>$C$55:$C$84</formula1>
    </dataValidation>
    <dataValidation type="list" allowBlank="1" showInputMessage="1" showErrorMessage="1" sqref="E186 E128 E212 E238 E264" xr:uid="{08595535-15BB-43F4-A615-76934692E036}">
      <formula1>$C$54:$C$84</formula1>
    </dataValidation>
    <dataValidation type="list" allowBlank="1" showInputMessage="1" showErrorMessage="1" sqref="E129 E187 E213 E239 E265" xr:uid="{F064560B-4C5F-4DA2-863D-0CED7A4FF9EE}">
      <formula1>$D$47:$D$59</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749EA-41F9-45BA-9894-61DFCB0FC4BE}">
  <dimension ref="B1:N18"/>
  <sheetViews>
    <sheetView zoomScale="69" zoomScaleNormal="130" workbookViewId="0">
      <selection activeCell="I17" sqref="I17"/>
    </sheetView>
  </sheetViews>
  <sheetFormatPr baseColWidth="10" defaultRowHeight="15"/>
  <cols>
    <col min="1" max="1" width="11.42578125" style="1"/>
    <col min="2" max="2" width="22.7109375" style="1" bestFit="1" customWidth="1"/>
    <col min="3" max="3" width="18.140625" style="1" customWidth="1"/>
    <col min="4" max="5" width="25.5703125" style="1" customWidth="1"/>
    <col min="6" max="6" width="12.7109375" style="1" customWidth="1"/>
    <col min="7" max="8" width="14.85546875" style="1" customWidth="1"/>
    <col min="9" max="9" width="19.28515625" style="1" bestFit="1" customWidth="1"/>
    <col min="10" max="11" width="11.42578125" style="1"/>
    <col min="12" max="12" width="15.5703125" style="1" customWidth="1"/>
    <col min="13" max="13" width="15.140625" style="1" bestFit="1" customWidth="1"/>
    <col min="14" max="16384" width="11.42578125" style="1"/>
  </cols>
  <sheetData>
    <row r="1" spans="2:14" ht="15.75" thickBot="1"/>
    <row r="2" spans="2:14">
      <c r="B2" s="251" t="s">
        <v>319</v>
      </c>
      <c r="C2" s="252"/>
      <c r="D2" s="252"/>
      <c r="E2" s="252"/>
      <c r="F2" s="252"/>
      <c r="G2" s="253"/>
    </row>
    <row r="3" spans="2:14" ht="31.5" customHeight="1" thickBot="1">
      <c r="B3" s="280" t="s">
        <v>556</v>
      </c>
      <c r="C3" s="299"/>
      <c r="D3" s="299"/>
      <c r="E3" s="299"/>
      <c r="F3" s="299"/>
      <c r="G3" s="300"/>
    </row>
    <row r="4" spans="2:14" ht="15.75" thickBot="1"/>
    <row r="5" spans="2:14" ht="30">
      <c r="B5" s="310" t="s">
        <v>524</v>
      </c>
      <c r="C5" s="311"/>
      <c r="D5" s="311"/>
      <c r="E5" s="311"/>
      <c r="F5" s="312"/>
      <c r="G5" s="312"/>
      <c r="H5" s="313"/>
      <c r="I5" s="314"/>
      <c r="L5" s="176" t="s">
        <v>485</v>
      </c>
      <c r="M5" s="177" t="s">
        <v>498</v>
      </c>
      <c r="N5" s="178" t="s">
        <v>499</v>
      </c>
    </row>
    <row r="6" spans="2:14">
      <c r="B6" s="48"/>
      <c r="C6" s="46" t="s">
        <v>551</v>
      </c>
      <c r="D6" s="46" t="s">
        <v>550</v>
      </c>
      <c r="E6" s="46" t="s">
        <v>554</v>
      </c>
      <c r="F6" s="46" t="s">
        <v>540</v>
      </c>
      <c r="G6" s="46" t="s">
        <v>538</v>
      </c>
      <c r="H6" s="50" t="s">
        <v>552</v>
      </c>
      <c r="I6" s="49" t="s">
        <v>553</v>
      </c>
      <c r="L6" s="167" t="s">
        <v>486</v>
      </c>
      <c r="M6" s="115">
        <v>6.4</v>
      </c>
      <c r="N6" s="179">
        <v>32</v>
      </c>
    </row>
    <row r="7" spans="2:14">
      <c r="B7" s="3" t="s">
        <v>543</v>
      </c>
      <c r="C7" s="6">
        <f>+'Diseño de acero'!G42/100</f>
        <v>7.4999999999999991</v>
      </c>
      <c r="D7" s="6">
        <f>+'Diseño de acero'!G63</f>
        <v>13.93</v>
      </c>
      <c r="E7" s="6">
        <v>1</v>
      </c>
      <c r="F7" s="4">
        <f>+'Diseño de acero'!E60</f>
        <v>7</v>
      </c>
      <c r="G7" s="4" t="str">
        <f>+'Diseño de acero'!E61</f>
        <v>No. 5</v>
      </c>
      <c r="H7" s="170">
        <f>(VLOOKUP(G7,$L$5:$N$17,2))/10</f>
        <v>1.59</v>
      </c>
      <c r="I7" s="185">
        <v>0.15</v>
      </c>
      <c r="L7" s="167" t="s">
        <v>487</v>
      </c>
      <c r="M7" s="115">
        <v>9.5</v>
      </c>
      <c r="N7" s="179">
        <v>71</v>
      </c>
    </row>
    <row r="8" spans="2:14" ht="15.75" thickBot="1">
      <c r="B8" s="70" t="s">
        <v>541</v>
      </c>
      <c r="C8" s="79">
        <f>+'Diseño de acero'!E208/100</f>
        <v>15.855741310499997</v>
      </c>
      <c r="D8" s="79">
        <f>+'Diseño de acero'!G215</f>
        <v>27.86</v>
      </c>
      <c r="E8" s="79">
        <f>+'Dimensiones Muro'!D9</f>
        <v>3</v>
      </c>
      <c r="F8" s="174">
        <f>+'Diseño de acero'!E212</f>
        <v>14</v>
      </c>
      <c r="G8" s="174" t="str">
        <f>+'Diseño de acero'!E213</f>
        <v>No. 5</v>
      </c>
      <c r="H8" s="175">
        <f>(VLOOKUP(G8,$L$5:$N$17,2))/10</f>
        <v>1.59</v>
      </c>
      <c r="I8" s="186">
        <v>0.2</v>
      </c>
      <c r="L8" s="167" t="s">
        <v>488</v>
      </c>
      <c r="M8" s="115">
        <v>12.7</v>
      </c>
      <c r="N8" s="179">
        <v>129</v>
      </c>
    </row>
    <row r="9" spans="2:14" ht="15.75" thickBot="1">
      <c r="L9" s="167" t="s">
        <v>489</v>
      </c>
      <c r="M9" s="115">
        <v>15.9</v>
      </c>
      <c r="N9" s="179">
        <v>199</v>
      </c>
    </row>
    <row r="10" spans="2:14">
      <c r="B10" s="310" t="s">
        <v>534</v>
      </c>
      <c r="C10" s="312"/>
      <c r="D10" s="312"/>
      <c r="E10" s="312"/>
      <c r="F10" s="312"/>
      <c r="G10" s="312"/>
      <c r="H10" s="312"/>
      <c r="I10" s="314"/>
      <c r="L10" s="167" t="s">
        <v>490</v>
      </c>
      <c r="M10" s="115">
        <v>19.100000000000001</v>
      </c>
      <c r="N10" s="179">
        <v>284</v>
      </c>
    </row>
    <row r="11" spans="2:14">
      <c r="B11" s="315" t="s">
        <v>531</v>
      </c>
      <c r="C11" s="302"/>
      <c r="D11" s="302"/>
      <c r="E11" s="302"/>
      <c r="F11" s="302"/>
      <c r="G11" s="302"/>
      <c r="H11" s="302"/>
      <c r="I11" s="316"/>
      <c r="L11" s="167" t="s">
        <v>491</v>
      </c>
      <c r="M11" s="115">
        <v>22.2</v>
      </c>
      <c r="N11" s="179">
        <v>387</v>
      </c>
    </row>
    <row r="12" spans="2:14">
      <c r="B12" s="48"/>
      <c r="C12" s="46" t="s">
        <v>551</v>
      </c>
      <c r="D12" s="46" t="s">
        <v>550</v>
      </c>
      <c r="E12" s="46" t="s">
        <v>554</v>
      </c>
      <c r="F12" s="46" t="s">
        <v>540</v>
      </c>
      <c r="G12" s="46" t="s">
        <v>538</v>
      </c>
      <c r="H12" s="46" t="s">
        <v>542</v>
      </c>
      <c r="I12" s="49" t="s">
        <v>539</v>
      </c>
      <c r="L12" s="167" t="s">
        <v>492</v>
      </c>
      <c r="M12" s="115">
        <v>25.4</v>
      </c>
      <c r="N12" s="179">
        <v>510</v>
      </c>
    </row>
    <row r="13" spans="2:14">
      <c r="B13" s="3" t="s">
        <v>543</v>
      </c>
      <c r="C13" s="6">
        <f>+'Diseño de acero'!G182/100</f>
        <v>0</v>
      </c>
      <c r="D13" s="6">
        <f>+'Diseño de acero'!G189</f>
        <v>0</v>
      </c>
      <c r="E13" s="6">
        <v>1</v>
      </c>
      <c r="F13" s="4">
        <f>+'Diseño de acero'!E186</f>
        <v>0</v>
      </c>
      <c r="G13" s="4" t="s">
        <v>523</v>
      </c>
      <c r="H13" s="4">
        <v>0</v>
      </c>
      <c r="I13" s="185">
        <v>0</v>
      </c>
      <c r="L13" s="167" t="s">
        <v>493</v>
      </c>
      <c r="M13" s="115">
        <v>28.7</v>
      </c>
      <c r="N13" s="179">
        <v>645</v>
      </c>
    </row>
    <row r="14" spans="2:14">
      <c r="B14" s="3" t="s">
        <v>536</v>
      </c>
      <c r="C14" s="6" t="e">
        <f>+'Diseño de acero'!G267</f>
        <v>#N/A</v>
      </c>
      <c r="D14" s="6" t="e">
        <f>+'Diseño de acero'!G267</f>
        <v>#N/A</v>
      </c>
      <c r="E14" s="6">
        <f>+'Dimensiones Muro'!D16-'Dimensiones Muro'!D8-'Dimensiones Muro'!D12</f>
        <v>0.79999999999999982</v>
      </c>
      <c r="F14" s="4">
        <f>+'Diseño de acero'!E264</f>
        <v>0</v>
      </c>
      <c r="G14" s="4" t="s">
        <v>523</v>
      </c>
      <c r="H14" s="4">
        <v>0</v>
      </c>
      <c r="I14" s="185">
        <v>0</v>
      </c>
      <c r="L14" s="167" t="s">
        <v>494</v>
      </c>
      <c r="M14" s="115">
        <v>32.299999999999997</v>
      </c>
      <c r="N14" s="179">
        <v>819</v>
      </c>
    </row>
    <row r="15" spans="2:14">
      <c r="B15" s="315" t="s">
        <v>535</v>
      </c>
      <c r="C15" s="302"/>
      <c r="D15" s="302"/>
      <c r="E15" s="302"/>
      <c r="F15" s="302"/>
      <c r="G15" s="302"/>
      <c r="H15" s="302"/>
      <c r="I15" s="316"/>
      <c r="L15" s="167" t="s">
        <v>495</v>
      </c>
      <c r="M15" s="115">
        <v>35.799999999999997</v>
      </c>
      <c r="N15" s="179">
        <v>1006</v>
      </c>
    </row>
    <row r="16" spans="2:14">
      <c r="B16" s="48"/>
      <c r="C16" s="46" t="s">
        <v>551</v>
      </c>
      <c r="D16" s="46" t="s">
        <v>550</v>
      </c>
      <c r="E16" s="46" t="s">
        <v>554</v>
      </c>
      <c r="F16" s="46" t="s">
        <v>540</v>
      </c>
      <c r="G16" s="46" t="s">
        <v>538</v>
      </c>
      <c r="H16" s="46" t="s">
        <v>542</v>
      </c>
      <c r="I16" s="49" t="s">
        <v>539</v>
      </c>
      <c r="L16" s="167" t="s">
        <v>496</v>
      </c>
      <c r="M16" s="115">
        <v>43</v>
      </c>
      <c r="N16" s="179">
        <v>1452</v>
      </c>
    </row>
    <row r="17" spans="2:14" ht="15.75" thickBot="1">
      <c r="B17" s="3" t="s">
        <v>543</v>
      </c>
      <c r="C17" s="6">
        <f>+'Diseño de acero'!G124/100</f>
        <v>10.472475189738921</v>
      </c>
      <c r="D17" s="6">
        <f>+'Diseño de acero'!G131</f>
        <v>13.93</v>
      </c>
      <c r="E17" s="6">
        <v>1</v>
      </c>
      <c r="F17" s="4">
        <f>+'Diseño de acero'!E128</f>
        <v>7</v>
      </c>
      <c r="G17" s="4" t="str">
        <f>+'Diseño de acero'!E129</f>
        <v>No. 5</v>
      </c>
      <c r="H17" s="4">
        <f>(VLOOKUP(G17,$L$5:$N$17,2))</f>
        <v>15.9</v>
      </c>
      <c r="I17" s="185">
        <v>0.1</v>
      </c>
      <c r="L17" s="180" t="s">
        <v>497</v>
      </c>
      <c r="M17" s="181">
        <v>57.3</v>
      </c>
      <c r="N17" s="182">
        <v>2581</v>
      </c>
    </row>
    <row r="18" spans="2:14" ht="15.75" thickBot="1">
      <c r="B18" s="70" t="s">
        <v>537</v>
      </c>
      <c r="C18" s="79">
        <f>+'Diseño de acero'!G241</f>
        <v>12.78</v>
      </c>
      <c r="D18" s="79">
        <f>+'Dimensiones Muro'!D16-'Dimensiones Muro'!D12</f>
        <v>2.6</v>
      </c>
      <c r="E18" s="79">
        <f>+'Dimensiones Muro'!D16-'Dimensiones Muro'!D12</f>
        <v>2.6</v>
      </c>
      <c r="F18" s="174">
        <f>+'Diseño de acero'!E238</f>
        <v>18</v>
      </c>
      <c r="G18" s="174" t="str">
        <f>+'Diseño de acero'!E239</f>
        <v>No. 3</v>
      </c>
      <c r="H18" s="174">
        <f>(VLOOKUP(G18,$L$5:$N$17,2))</f>
        <v>9.5</v>
      </c>
      <c r="I18" s="186">
        <v>0.2</v>
      </c>
    </row>
  </sheetData>
  <mergeCells count="6">
    <mergeCell ref="B5:I5"/>
    <mergeCell ref="B10:I10"/>
    <mergeCell ref="B11:I11"/>
    <mergeCell ref="B15:I15"/>
    <mergeCell ref="B2:G2"/>
    <mergeCell ref="B3:G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7BF55-FA06-4A65-BCAC-8CF2B619E467}">
  <dimension ref="C1:K27"/>
  <sheetViews>
    <sheetView showGridLines="0" topLeftCell="A4" zoomScale="76" zoomScaleNormal="115" workbookViewId="0">
      <selection activeCell="G9" sqref="G9:J9"/>
    </sheetView>
  </sheetViews>
  <sheetFormatPr baseColWidth="10" defaultRowHeight="15"/>
  <cols>
    <col min="1" max="1" width="11.42578125" style="105"/>
    <col min="2" max="2" width="11.42578125" style="105" customWidth="1"/>
    <col min="3" max="16384" width="11.42578125" style="105"/>
  </cols>
  <sheetData>
    <row r="1" spans="3:11" ht="15.75" thickBot="1"/>
    <row r="2" spans="3:11">
      <c r="C2" s="251" t="s">
        <v>319</v>
      </c>
      <c r="D2" s="252"/>
      <c r="E2" s="252"/>
      <c r="F2" s="252"/>
      <c r="G2" s="252"/>
      <c r="H2" s="252"/>
      <c r="I2" s="252"/>
      <c r="J2" s="252"/>
      <c r="K2" s="253"/>
    </row>
    <row r="3" spans="3:11" ht="39" customHeight="1" thickBot="1">
      <c r="C3" s="280" t="s">
        <v>557</v>
      </c>
      <c r="D3" s="281"/>
      <c r="E3" s="281"/>
      <c r="F3" s="281"/>
      <c r="G3" s="281"/>
      <c r="H3" s="281"/>
      <c r="I3" s="281"/>
      <c r="J3" s="281"/>
      <c r="K3" s="282"/>
    </row>
    <row r="4" spans="3:11" ht="15.75" thickBot="1"/>
    <row r="5" spans="3:11">
      <c r="C5" s="187"/>
      <c r="D5" s="188"/>
      <c r="E5" s="188"/>
      <c r="F5" s="188"/>
      <c r="G5" s="188"/>
      <c r="H5" s="188"/>
      <c r="I5" s="188"/>
      <c r="J5" s="188"/>
      <c r="K5" s="189"/>
    </row>
    <row r="6" spans="3:11">
      <c r="C6" s="190"/>
      <c r="D6" s="142">
        <f>+'Dimensiones Muro'!F23</f>
        <v>0.3</v>
      </c>
      <c r="K6" s="191"/>
    </row>
    <row r="7" spans="3:11">
      <c r="C7" s="190"/>
      <c r="G7" s="317" t="str">
        <f>_xlfn.CONCAT('Resumen de refuerzo'!F8," ",'Resumen de refuerzo'!G8, " @",'Resumen de refuerzo'!I8," [m]")</f>
        <v>14 No. 5 @0,2 [m]</v>
      </c>
      <c r="H7" s="317"/>
      <c r="K7" s="191"/>
    </row>
    <row r="8" spans="3:11">
      <c r="C8" s="190"/>
      <c r="K8" s="191"/>
    </row>
    <row r="9" spans="3:11">
      <c r="C9" s="190"/>
      <c r="G9" s="317" t="str">
        <f>_xlfn.CONCAT('Resumen de refuerzo'!F7," ",'Resumen de refuerzo'!G7, " @",'Resumen de refuerzo'!I7," [m]"," Por cada metro de muro")</f>
        <v>7 No. 5 @0,15 [m] Por cada metro de muro</v>
      </c>
      <c r="H9" s="317"/>
      <c r="I9" s="317"/>
      <c r="J9" s="317"/>
      <c r="K9" s="191"/>
    </row>
    <row r="10" spans="3:11">
      <c r="C10" s="190"/>
      <c r="K10" s="191"/>
    </row>
    <row r="11" spans="3:11">
      <c r="C11" s="190"/>
      <c r="K11" s="191"/>
    </row>
    <row r="12" spans="3:11">
      <c r="C12" s="190"/>
      <c r="K12" s="191"/>
    </row>
    <row r="13" spans="3:11">
      <c r="C13" s="190"/>
      <c r="K13" s="191"/>
    </row>
    <row r="14" spans="3:11">
      <c r="C14" s="190"/>
      <c r="E14" s="142">
        <f>+'Dimensiones Muro'!G27</f>
        <v>3</v>
      </c>
      <c r="K14" s="191"/>
    </row>
    <row r="15" spans="3:11">
      <c r="C15" s="190"/>
      <c r="H15" s="317" t="str">
        <f>_xlfn.CONCAT('Resumen de refuerzo'!F18," ",'Resumen de refuerzo'!G18, " @",'Resumen de refuerzo'!I18," [m]")</f>
        <v>18 No. 3 @0,2 [m]</v>
      </c>
      <c r="I15" s="317"/>
      <c r="K15" s="191"/>
    </row>
    <row r="16" spans="3:11">
      <c r="C16" s="190"/>
      <c r="K16" s="191"/>
    </row>
    <row r="17" spans="3:11">
      <c r="C17" s="190"/>
      <c r="H17" s="317" t="str">
        <f>_xlfn.CONCAT('Resumen de refuerzo'!F17," ",'Resumen de refuerzo'!G17, " @",'Resumen de refuerzo'!I17," [m]"," Por cada metro de muro")</f>
        <v>7 No. 5 @0,1 [m] Por cada metro de muro</v>
      </c>
      <c r="I17" s="317"/>
      <c r="J17" s="317"/>
      <c r="K17" s="318"/>
    </row>
    <row r="18" spans="3:11">
      <c r="C18" s="192">
        <f>+'Dimensiones Muro'!E27</f>
        <v>3.5</v>
      </c>
      <c r="K18" s="191"/>
    </row>
    <row r="19" spans="3:11">
      <c r="C19" s="190"/>
      <c r="K19" s="191"/>
    </row>
    <row r="20" spans="3:11">
      <c r="C20" s="190"/>
      <c r="F20" s="142">
        <f>+'Dimensiones Muro'!G31</f>
        <v>1.8</v>
      </c>
      <c r="K20" s="191"/>
    </row>
    <row r="21" spans="3:11">
      <c r="C21" s="190"/>
      <c r="K21" s="191"/>
    </row>
    <row r="22" spans="3:11">
      <c r="C22" s="190"/>
      <c r="K22" s="191"/>
    </row>
    <row r="23" spans="3:11">
      <c r="C23" s="190"/>
      <c r="H23" s="142">
        <f>+'Dimensiones Muro'!I32</f>
        <v>0.5</v>
      </c>
      <c r="K23" s="191"/>
    </row>
    <row r="24" spans="3:11">
      <c r="C24" s="190"/>
      <c r="K24" s="191"/>
    </row>
    <row r="25" spans="3:11">
      <c r="C25" s="190"/>
      <c r="K25" s="191"/>
    </row>
    <row r="26" spans="3:11">
      <c r="C26" s="190"/>
      <c r="F26" s="142">
        <f>+'Dimensiones Muro'!G33</f>
        <v>2.9</v>
      </c>
      <c r="K26" s="191"/>
    </row>
    <row r="27" spans="3:11" ht="15.75" thickBot="1">
      <c r="C27" s="193"/>
      <c r="D27" s="194"/>
      <c r="E27" s="194"/>
      <c r="F27" s="194"/>
      <c r="G27" s="194"/>
      <c r="H27" s="194"/>
      <c r="I27" s="194"/>
      <c r="J27" s="194"/>
      <c r="K27" s="195"/>
    </row>
  </sheetData>
  <mergeCells count="6">
    <mergeCell ref="H17:K17"/>
    <mergeCell ref="C3:K3"/>
    <mergeCell ref="C2:K2"/>
    <mergeCell ref="G7:H7"/>
    <mergeCell ref="G9:J9"/>
    <mergeCell ref="H15:I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2B6AF-013C-41DE-BFB5-901542D6BEB8}">
  <dimension ref="C1:M25"/>
  <sheetViews>
    <sheetView showGridLines="0" topLeftCell="A4" zoomScale="85" zoomScaleNormal="85" workbookViewId="0">
      <selection activeCell="N13" sqref="N13"/>
    </sheetView>
  </sheetViews>
  <sheetFormatPr baseColWidth="10" defaultColWidth="10.7109375" defaultRowHeight="15"/>
  <sheetData>
    <row r="1" spans="3:13" ht="15.75" thickBot="1"/>
    <row r="2" spans="3:13" s="1" customFormat="1">
      <c r="C2" s="221" t="s">
        <v>31</v>
      </c>
      <c r="D2" s="222"/>
      <c r="E2" s="222"/>
      <c r="F2" s="222"/>
      <c r="G2" s="222"/>
      <c r="H2" s="222"/>
      <c r="I2" s="222"/>
      <c r="J2" s="222"/>
      <c r="K2" s="222"/>
      <c r="L2" s="222"/>
      <c r="M2" s="223"/>
    </row>
    <row r="3" spans="3:13" s="1" customFormat="1" ht="15.75" thickBot="1">
      <c r="C3" s="224" t="s">
        <v>266</v>
      </c>
      <c r="D3" s="225"/>
      <c r="E3" s="225"/>
      <c r="F3" s="225"/>
      <c r="G3" s="225"/>
      <c r="H3" s="225"/>
      <c r="I3" s="225"/>
      <c r="J3" s="225"/>
      <c r="K3" s="225"/>
      <c r="L3" s="225"/>
      <c r="M3" s="226"/>
    </row>
    <row r="4" spans="3:13" ht="15.75" thickBot="1"/>
    <row r="5" spans="3:13">
      <c r="G5" s="100"/>
      <c r="H5" s="101"/>
      <c r="I5" s="101"/>
      <c r="J5" s="101"/>
      <c r="K5" s="101"/>
      <c r="L5" s="101"/>
      <c r="M5" s="102"/>
    </row>
    <row r="6" spans="3:13">
      <c r="G6" s="90"/>
      <c r="M6" s="91"/>
    </row>
    <row r="7" spans="3:13">
      <c r="G7" s="90"/>
      <c r="M7" s="91"/>
    </row>
    <row r="8" spans="3:13">
      <c r="G8" s="90"/>
      <c r="M8" s="91"/>
    </row>
    <row r="9" spans="3:13">
      <c r="G9" s="90"/>
      <c r="M9" s="91"/>
    </row>
    <row r="10" spans="3:13">
      <c r="G10" s="90"/>
      <c r="M10" s="91"/>
    </row>
    <row r="11" spans="3:13">
      <c r="G11" s="90"/>
      <c r="M11" s="91"/>
    </row>
    <row r="12" spans="3:13">
      <c r="G12" s="90"/>
      <c r="M12" s="91"/>
    </row>
    <row r="13" spans="3:13">
      <c r="G13" s="90"/>
      <c r="M13" s="91"/>
    </row>
    <row r="14" spans="3:13">
      <c r="G14" s="90"/>
      <c r="M14" s="91"/>
    </row>
    <row r="15" spans="3:13">
      <c r="G15" s="90"/>
      <c r="M15" s="91"/>
    </row>
    <row r="16" spans="3:13">
      <c r="G16" s="90"/>
      <c r="M16" s="91"/>
    </row>
    <row r="17" spans="7:13">
      <c r="G17" s="90"/>
      <c r="M17" s="91"/>
    </row>
    <row r="18" spans="7:13">
      <c r="G18" s="90"/>
      <c r="M18" s="91"/>
    </row>
    <row r="19" spans="7:13">
      <c r="G19" s="90"/>
      <c r="M19" s="91"/>
    </row>
    <row r="20" spans="7:13">
      <c r="G20" s="90"/>
      <c r="M20" s="91"/>
    </row>
    <row r="21" spans="7:13">
      <c r="G21" s="90"/>
      <c r="M21" s="91"/>
    </row>
    <row r="22" spans="7:13">
      <c r="G22" s="90"/>
      <c r="M22" s="91"/>
    </row>
    <row r="23" spans="7:13">
      <c r="G23" s="90"/>
      <c r="M23" s="91"/>
    </row>
    <row r="24" spans="7:13">
      <c r="G24" s="90"/>
      <c r="M24" s="91"/>
    </row>
    <row r="25" spans="7:13" ht="15.75" thickBot="1">
      <c r="G25" s="92"/>
      <c r="H25" s="93"/>
      <c r="I25" s="93"/>
      <c r="J25" s="93"/>
      <c r="K25" s="93"/>
      <c r="L25" s="93"/>
      <c r="M25" s="94"/>
    </row>
  </sheetData>
  <mergeCells count="2">
    <mergeCell ref="C2:M2"/>
    <mergeCell ref="C3:M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6D643-03F9-4D25-B2C9-833BBB8CB0E5}">
  <dimension ref="B1:M110"/>
  <sheetViews>
    <sheetView showGridLines="0" topLeftCell="A81" zoomScale="89" zoomScaleNormal="110" workbookViewId="0">
      <selection activeCell="I63" sqref="I63"/>
    </sheetView>
  </sheetViews>
  <sheetFormatPr baseColWidth="10" defaultColWidth="11.42578125" defaultRowHeight="15"/>
  <cols>
    <col min="1" max="1" width="11.42578125" style="1"/>
    <col min="2" max="2" width="19.28515625" style="1" customWidth="1"/>
    <col min="3" max="3" width="41.5703125" style="1" customWidth="1"/>
    <col min="4" max="8" width="11.42578125" style="1"/>
    <col min="9" max="9" width="123" style="13" customWidth="1"/>
    <col min="10" max="16384" width="11.42578125" style="1"/>
  </cols>
  <sheetData>
    <row r="1" spans="2:13" ht="15.75" thickBot="1">
      <c r="I1" s="1"/>
    </row>
    <row r="2" spans="2:13" ht="15.75" thickBot="1">
      <c r="C2" s="231" t="s">
        <v>32</v>
      </c>
      <c r="D2" s="232"/>
      <c r="E2" s="232"/>
      <c r="F2" s="232"/>
      <c r="G2" s="232"/>
      <c r="H2" s="232"/>
      <c r="I2" s="233"/>
    </row>
    <row r="3" spans="2:13" ht="15.75" thickBot="1">
      <c r="I3" s="1"/>
    </row>
    <row r="4" spans="2:13">
      <c r="C4" s="213" t="s">
        <v>31</v>
      </c>
      <c r="D4" s="214"/>
      <c r="E4" s="214"/>
      <c r="F4" s="214"/>
      <c r="G4" s="214"/>
      <c r="H4" s="214"/>
      <c r="I4" s="215"/>
      <c r="J4" s="230"/>
      <c r="K4" s="230"/>
      <c r="L4" s="230"/>
      <c r="M4" s="230"/>
    </row>
    <row r="5" spans="2:13">
      <c r="C5" s="234" t="s">
        <v>39</v>
      </c>
      <c r="D5" s="230"/>
      <c r="E5" s="230"/>
      <c r="F5" s="230"/>
      <c r="G5" s="230"/>
      <c r="H5" s="230"/>
      <c r="I5" s="235"/>
      <c r="J5" s="15"/>
      <c r="K5" s="15"/>
      <c r="L5" s="15"/>
      <c r="M5" s="15"/>
    </row>
    <row r="6" spans="2:13">
      <c r="C6" s="234" t="s">
        <v>40</v>
      </c>
      <c r="D6" s="230"/>
      <c r="E6" s="230"/>
      <c r="F6" s="230"/>
      <c r="G6" s="230"/>
      <c r="H6" s="230"/>
      <c r="I6" s="235"/>
      <c r="J6" s="230"/>
      <c r="K6" s="230"/>
      <c r="L6" s="230"/>
      <c r="M6" s="230"/>
    </row>
    <row r="7" spans="2:13">
      <c r="C7" s="234" t="s">
        <v>34</v>
      </c>
      <c r="D7" s="230"/>
      <c r="E7" s="230"/>
      <c r="F7" s="230"/>
      <c r="G7" s="230"/>
      <c r="H7" s="230"/>
      <c r="I7" s="235"/>
      <c r="J7" s="230"/>
      <c r="K7" s="230"/>
      <c r="L7" s="230"/>
      <c r="M7" s="230"/>
    </row>
    <row r="8" spans="2:13">
      <c r="C8" s="234" t="s">
        <v>36</v>
      </c>
      <c r="D8" s="230"/>
      <c r="E8" s="230"/>
      <c r="F8" s="230"/>
      <c r="G8" s="230"/>
      <c r="H8" s="230"/>
      <c r="I8" s="235"/>
    </row>
    <row r="9" spans="2:13" ht="15.75" thickBot="1">
      <c r="C9" s="224" t="s">
        <v>35</v>
      </c>
      <c r="D9" s="225"/>
      <c r="E9" s="225"/>
      <c r="F9" s="225"/>
      <c r="G9" s="225"/>
      <c r="H9" s="225"/>
      <c r="I9" s="226"/>
    </row>
    <row r="10" spans="2:13" ht="15.75" thickBot="1">
      <c r="I10" s="1"/>
    </row>
    <row r="11" spans="2:13" ht="15.75" thickBot="1">
      <c r="B11" s="18" t="s">
        <v>18</v>
      </c>
      <c r="C11" s="244" t="s">
        <v>19</v>
      </c>
      <c r="D11" s="245"/>
      <c r="E11" s="245"/>
      <c r="F11" s="245"/>
      <c r="G11" s="246"/>
      <c r="I11" s="17" t="s">
        <v>17</v>
      </c>
      <c r="K11" s="30"/>
      <c r="L11" s="31"/>
      <c r="M11" s="32"/>
    </row>
    <row r="12" spans="2:13">
      <c r="B12" s="21">
        <v>1.1000000000000001</v>
      </c>
      <c r="C12" s="3"/>
      <c r="D12" s="25">
        <v>0</v>
      </c>
      <c r="E12" s="12" t="s">
        <v>4</v>
      </c>
      <c r="F12" s="19">
        <f>RADIANS(D12)</f>
        <v>0</v>
      </c>
      <c r="G12" s="12" t="s">
        <v>5</v>
      </c>
      <c r="I12" s="13" t="s">
        <v>21</v>
      </c>
      <c r="K12" s="5"/>
      <c r="M12" s="2"/>
    </row>
    <row r="13" spans="2:13">
      <c r="B13" s="21">
        <v>1.2</v>
      </c>
      <c r="C13" s="12" t="s">
        <v>565</v>
      </c>
      <c r="D13" s="25">
        <v>0.6</v>
      </c>
      <c r="E13" s="10" t="s">
        <v>3</v>
      </c>
      <c r="I13" s="13" t="s">
        <v>431</v>
      </c>
      <c r="K13" s="5"/>
      <c r="M13" s="2"/>
    </row>
    <row r="14" spans="2:13">
      <c r="B14" s="21">
        <v>1.3</v>
      </c>
      <c r="C14" s="12" t="s">
        <v>8</v>
      </c>
      <c r="D14" s="25">
        <v>3.5</v>
      </c>
      <c r="E14" s="10" t="s">
        <v>3</v>
      </c>
      <c r="I14" s="13" t="s">
        <v>22</v>
      </c>
      <c r="K14" s="5"/>
      <c r="M14" s="2"/>
    </row>
    <row r="15" spans="2:13" ht="30">
      <c r="B15" s="21">
        <v>1.4</v>
      </c>
      <c r="C15" s="10" t="s">
        <v>14</v>
      </c>
      <c r="D15" s="26">
        <v>0.84</v>
      </c>
      <c r="E15" s="10" t="s">
        <v>3</v>
      </c>
      <c r="F15" s="13"/>
      <c r="I15" s="14" t="s">
        <v>44</v>
      </c>
      <c r="K15" s="5"/>
      <c r="M15" s="2"/>
    </row>
    <row r="16" spans="2:13" ht="30" customHeight="1">
      <c r="B16" s="21">
        <v>1.5</v>
      </c>
      <c r="C16" s="10" t="s">
        <v>11</v>
      </c>
      <c r="D16" s="26">
        <v>0.02</v>
      </c>
      <c r="E16" s="10" t="s">
        <v>10</v>
      </c>
      <c r="F16" s="13"/>
      <c r="I16" s="14" t="s">
        <v>48</v>
      </c>
      <c r="K16" s="5"/>
      <c r="M16" s="2"/>
    </row>
    <row r="17" spans="2:13">
      <c r="B17" s="22">
        <v>1.6</v>
      </c>
      <c r="C17" s="10" t="s">
        <v>12</v>
      </c>
      <c r="D17" s="26">
        <v>0.3</v>
      </c>
      <c r="E17" s="10" t="s">
        <v>3</v>
      </c>
      <c r="F17" s="13"/>
      <c r="I17" s="14" t="s">
        <v>43</v>
      </c>
      <c r="K17" s="5"/>
      <c r="M17" s="2"/>
    </row>
    <row r="18" spans="2:13">
      <c r="B18" s="22">
        <v>1.7</v>
      </c>
      <c r="C18" s="10"/>
      <c r="D18" s="26">
        <v>90</v>
      </c>
      <c r="E18" s="12" t="s">
        <v>4</v>
      </c>
      <c r="F18" s="6">
        <f>RADIANS(D18)</f>
        <v>1.5707963267948966</v>
      </c>
      <c r="G18" s="10" t="s">
        <v>5</v>
      </c>
      <c r="I18" s="14" t="s">
        <v>588</v>
      </c>
      <c r="K18" s="5"/>
      <c r="M18" s="2"/>
    </row>
    <row r="19" spans="2:13" ht="15.75" thickBot="1">
      <c r="K19" s="5"/>
      <c r="M19" s="2"/>
    </row>
    <row r="20" spans="2:13" ht="15.75" thickBot="1">
      <c r="C20" s="236" t="s">
        <v>29</v>
      </c>
      <c r="D20" s="237"/>
      <c r="E20" s="237"/>
      <c r="F20" s="237"/>
      <c r="G20" s="238"/>
      <c r="K20" s="5"/>
      <c r="M20" s="2"/>
    </row>
    <row r="21" spans="2:13">
      <c r="B21" s="20">
        <v>2.1</v>
      </c>
      <c r="C21" s="12"/>
      <c r="D21" s="25">
        <v>0</v>
      </c>
      <c r="E21" s="12" t="s">
        <v>6</v>
      </c>
      <c r="I21" s="13" t="s">
        <v>23</v>
      </c>
      <c r="K21" s="5"/>
      <c r="M21" s="2"/>
    </row>
    <row r="22" spans="2:13">
      <c r="B22" s="21">
        <v>2.2000000000000002</v>
      </c>
      <c r="C22" s="10"/>
      <c r="D22" s="26">
        <v>30</v>
      </c>
      <c r="E22" s="10" t="s">
        <v>4</v>
      </c>
      <c r="F22" s="6">
        <f>RADIANS(D22)</f>
        <v>0.52359877559829882</v>
      </c>
      <c r="G22" s="10" t="s">
        <v>5</v>
      </c>
      <c r="I22" s="13" t="s">
        <v>24</v>
      </c>
      <c r="K22" s="5"/>
      <c r="M22" s="2"/>
    </row>
    <row r="23" spans="2:13">
      <c r="B23" s="21">
        <v>2.2999999999999998</v>
      </c>
      <c r="C23" s="10"/>
      <c r="D23" s="26">
        <v>20</v>
      </c>
      <c r="E23" s="10" t="s">
        <v>9</v>
      </c>
      <c r="I23" s="13" t="s">
        <v>25</v>
      </c>
      <c r="K23" s="5"/>
      <c r="M23" s="2"/>
    </row>
    <row r="24" spans="2:13">
      <c r="B24" s="22">
        <v>2.4</v>
      </c>
      <c r="C24" s="10"/>
      <c r="D24" s="26">
        <v>0</v>
      </c>
      <c r="E24" s="10" t="s">
        <v>9</v>
      </c>
      <c r="I24" s="13" t="s">
        <v>49</v>
      </c>
      <c r="K24" s="5"/>
      <c r="M24" s="2"/>
    </row>
    <row r="25" spans="2:13" ht="15.75" thickBot="1">
      <c r="K25" s="5"/>
      <c r="M25" s="2"/>
    </row>
    <row r="26" spans="2:13" ht="15.75" thickBot="1">
      <c r="C26" s="247" t="s">
        <v>30</v>
      </c>
      <c r="D26" s="245"/>
      <c r="E26" s="245"/>
      <c r="F26" s="245"/>
      <c r="G26" s="246"/>
      <c r="K26" s="7"/>
      <c r="L26" s="8"/>
      <c r="M26" s="9"/>
    </row>
    <row r="27" spans="2:13" ht="15.75" thickBot="1">
      <c r="B27" s="20">
        <v>3.1</v>
      </c>
      <c r="C27" s="12"/>
      <c r="D27" s="25">
        <v>0</v>
      </c>
      <c r="E27" s="12" t="s">
        <v>6</v>
      </c>
      <c r="I27" s="13" t="s">
        <v>26</v>
      </c>
      <c r="K27" s="241" t="s">
        <v>38</v>
      </c>
      <c r="L27" s="242"/>
      <c r="M27" s="243"/>
    </row>
    <row r="28" spans="2:13">
      <c r="B28" s="21">
        <v>3.2</v>
      </c>
      <c r="C28" s="10"/>
      <c r="D28" s="26">
        <v>33</v>
      </c>
      <c r="E28" s="10" t="s">
        <v>4</v>
      </c>
      <c r="F28" s="6">
        <f>RADIANS(D28)</f>
        <v>0.57595865315812877</v>
      </c>
      <c r="G28" s="10" t="s">
        <v>5</v>
      </c>
      <c r="I28" s="13" t="s">
        <v>27</v>
      </c>
    </row>
    <row r="29" spans="2:13">
      <c r="B29" s="21">
        <v>3.3</v>
      </c>
      <c r="C29" s="10"/>
      <c r="D29" s="26">
        <v>20</v>
      </c>
      <c r="E29" s="10" t="s">
        <v>9</v>
      </c>
      <c r="I29" s="13" t="s">
        <v>28</v>
      </c>
    </row>
    <row r="30" spans="2:13">
      <c r="B30" s="22">
        <v>3.3</v>
      </c>
      <c r="C30" s="10"/>
      <c r="D30" s="26">
        <v>0</v>
      </c>
      <c r="E30" s="10" t="s">
        <v>9</v>
      </c>
      <c r="G30" s="16" t="s">
        <v>452</v>
      </c>
      <c r="I30" s="13" t="s">
        <v>50</v>
      </c>
    </row>
    <row r="31" spans="2:13">
      <c r="B31" s="22">
        <v>3.4</v>
      </c>
      <c r="C31" s="10"/>
      <c r="D31" s="26">
        <v>90</v>
      </c>
      <c r="E31" s="12" t="s">
        <v>4</v>
      </c>
      <c r="F31" s="6">
        <f>RADIANS(D31)</f>
        <v>1.5707963267948966</v>
      </c>
      <c r="G31" s="10" t="s">
        <v>5</v>
      </c>
      <c r="I31" s="14" t="s">
        <v>589</v>
      </c>
    </row>
    <row r="32" spans="2:13" ht="15.75" thickBot="1"/>
    <row r="33" spans="2:13" ht="15.75" thickBot="1">
      <c r="C33" s="247" t="s">
        <v>20</v>
      </c>
      <c r="D33" s="245"/>
      <c r="E33" s="245"/>
      <c r="F33" s="245"/>
      <c r="G33" s="246"/>
    </row>
    <row r="34" spans="2:13">
      <c r="B34" s="23">
        <v>4.0999999999999996</v>
      </c>
      <c r="C34" s="12"/>
      <c r="D34" s="25">
        <v>24</v>
      </c>
      <c r="E34" s="12" t="s">
        <v>9</v>
      </c>
      <c r="I34" s="13" t="s">
        <v>33</v>
      </c>
    </row>
    <row r="35" spans="2:13" ht="15.75" thickBot="1"/>
    <row r="36" spans="2:13" ht="15.75" thickBot="1">
      <c r="C36" s="236" t="s">
        <v>595</v>
      </c>
      <c r="D36" s="237"/>
      <c r="E36" s="237"/>
      <c r="F36" s="237"/>
      <c r="G36" s="238"/>
    </row>
    <row r="37" spans="2:13" ht="18">
      <c r="B37" s="20">
        <v>5.0999999999999996</v>
      </c>
      <c r="C37" s="12" t="s">
        <v>41</v>
      </c>
      <c r="D37" s="25">
        <v>0</v>
      </c>
      <c r="E37" s="12" t="s">
        <v>3</v>
      </c>
      <c r="I37" s="13" t="s">
        <v>596</v>
      </c>
    </row>
    <row r="38" spans="2:13">
      <c r="B38" s="22">
        <v>5.2</v>
      </c>
      <c r="C38" s="10"/>
      <c r="D38" s="24">
        <v>9.81</v>
      </c>
      <c r="E38" s="10" t="s">
        <v>9</v>
      </c>
      <c r="I38" s="13" t="s">
        <v>597</v>
      </c>
    </row>
    <row r="39" spans="2:13" ht="15.75" thickBot="1"/>
    <row r="40" spans="2:13" ht="15.75" thickBot="1">
      <c r="C40" s="236" t="s">
        <v>602</v>
      </c>
      <c r="D40" s="237"/>
      <c r="E40" s="237"/>
      <c r="F40" s="237"/>
      <c r="G40" s="238"/>
    </row>
    <row r="41" spans="2:13">
      <c r="B41" s="20">
        <v>6.1</v>
      </c>
      <c r="C41" s="10" t="s">
        <v>176</v>
      </c>
      <c r="D41" s="26" t="s">
        <v>177</v>
      </c>
      <c r="I41" s="13" t="s">
        <v>598</v>
      </c>
    </row>
    <row r="42" spans="2:13">
      <c r="B42" s="22">
        <v>6.2</v>
      </c>
      <c r="C42" s="10" t="s">
        <v>178</v>
      </c>
      <c r="D42" s="26">
        <v>5</v>
      </c>
      <c r="I42" s="13" t="s">
        <v>599</v>
      </c>
    </row>
    <row r="43" spans="2:13">
      <c r="C43" s="10" t="s">
        <v>165</v>
      </c>
      <c r="D43" s="4">
        <f>VLOOKUP(D42,F59:G69,2)</f>
        <v>0.25</v>
      </c>
      <c r="I43" s="65" t="s">
        <v>600</v>
      </c>
      <c r="J43" s="66"/>
      <c r="K43" s="66"/>
      <c r="L43" s="66"/>
      <c r="M43" s="66"/>
    </row>
    <row r="44" spans="2:13">
      <c r="C44" s="10" t="s">
        <v>164</v>
      </c>
      <c r="D44" s="4">
        <f>+G56</f>
        <v>1.1499999999999999</v>
      </c>
      <c r="I44" s="13" t="s">
        <v>601</v>
      </c>
    </row>
    <row r="45" spans="2:13" ht="15.75" thickBot="1">
      <c r="F45" s="1" t="s">
        <v>563</v>
      </c>
    </row>
    <row r="46" spans="2:13">
      <c r="F46" s="239" t="s">
        <v>168</v>
      </c>
      <c r="G46" s="240"/>
      <c r="I46" s="15" t="s">
        <v>310</v>
      </c>
    </row>
    <row r="47" spans="2:13">
      <c r="F47" s="67" t="s">
        <v>169</v>
      </c>
      <c r="G47" s="38">
        <v>0.2</v>
      </c>
    </row>
    <row r="48" spans="2:13">
      <c r="F48" s="3" t="s">
        <v>170</v>
      </c>
      <c r="G48" s="38">
        <v>1.2</v>
      </c>
    </row>
    <row r="49" spans="6:9">
      <c r="F49" s="68"/>
      <c r="G49" s="69"/>
    </row>
    <row r="50" spans="6:9">
      <c r="F50" s="3" t="s">
        <v>171</v>
      </c>
      <c r="G50" s="38">
        <v>0.3</v>
      </c>
      <c r="I50" s="13" t="s">
        <v>564</v>
      </c>
    </row>
    <row r="51" spans="6:9">
      <c r="F51" s="3" t="s">
        <v>172</v>
      </c>
      <c r="G51" s="38">
        <v>1.1000000000000001</v>
      </c>
    </row>
    <row r="52" spans="6:9">
      <c r="F52" s="68"/>
      <c r="G52" s="69"/>
    </row>
    <row r="53" spans="6:9">
      <c r="F53" s="3" t="s">
        <v>173</v>
      </c>
      <c r="G53" s="58">
        <f>(G51-G48)/(G50-G47)</f>
        <v>-0.99999999999999889</v>
      </c>
    </row>
    <row r="54" spans="6:9">
      <c r="F54" s="68"/>
      <c r="G54" s="69"/>
    </row>
    <row r="55" spans="6:9">
      <c r="F55" s="3" t="s">
        <v>174</v>
      </c>
      <c r="G55" s="58">
        <f>+D43</f>
        <v>0.25</v>
      </c>
    </row>
    <row r="56" spans="6:9" ht="15.75" thickBot="1">
      <c r="F56" s="70" t="s">
        <v>175</v>
      </c>
      <c r="G56" s="71">
        <f>G53*(G55-G47)+G48</f>
        <v>1.1499999999999999</v>
      </c>
    </row>
    <row r="57" spans="6:9">
      <c r="I57"/>
    </row>
    <row r="58" spans="6:9">
      <c r="F58" s="4" t="s">
        <v>178</v>
      </c>
      <c r="G58" s="4" t="s">
        <v>165</v>
      </c>
    </row>
    <row r="59" spans="6:9">
      <c r="F59" s="4">
        <v>1</v>
      </c>
      <c r="G59" s="4">
        <v>0.05</v>
      </c>
    </row>
    <row r="60" spans="6:9">
      <c r="F60" s="4">
        <v>2</v>
      </c>
      <c r="G60" s="4">
        <v>0.1</v>
      </c>
    </row>
    <row r="61" spans="6:9">
      <c r="F61" s="4">
        <v>3</v>
      </c>
      <c r="G61" s="4">
        <v>0.15</v>
      </c>
    </row>
    <row r="62" spans="6:9">
      <c r="F62" s="4">
        <v>4</v>
      </c>
      <c r="G62" s="4">
        <v>0.2</v>
      </c>
    </row>
    <row r="63" spans="6:9">
      <c r="F63" s="4">
        <v>5</v>
      </c>
      <c r="G63" s="4">
        <v>0.25</v>
      </c>
    </row>
    <row r="64" spans="6:9">
      <c r="F64" s="4">
        <v>6</v>
      </c>
      <c r="G64" s="4">
        <v>0.3</v>
      </c>
    </row>
    <row r="65" spans="2:9">
      <c r="F65" s="4">
        <v>7</v>
      </c>
      <c r="G65" s="4">
        <v>0.35</v>
      </c>
    </row>
    <row r="66" spans="2:9">
      <c r="F66" s="4">
        <v>8</v>
      </c>
      <c r="G66" s="4">
        <v>0.4</v>
      </c>
    </row>
    <row r="67" spans="2:9">
      <c r="F67" s="4">
        <v>9</v>
      </c>
      <c r="G67" s="4">
        <v>0.45</v>
      </c>
    </row>
    <row r="68" spans="2:9">
      <c r="F68" s="4">
        <v>10</v>
      </c>
      <c r="G68" s="4">
        <v>0.5</v>
      </c>
    </row>
    <row r="69" spans="2:9">
      <c r="F69" s="4">
        <v>11</v>
      </c>
      <c r="G69" s="4">
        <v>0.55000000000000004</v>
      </c>
    </row>
    <row r="70" spans="2:9" ht="15.75" thickBot="1"/>
    <row r="71" spans="2:9" ht="15.75" thickBot="1">
      <c r="C71" s="236" t="s">
        <v>603</v>
      </c>
      <c r="D71" s="237"/>
      <c r="E71" s="237"/>
      <c r="F71" s="237"/>
      <c r="G71" s="238"/>
    </row>
    <row r="73" spans="2:9">
      <c r="B73" s="20">
        <v>7.1</v>
      </c>
      <c r="C73" s="103" t="s">
        <v>306</v>
      </c>
      <c r="D73" s="24" t="s">
        <v>303</v>
      </c>
      <c r="I73" s="13" t="s">
        <v>307</v>
      </c>
    </row>
    <row r="74" spans="2:9">
      <c r="B74" s="21">
        <v>7.2</v>
      </c>
      <c r="C74" s="103" t="s">
        <v>290</v>
      </c>
      <c r="D74" s="4">
        <f>VLOOKUP(D73,C81:E86,2)</f>
        <v>240</v>
      </c>
      <c r="E74" s="10" t="s">
        <v>292</v>
      </c>
      <c r="I74" s="14" t="s">
        <v>451</v>
      </c>
    </row>
    <row r="75" spans="2:9">
      <c r="B75" s="21">
        <v>7.3</v>
      </c>
      <c r="C75" s="110" t="s">
        <v>291</v>
      </c>
      <c r="D75" s="112">
        <f>VLOOKUP(D73,C81:E86,3)</f>
        <v>5.5</v>
      </c>
      <c r="E75" s="108" t="s">
        <v>3</v>
      </c>
      <c r="I75" s="14" t="s">
        <v>450</v>
      </c>
    </row>
    <row r="76" spans="2:9" ht="18">
      <c r="B76" s="21">
        <v>7.4</v>
      </c>
      <c r="C76" s="111" t="s">
        <v>293</v>
      </c>
      <c r="D76" s="24">
        <v>45</v>
      </c>
      <c r="E76" s="10" t="s">
        <v>4</v>
      </c>
      <c r="F76" s="34">
        <f>RADIANS(D76)</f>
        <v>0.78539816339744828</v>
      </c>
      <c r="G76" s="10" t="s">
        <v>5</v>
      </c>
      <c r="I76" s="13" t="s">
        <v>312</v>
      </c>
    </row>
    <row r="77" spans="2:9" ht="18">
      <c r="B77" s="22">
        <v>7.5</v>
      </c>
      <c r="C77" s="109" t="s">
        <v>297</v>
      </c>
      <c r="D77" s="24">
        <v>0.81299999999999994</v>
      </c>
      <c r="E77" s="10" t="s">
        <v>3</v>
      </c>
      <c r="I77" s="13" t="s">
        <v>363</v>
      </c>
    </row>
    <row r="80" spans="2:9">
      <c r="B80"/>
      <c r="C80" s="4" t="s">
        <v>298</v>
      </c>
      <c r="D80" s="4" t="s">
        <v>308</v>
      </c>
      <c r="E80" s="4" t="s">
        <v>309</v>
      </c>
      <c r="I80" s="15" t="s">
        <v>311</v>
      </c>
    </row>
    <row r="81" spans="3:9">
      <c r="C81" s="4" t="s">
        <v>300</v>
      </c>
      <c r="D81" s="4">
        <v>60</v>
      </c>
      <c r="E81" s="4">
        <v>5.5</v>
      </c>
    </row>
    <row r="82" spans="3:9">
      <c r="C82" s="4" t="s">
        <v>301</v>
      </c>
      <c r="D82" s="4">
        <v>120</v>
      </c>
      <c r="E82" s="4">
        <v>5.5</v>
      </c>
    </row>
    <row r="83" spans="3:9">
      <c r="C83" s="4" t="s">
        <v>302</v>
      </c>
      <c r="D83" s="4">
        <v>240</v>
      </c>
      <c r="E83" s="4">
        <v>5.5</v>
      </c>
    </row>
    <row r="84" spans="3:9">
      <c r="C84" s="4" t="s">
        <v>303</v>
      </c>
      <c r="D84" s="4">
        <v>240</v>
      </c>
      <c r="E84" s="4">
        <v>5.5</v>
      </c>
    </row>
    <row r="85" spans="3:9">
      <c r="C85" s="4" t="s">
        <v>304</v>
      </c>
      <c r="D85" s="4">
        <v>550</v>
      </c>
      <c r="E85" s="4">
        <v>12.2</v>
      </c>
    </row>
    <row r="86" spans="3:9">
      <c r="C86" s="4" t="s">
        <v>305</v>
      </c>
      <c r="D86" s="4">
        <v>780</v>
      </c>
      <c r="E86" s="4">
        <v>12.2</v>
      </c>
    </row>
    <row r="93" spans="3:9">
      <c r="D93"/>
    </row>
    <row r="95" spans="3:9" ht="15.75" thickBot="1"/>
    <row r="96" spans="3:9" ht="15.75" thickBot="1">
      <c r="C96" s="236" t="s">
        <v>604</v>
      </c>
      <c r="D96" s="237"/>
      <c r="E96" s="237"/>
      <c r="F96" s="237"/>
      <c r="G96" s="238"/>
      <c r="I96" s="139" t="s">
        <v>430</v>
      </c>
    </row>
    <row r="97" spans="2:9">
      <c r="H97" s="134">
        <v>0</v>
      </c>
    </row>
    <row r="98" spans="2:9">
      <c r="B98" s="23">
        <v>8.1</v>
      </c>
      <c r="C98" s="10" t="s">
        <v>397</v>
      </c>
      <c r="D98" s="26">
        <v>0</v>
      </c>
      <c r="E98" s="10" t="s">
        <v>4</v>
      </c>
      <c r="H98" s="134">
        <v>10</v>
      </c>
      <c r="I98" s="15" t="s">
        <v>426</v>
      </c>
    </row>
    <row r="99" spans="2:9">
      <c r="H99" s="134">
        <v>20</v>
      </c>
    </row>
    <row r="100" spans="2:9" ht="30">
      <c r="B100" s="23">
        <v>8.1999999999999993</v>
      </c>
      <c r="C100" s="10" t="s">
        <v>398</v>
      </c>
      <c r="D100" s="26">
        <v>0</v>
      </c>
      <c r="E100" s="10" t="s">
        <v>3</v>
      </c>
      <c r="H100" s="134">
        <v>30</v>
      </c>
      <c r="I100" s="53" t="s">
        <v>566</v>
      </c>
    </row>
    <row r="101" spans="2:9">
      <c r="H101" s="134">
        <v>40</v>
      </c>
    </row>
    <row r="102" spans="2:9">
      <c r="B102" s="23">
        <v>8.3000000000000007</v>
      </c>
      <c r="C102" s="10" t="s">
        <v>399</v>
      </c>
      <c r="D102" s="4">
        <f>IF(D100=0,2*'Dimensiones Muro'!D16,Input!D100)</f>
        <v>5.8</v>
      </c>
      <c r="E102" s="10" t="s">
        <v>3</v>
      </c>
      <c r="I102" s="15" t="s">
        <v>400</v>
      </c>
    </row>
    <row r="104" spans="2:9" ht="15.75" thickBot="1"/>
    <row r="105" spans="2:9" ht="15.75" thickBot="1">
      <c r="B105" s="227" t="s">
        <v>428</v>
      </c>
      <c r="C105" s="228"/>
      <c r="D105" s="228"/>
      <c r="E105" s="228"/>
      <c r="F105" s="228"/>
      <c r="G105" s="229"/>
    </row>
    <row r="107" spans="2:9">
      <c r="B107" s="10"/>
      <c r="C107" s="199">
        <v>1</v>
      </c>
      <c r="D107" s="10" t="s">
        <v>6</v>
      </c>
    </row>
    <row r="108" spans="2:9">
      <c r="B108" s="10"/>
      <c r="C108" s="199">
        <v>40</v>
      </c>
      <c r="D108" s="10" t="s">
        <v>4</v>
      </c>
      <c r="E108" s="6">
        <f>RADIANS(C108)</f>
        <v>0.69813170079773179</v>
      </c>
      <c r="F108" s="10" t="s">
        <v>5</v>
      </c>
    </row>
    <row r="109" spans="2:9">
      <c r="B109" s="10"/>
      <c r="C109" s="199">
        <v>18</v>
      </c>
      <c r="D109" s="10" t="s">
        <v>9</v>
      </c>
    </row>
    <row r="110" spans="2:9">
      <c r="B110" s="10" t="s">
        <v>627</v>
      </c>
      <c r="C110" s="4" t="s">
        <v>657</v>
      </c>
    </row>
  </sheetData>
  <mergeCells count="21">
    <mergeCell ref="C8:I8"/>
    <mergeCell ref="C9:I9"/>
    <mergeCell ref="C33:G33"/>
    <mergeCell ref="C36:G36"/>
    <mergeCell ref="C40:G40"/>
    <mergeCell ref="B105:G105"/>
    <mergeCell ref="J4:M4"/>
    <mergeCell ref="C2:I2"/>
    <mergeCell ref="J7:M7"/>
    <mergeCell ref="C6:I6"/>
    <mergeCell ref="J6:M6"/>
    <mergeCell ref="C7:I7"/>
    <mergeCell ref="C4:I4"/>
    <mergeCell ref="C96:G96"/>
    <mergeCell ref="F46:G46"/>
    <mergeCell ref="C71:G71"/>
    <mergeCell ref="K27:M27"/>
    <mergeCell ref="C5:I5"/>
    <mergeCell ref="C11:G11"/>
    <mergeCell ref="C20:G20"/>
    <mergeCell ref="C26:G26"/>
  </mergeCells>
  <phoneticPr fontId="3" type="noConversion"/>
  <dataValidations disablePrompts="1" count="4">
    <dataValidation type="list" allowBlank="1" showInputMessage="1" showErrorMessage="1" errorTitle="INCORRECTO" error="Debe elegir uno de los valores señalados en la lista" sqref="D73" xr:uid="{963CE931-F537-42AF-9DF4-1087CED28C74}">
      <formula1>$C$81:$C$86</formula1>
    </dataValidation>
    <dataValidation allowBlank="1" showInputMessage="1" showErrorMessage="1" promptTitle="cosas" prompt="asdfghjkl;" sqref="F82" xr:uid="{CD9A8002-45A4-4F10-B55D-8D411D12CCD8}"/>
    <dataValidation type="list" allowBlank="1" showInputMessage="1" showErrorMessage="1" errorTitle="Valor incorrecto" error="debe escoger un valor entre 1-11 de la lista_x000a_" sqref="D42" xr:uid="{F6E5E634-1C1D-4D01-9D4C-CDE1EC95BB77}">
      <formula1>$F$59:$F$69</formula1>
    </dataValidation>
    <dataValidation type="list" allowBlank="1" showInputMessage="1" showErrorMessage="1" error="DEBE ELEGIR UN VALOR DE LA LISTA_x000a_" sqref="D98" xr:uid="{3F3AFCDA-9757-44C8-A1F3-98FBFDECD32B}">
      <formula1>$H$97:$H$101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2EB78-AB57-43AC-806F-ED7CF56358E3}">
  <dimension ref="C1:J36"/>
  <sheetViews>
    <sheetView showGridLines="0" topLeftCell="A12" zoomScale="96" zoomScaleNormal="110" workbookViewId="0">
      <selection activeCell="G37" sqref="G37"/>
    </sheetView>
  </sheetViews>
  <sheetFormatPr baseColWidth="10" defaultColWidth="10.7109375" defaultRowHeight="15"/>
  <cols>
    <col min="3" max="3" width="19.85546875" bestFit="1" customWidth="1"/>
    <col min="4" max="4" width="12.85546875" customWidth="1"/>
    <col min="6" max="6" width="12.85546875" customWidth="1"/>
    <col min="7" max="7" width="17.5703125" customWidth="1"/>
    <col min="8" max="8" width="11.7109375" customWidth="1"/>
    <col min="10" max="10" width="64.28515625" bestFit="1" customWidth="1"/>
  </cols>
  <sheetData>
    <row r="1" spans="3:10" ht="15.75" thickBot="1"/>
    <row r="2" spans="3:10">
      <c r="C2" s="251" t="s">
        <v>279</v>
      </c>
      <c r="D2" s="252"/>
      <c r="E2" s="252"/>
      <c r="F2" s="252"/>
      <c r="G2" s="252"/>
      <c r="H2" s="252"/>
      <c r="I2" s="252"/>
      <c r="J2" s="253"/>
    </row>
    <row r="3" spans="3:10" ht="43.5" customHeight="1" thickBot="1">
      <c r="C3" s="248" t="s">
        <v>280</v>
      </c>
      <c r="D3" s="249"/>
      <c r="E3" s="249"/>
      <c r="F3" s="249"/>
      <c r="G3" s="249"/>
      <c r="H3" s="249"/>
      <c r="I3" s="249"/>
      <c r="J3" s="250"/>
    </row>
    <row r="4" spans="3:10" ht="15.75" thickBot="1"/>
    <row r="5" spans="3:10" ht="15.75" thickBot="1">
      <c r="C5" s="236" t="s">
        <v>13</v>
      </c>
      <c r="D5" s="237"/>
      <c r="E5" s="237"/>
      <c r="F5" s="237"/>
      <c r="G5" s="237"/>
      <c r="H5" s="238"/>
      <c r="J5" s="17" t="s">
        <v>17</v>
      </c>
    </row>
    <row r="6" spans="3:10" ht="15.75" thickBot="1"/>
    <row r="7" spans="3:10" ht="15.75" thickBot="1">
      <c r="D7" s="216" t="s">
        <v>129</v>
      </c>
      <c r="E7" s="218"/>
      <c r="G7" s="216" t="s">
        <v>130</v>
      </c>
      <c r="H7" s="218"/>
    </row>
    <row r="8" spans="3:10" ht="18">
      <c r="C8" s="46" t="s">
        <v>558</v>
      </c>
      <c r="D8" s="45">
        <v>1.8</v>
      </c>
      <c r="E8" s="10" t="s">
        <v>3</v>
      </c>
      <c r="F8" s="1"/>
      <c r="G8" s="44">
        <f>G16-G12-G14-(0.1*Input!$D$14)</f>
        <v>2.29</v>
      </c>
      <c r="H8" s="12" t="s">
        <v>3</v>
      </c>
      <c r="J8" s="29" t="s">
        <v>37</v>
      </c>
    </row>
    <row r="9" spans="3:10" ht="30">
      <c r="C9" s="47" t="s">
        <v>559</v>
      </c>
      <c r="D9" s="6">
        <f>+G9</f>
        <v>3</v>
      </c>
      <c r="E9" s="12" t="s">
        <v>3</v>
      </c>
      <c r="F9" s="1"/>
      <c r="G9" s="6">
        <f>+G13</f>
        <v>3</v>
      </c>
      <c r="H9" s="12" t="s">
        <v>3</v>
      </c>
      <c r="J9" s="28" t="s">
        <v>45</v>
      </c>
    </row>
    <row r="10" spans="3:10" ht="30">
      <c r="C10" s="47" t="s">
        <v>560</v>
      </c>
      <c r="D10" s="45">
        <v>0.8</v>
      </c>
      <c r="E10" s="10" t="s">
        <v>3</v>
      </c>
      <c r="F10" s="1"/>
      <c r="G10" s="6">
        <f>+G8</f>
        <v>2.29</v>
      </c>
      <c r="H10" s="10" t="s">
        <v>3</v>
      </c>
      <c r="J10" s="28" t="s">
        <v>46</v>
      </c>
    </row>
    <row r="11" spans="3:10" ht="30">
      <c r="C11" s="47" t="s">
        <v>135</v>
      </c>
      <c r="D11" s="45">
        <v>0</v>
      </c>
      <c r="E11" s="10" t="s">
        <v>3</v>
      </c>
      <c r="F11" s="1"/>
      <c r="G11" s="4">
        <f>+TAN(Input!$F$12)*'Dimensiones Muro'!G10</f>
        <v>0</v>
      </c>
      <c r="H11" s="10" t="s">
        <v>3</v>
      </c>
      <c r="J11" s="28" t="s">
        <v>47</v>
      </c>
    </row>
    <row r="12" spans="3:10" ht="75">
      <c r="C12" s="47" t="s">
        <v>561</v>
      </c>
      <c r="D12" s="45">
        <f t="shared" ref="D12" si="0">+G12</f>
        <v>0.3</v>
      </c>
      <c r="E12" s="10" t="s">
        <v>3</v>
      </c>
      <c r="F12" s="1"/>
      <c r="G12" s="4">
        <f>Input!$D$17</f>
        <v>0.3</v>
      </c>
      <c r="H12" s="10" t="s">
        <v>3</v>
      </c>
      <c r="J12" s="28" t="s">
        <v>131</v>
      </c>
    </row>
    <row r="13" spans="3:10" ht="18">
      <c r="C13" s="47" t="s">
        <v>137</v>
      </c>
      <c r="D13" s="6">
        <f>+G13</f>
        <v>3</v>
      </c>
      <c r="E13" s="10" t="s">
        <v>3</v>
      </c>
      <c r="F13" s="1"/>
      <c r="G13" s="6">
        <f>(Input!$D$14-'Dimensiones Muro'!D17)</f>
        <v>3</v>
      </c>
      <c r="H13" s="10" t="s">
        <v>3</v>
      </c>
    </row>
    <row r="14" spans="3:10" ht="18">
      <c r="C14" s="47" t="s">
        <v>138</v>
      </c>
      <c r="D14" s="45">
        <v>0</v>
      </c>
      <c r="E14" s="10" t="s">
        <v>3</v>
      </c>
      <c r="F14" s="1"/>
      <c r="G14" s="4">
        <f>Input!$D$16*'Dimensiones Muro'!D15</f>
        <v>0</v>
      </c>
      <c r="H14" s="10" t="s">
        <v>3</v>
      </c>
    </row>
    <row r="15" spans="3:10" ht="18">
      <c r="C15" s="47" t="s">
        <v>139</v>
      </c>
      <c r="D15" s="45">
        <v>0</v>
      </c>
      <c r="E15" s="10" t="s">
        <v>3</v>
      </c>
      <c r="F15" s="1"/>
      <c r="G15" s="6">
        <f>+G13</f>
        <v>3</v>
      </c>
      <c r="H15" s="10" t="s">
        <v>3</v>
      </c>
    </row>
    <row r="16" spans="3:10" ht="18">
      <c r="C16" s="47" t="s">
        <v>140</v>
      </c>
      <c r="D16" s="45">
        <v>2.9</v>
      </c>
      <c r="E16" s="10" t="s">
        <v>3</v>
      </c>
      <c r="F16" s="1"/>
      <c r="G16" s="6">
        <f>Input!$D$15*Input!$D$14</f>
        <v>2.94</v>
      </c>
      <c r="H16" s="10" t="s">
        <v>3</v>
      </c>
    </row>
    <row r="17" spans="3:10" ht="18">
      <c r="C17" s="47" t="s">
        <v>141</v>
      </c>
      <c r="D17" s="45">
        <v>0.5</v>
      </c>
      <c r="E17" s="10" t="s">
        <v>3</v>
      </c>
      <c r="F17" s="1"/>
      <c r="G17" s="6">
        <f>0.1*Input!$D$14</f>
        <v>0.35000000000000003</v>
      </c>
      <c r="H17" s="10" t="s">
        <v>3</v>
      </c>
    </row>
    <row r="18" spans="3:10">
      <c r="C18" s="1"/>
      <c r="D18" s="1"/>
      <c r="E18" s="1"/>
      <c r="F18" s="1"/>
      <c r="G18" s="1"/>
      <c r="H18" s="1"/>
    </row>
    <row r="19" spans="3:10">
      <c r="C19" s="10" t="s">
        <v>15</v>
      </c>
      <c r="D19" s="4" t="e">
        <f>_xlfn.CONCAT("1 : ",ROUND(D14/D15,4))</f>
        <v>#DIV/0!</v>
      </c>
      <c r="E19" s="1"/>
      <c r="F19" s="1"/>
      <c r="G19" s="1"/>
      <c r="H19" s="1"/>
      <c r="J19" s="27" t="s">
        <v>64</v>
      </c>
    </row>
    <row r="23" spans="3:10">
      <c r="F23" s="141">
        <f>+D12</f>
        <v>0.3</v>
      </c>
      <c r="G23" s="131"/>
    </row>
    <row r="27" spans="3:10">
      <c r="E27" s="141">
        <f>+Input!D14</f>
        <v>3.5</v>
      </c>
      <c r="G27" s="142">
        <f>+D13</f>
        <v>3</v>
      </c>
      <c r="I27" s="105"/>
    </row>
    <row r="31" spans="3:10" ht="21" customHeight="1">
      <c r="F31" s="144">
        <f>+G33-G31-F23</f>
        <v>0.79999999999999982</v>
      </c>
      <c r="G31" s="143">
        <f>+D8</f>
        <v>1.8</v>
      </c>
    </row>
    <row r="32" spans="3:10">
      <c r="I32" s="144">
        <f>+D17</f>
        <v>0.5</v>
      </c>
    </row>
    <row r="33" spans="3:8">
      <c r="G33" s="144">
        <f>+D16</f>
        <v>2.9</v>
      </c>
      <c r="H33" s="140"/>
    </row>
    <row r="36" spans="3:8">
      <c r="C36" s="51" t="s">
        <v>42</v>
      </c>
      <c r="D36" s="51"/>
    </row>
  </sheetData>
  <mergeCells count="5">
    <mergeCell ref="C5:H5"/>
    <mergeCell ref="G7:H7"/>
    <mergeCell ref="D7:E7"/>
    <mergeCell ref="C3:J3"/>
    <mergeCell ref="C2:J2"/>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30A1E-4350-4C1B-BD34-FF297BB3610D}">
  <dimension ref="B1:P104"/>
  <sheetViews>
    <sheetView showGridLines="0" topLeftCell="A30" zoomScaleNormal="100" workbookViewId="0">
      <selection activeCell="G95" sqref="G95"/>
    </sheetView>
  </sheetViews>
  <sheetFormatPr baseColWidth="10" defaultColWidth="11.42578125" defaultRowHeight="15"/>
  <cols>
    <col min="1" max="1" width="11.42578125" style="1"/>
    <col min="2" max="2" width="21.42578125" style="1" bestFit="1" customWidth="1"/>
    <col min="3" max="3" width="11.42578125" style="1"/>
    <col min="4" max="4" width="27.140625" style="1" bestFit="1" customWidth="1"/>
    <col min="5" max="5" width="12" style="1" customWidth="1"/>
    <col min="6" max="7" width="11.42578125" style="1"/>
    <col min="8" max="8" width="13.140625" style="1" customWidth="1"/>
    <col min="9" max="9" width="5.140625" style="1" customWidth="1"/>
    <col min="10" max="10" width="11.85546875" style="1" bestFit="1" customWidth="1"/>
    <col min="11" max="13" width="11.42578125" style="1"/>
    <col min="14" max="14" width="30.28515625" style="1" customWidth="1"/>
    <col min="15" max="16384" width="11.42578125" style="1"/>
  </cols>
  <sheetData>
    <row r="1" spans="4:16" ht="15.75" thickBot="1"/>
    <row r="2" spans="4:16">
      <c r="D2" s="221" t="s">
        <v>31</v>
      </c>
      <c r="E2" s="222"/>
      <c r="F2" s="222"/>
      <c r="G2" s="222"/>
      <c r="H2" s="222"/>
      <c r="I2" s="222"/>
      <c r="J2" s="222"/>
      <c r="K2" s="223"/>
    </row>
    <row r="3" spans="4:16" ht="32.25" customHeight="1" thickBot="1">
      <c r="D3" s="280" t="s">
        <v>281</v>
      </c>
      <c r="E3" s="281"/>
      <c r="F3" s="281"/>
      <c r="G3" s="281"/>
      <c r="H3" s="281"/>
      <c r="I3" s="281"/>
      <c r="J3" s="281"/>
      <c r="K3" s="282"/>
    </row>
    <row r="4" spans="4:16" ht="15.75" thickBot="1">
      <c r="D4" s="16"/>
      <c r="E4" s="16"/>
      <c r="F4" s="16"/>
      <c r="G4" s="16"/>
      <c r="H4" s="16"/>
      <c r="I4" s="16"/>
      <c r="J4" s="16"/>
      <c r="K4" s="16"/>
    </row>
    <row r="5" spans="4:16" ht="15.75" thickBot="1">
      <c r="D5" s="236" t="s">
        <v>570</v>
      </c>
      <c r="E5" s="237"/>
      <c r="F5" s="237"/>
      <c r="G5" s="237"/>
      <c r="H5" s="238"/>
      <c r="I5" s="16"/>
      <c r="J5" s="16"/>
      <c r="K5" s="16"/>
    </row>
    <row r="6" spans="4:16">
      <c r="D6" s="12"/>
      <c r="E6" s="6">
        <f>Input!D21</f>
        <v>0</v>
      </c>
      <c r="F6" s="12" t="str">
        <f>Input!E21</f>
        <v>[kPa]</v>
      </c>
      <c r="I6" s="16"/>
      <c r="J6" s="16"/>
      <c r="K6" s="16"/>
    </row>
    <row r="7" spans="4:16">
      <c r="D7" s="10"/>
      <c r="E7" s="6">
        <v>30</v>
      </c>
      <c r="F7" s="10" t="str">
        <f>Input!E22</f>
        <v>[°]</v>
      </c>
      <c r="G7" s="6">
        <f>Input!F22</f>
        <v>0.52359877559829882</v>
      </c>
      <c r="H7" s="10" t="str">
        <f>Input!G22</f>
        <v>[rad]</v>
      </c>
      <c r="I7" s="16"/>
      <c r="J7" s="10" t="str">
        <f>+Input!C13</f>
        <v>Df</v>
      </c>
      <c r="K7" s="4">
        <f>+Input!D13</f>
        <v>0.6</v>
      </c>
      <c r="L7" s="10" t="str">
        <f>+Input!E13</f>
        <v>[m]</v>
      </c>
    </row>
    <row r="8" spans="4:16">
      <c r="D8" s="10"/>
      <c r="E8" s="6">
        <f>Input!D23</f>
        <v>20</v>
      </c>
      <c r="F8" s="10" t="str">
        <f>Input!E23</f>
        <v>[kN/m3]</v>
      </c>
      <c r="I8" s="16"/>
      <c r="J8" s="10" t="str">
        <f>+Input!C14</f>
        <v>H</v>
      </c>
      <c r="K8" s="6">
        <f>+Input!D14</f>
        <v>3.5</v>
      </c>
      <c r="L8" s="10" t="str">
        <f>+Input!E14</f>
        <v>[m]</v>
      </c>
    </row>
    <row r="9" spans="4:16">
      <c r="D9" s="10"/>
      <c r="E9" s="6">
        <f>Input!D24</f>
        <v>0</v>
      </c>
      <c r="F9" s="10" t="str">
        <f>Input!E24</f>
        <v>[kN/m3]</v>
      </c>
      <c r="I9" s="16"/>
      <c r="J9" s="10" t="s">
        <v>53</v>
      </c>
      <c r="K9" s="6">
        <f>+K8+'Dimensiones Muro'!D11</f>
        <v>3.5</v>
      </c>
      <c r="L9" s="10" t="str">
        <f>+Input!E15</f>
        <v>[m]</v>
      </c>
      <c r="M9" s="276" t="s">
        <v>449</v>
      </c>
      <c r="N9" s="230"/>
      <c r="O9" s="230"/>
      <c r="P9" s="230"/>
    </row>
    <row r="10" spans="4:16" ht="15.75" thickBot="1">
      <c r="D10" s="16"/>
      <c r="E10" s="16"/>
      <c r="F10" s="16"/>
      <c r="G10" s="16"/>
      <c r="H10" s="16"/>
      <c r="I10" s="16"/>
      <c r="J10" s="10"/>
      <c r="K10" s="6">
        <f>Input!D12</f>
        <v>0</v>
      </c>
      <c r="L10" s="10" t="str">
        <f>+Input!E12</f>
        <v>[°]</v>
      </c>
      <c r="M10" s="6">
        <f>Input!F12</f>
        <v>0</v>
      </c>
      <c r="N10" s="10" t="str">
        <f>+Input!G12</f>
        <v>[rad]</v>
      </c>
    </row>
    <row r="11" spans="4:16" ht="15.75" thickBot="1">
      <c r="D11" s="247" t="s">
        <v>571</v>
      </c>
      <c r="E11" s="245"/>
      <c r="F11" s="245"/>
      <c r="G11" s="245"/>
      <c r="H11" s="246"/>
      <c r="I11" s="16"/>
      <c r="J11" s="16"/>
      <c r="K11" s="16"/>
    </row>
    <row r="12" spans="4:16">
      <c r="D12" s="12"/>
      <c r="E12" s="6">
        <f>+Input!D27</f>
        <v>0</v>
      </c>
      <c r="F12" s="12" t="str">
        <f>+Input!E27</f>
        <v>[kPa]</v>
      </c>
      <c r="I12" s="16"/>
      <c r="J12" s="16"/>
      <c r="K12" s="16"/>
    </row>
    <row r="13" spans="4:16">
      <c r="D13" s="10"/>
      <c r="E13" s="6">
        <f>+Input!D28</f>
        <v>33</v>
      </c>
      <c r="F13" s="10" t="str">
        <f>+Input!E28</f>
        <v>[°]</v>
      </c>
      <c r="G13" s="6">
        <f>+Input!F28</f>
        <v>0.57595865315812877</v>
      </c>
      <c r="H13" s="10" t="str">
        <f>+Input!G28</f>
        <v>[rad]</v>
      </c>
    </row>
    <row r="14" spans="4:16">
      <c r="D14" s="10"/>
      <c r="E14" s="6">
        <f>+Input!D29</f>
        <v>20</v>
      </c>
      <c r="F14" s="10" t="str">
        <f>+Input!E29</f>
        <v>[kN/m3]</v>
      </c>
    </row>
    <row r="15" spans="4:16">
      <c r="D15" s="10"/>
      <c r="E15" s="6">
        <v>0</v>
      </c>
      <c r="F15" s="10" t="str">
        <f>+Input!E30</f>
        <v>[kN/m3]</v>
      </c>
    </row>
    <row r="16" spans="4:16">
      <c r="E16" s="16"/>
    </row>
    <row r="17" spans="2:14" ht="15.75" thickBot="1"/>
    <row r="18" spans="2:14" ht="15.75" thickBot="1">
      <c r="B18" s="64" t="s">
        <v>163</v>
      </c>
      <c r="D18" s="277" t="s">
        <v>56</v>
      </c>
      <c r="E18" s="278"/>
      <c r="F18" s="278"/>
      <c r="G18" s="278"/>
      <c r="H18" s="279"/>
      <c r="J18" s="273" t="s">
        <v>17</v>
      </c>
      <c r="K18" s="274"/>
      <c r="L18" s="274"/>
      <c r="M18" s="274"/>
      <c r="N18" s="275"/>
    </row>
    <row r="19" spans="2:14">
      <c r="D19" s="258" t="s">
        <v>52</v>
      </c>
      <c r="E19" s="259"/>
      <c r="F19" s="259"/>
      <c r="G19" s="259"/>
      <c r="H19" s="260"/>
    </row>
    <row r="20" spans="2:14">
      <c r="D20" s="5"/>
      <c r="H20" s="2"/>
    </row>
    <row r="21" spans="2:14" ht="46.5" customHeight="1">
      <c r="B21" s="1" t="s">
        <v>572</v>
      </c>
      <c r="D21" s="33" t="s">
        <v>59</v>
      </c>
      <c r="E21" s="271"/>
      <c r="F21" s="271"/>
      <c r="G21" s="271"/>
      <c r="H21" s="272"/>
      <c r="J21" s="255" t="s">
        <v>72</v>
      </c>
      <c r="K21" s="255"/>
      <c r="L21" s="255"/>
      <c r="M21" s="255"/>
      <c r="N21" s="255"/>
    </row>
    <row r="22" spans="2:14">
      <c r="D22" s="5"/>
      <c r="H22" s="2"/>
    </row>
    <row r="23" spans="2:14" ht="38.25" customHeight="1">
      <c r="D23" s="3" t="s">
        <v>62</v>
      </c>
      <c r="E23" s="34">
        <v>0.66666666666666663</v>
      </c>
      <c r="H23" s="2"/>
      <c r="J23" s="255" t="s">
        <v>568</v>
      </c>
      <c r="K23" s="255"/>
      <c r="L23" s="255"/>
      <c r="M23" s="255"/>
      <c r="N23" s="255"/>
    </row>
    <row r="24" spans="2:14">
      <c r="D24" s="3"/>
      <c r="E24" s="6">
        <f>+K10</f>
        <v>0</v>
      </c>
      <c r="F24" s="10" t="str">
        <f>+L10</f>
        <v>[°]</v>
      </c>
      <c r="G24"/>
      <c r="H24" s="11" t="str">
        <f>+N10</f>
        <v>[rad]</v>
      </c>
      <c r="J24" s="255" t="s">
        <v>66</v>
      </c>
      <c r="K24" s="255"/>
      <c r="L24" s="255"/>
      <c r="M24" s="255"/>
      <c r="N24" s="255"/>
    </row>
    <row r="25" spans="2:14" ht="27.75" customHeight="1">
      <c r="D25" s="3"/>
      <c r="E25" s="6">
        <f>+E23*E27</f>
        <v>20</v>
      </c>
      <c r="F25" s="10" t="s">
        <v>4</v>
      </c>
      <c r="G25" s="6">
        <f>RADIANS(E25)</f>
        <v>0.3490658503988659</v>
      </c>
      <c r="H25" s="11" t="s">
        <v>5</v>
      </c>
      <c r="J25" s="255" t="s">
        <v>65</v>
      </c>
      <c r="K25" s="255"/>
      <c r="L25" s="255"/>
      <c r="M25" s="255"/>
      <c r="N25" s="255"/>
    </row>
    <row r="26" spans="2:14" ht="28.5" customHeight="1">
      <c r="D26" s="200"/>
      <c r="E26" s="6">
        <f>Input!D18</f>
        <v>90</v>
      </c>
      <c r="F26" s="10" t="s">
        <v>4</v>
      </c>
      <c r="G26" s="6">
        <f t="shared" ref="G26:G27" si="0">RADIANS(E26)</f>
        <v>1.5707963267948966</v>
      </c>
      <c r="H26" s="11" t="s">
        <v>5</v>
      </c>
      <c r="J26" s="255" t="s">
        <v>67</v>
      </c>
      <c r="K26" s="255"/>
      <c r="L26" s="255"/>
      <c r="M26" s="255"/>
      <c r="N26" s="255"/>
    </row>
    <row r="27" spans="2:14">
      <c r="D27" s="3"/>
      <c r="E27" s="6">
        <f>+E7</f>
        <v>30</v>
      </c>
      <c r="F27" s="10" t="s">
        <v>4</v>
      </c>
      <c r="G27" s="6">
        <f t="shared" si="0"/>
        <v>0.52359877559829882</v>
      </c>
      <c r="H27" s="11" t="str">
        <f>+H7</f>
        <v>[rad]</v>
      </c>
      <c r="J27" s="255" t="s">
        <v>68</v>
      </c>
      <c r="K27" s="255"/>
      <c r="L27" s="255"/>
      <c r="M27" s="255"/>
      <c r="N27" s="255"/>
    </row>
    <row r="28" spans="2:14">
      <c r="D28" s="36"/>
      <c r="H28" s="2"/>
    </row>
    <row r="29" spans="2:14">
      <c r="D29" s="3" t="s">
        <v>57</v>
      </c>
      <c r="E29" s="6">
        <f>(SIN(G27+G26))^2</f>
        <v>0.75000000000000011</v>
      </c>
      <c r="H29" s="2"/>
      <c r="J29" s="255" t="s">
        <v>69</v>
      </c>
      <c r="K29" s="255"/>
      <c r="L29" s="255"/>
      <c r="M29" s="255"/>
      <c r="N29" s="255"/>
    </row>
    <row r="30" spans="2:14">
      <c r="D30" s="3" t="s">
        <v>58</v>
      </c>
      <c r="E30" s="6">
        <f>(SIN(G26))^2*SIN(-G25+G26)</f>
        <v>0.93969262078590832</v>
      </c>
      <c r="H30" s="2"/>
      <c r="J30" s="255" t="str">
        <f>+J29</f>
        <v>-Términos de la ecuación de Ka</v>
      </c>
      <c r="K30" s="255"/>
      <c r="L30" s="255"/>
      <c r="M30" s="255"/>
      <c r="N30" s="255"/>
    </row>
    <row r="31" spans="2:14">
      <c r="D31" s="3" t="s">
        <v>58</v>
      </c>
      <c r="E31" s="6">
        <f>+(1+SQRT((SIN(G25+G27)*SIN(G27-G24))/(SIN(-G25+G26)*SIN(G26+G24))))^2</f>
        <v>2.6844807600252723</v>
      </c>
      <c r="H31" s="2"/>
      <c r="J31" s="255" t="str">
        <f>+J30</f>
        <v>-Términos de la ecuación de Ka</v>
      </c>
      <c r="K31" s="255"/>
      <c r="L31" s="255"/>
      <c r="M31" s="255"/>
      <c r="N31" s="255"/>
    </row>
    <row r="32" spans="2:14">
      <c r="D32" s="36"/>
      <c r="E32"/>
      <c r="H32" s="2"/>
    </row>
    <row r="33" spans="2:14">
      <c r="D33" s="3" t="s">
        <v>0</v>
      </c>
      <c r="E33" s="6">
        <f>(E29)/(E30*E31)</f>
        <v>0.29731385720545095</v>
      </c>
      <c r="H33" s="2"/>
      <c r="J33" s="255" t="s">
        <v>70</v>
      </c>
      <c r="K33" s="255"/>
      <c r="L33" s="255"/>
      <c r="M33" s="255"/>
      <c r="N33" s="255"/>
    </row>
    <row r="34" spans="2:14">
      <c r="D34" s="36"/>
      <c r="E34" s="35"/>
      <c r="F34" s="35"/>
      <c r="G34" s="35"/>
      <c r="H34" s="37"/>
    </row>
    <row r="35" spans="2:14">
      <c r="D35" s="5"/>
      <c r="H35" s="2"/>
    </row>
    <row r="36" spans="2:14" ht="40.5" customHeight="1">
      <c r="B36" s="254" t="s">
        <v>574</v>
      </c>
      <c r="D36" s="33" t="s">
        <v>55</v>
      </c>
      <c r="E36" s="271"/>
      <c r="F36" s="271"/>
      <c r="G36" s="271"/>
      <c r="H36" s="272"/>
      <c r="J36" s="255" t="s">
        <v>71</v>
      </c>
      <c r="K36" s="255"/>
      <c r="L36" s="255"/>
      <c r="M36" s="255"/>
      <c r="N36" s="255"/>
    </row>
    <row r="37" spans="2:14">
      <c r="B37" s="254"/>
      <c r="D37" s="5"/>
      <c r="H37" s="2"/>
    </row>
    <row r="38" spans="2:14" ht="29.25" customHeight="1">
      <c r="B38" s="254" t="s">
        <v>575</v>
      </c>
      <c r="D38" s="3" t="s">
        <v>62</v>
      </c>
      <c r="E38" s="34">
        <f>2/3</f>
        <v>0.66666666666666663</v>
      </c>
      <c r="H38" s="2"/>
      <c r="J38" s="255" t="s">
        <v>573</v>
      </c>
      <c r="K38" s="255"/>
      <c r="L38" s="255"/>
      <c r="M38" s="255"/>
      <c r="N38" s="255"/>
    </row>
    <row r="39" spans="2:14">
      <c r="B39" s="254"/>
      <c r="D39" s="3"/>
      <c r="E39" s="6">
        <f>+K10</f>
        <v>0</v>
      </c>
      <c r="F39" s="10" t="s">
        <v>4</v>
      </c>
      <c r="G39" s="6">
        <f>RADIANS(E39)</f>
        <v>0</v>
      </c>
      <c r="H39" s="11" t="s">
        <v>5</v>
      </c>
      <c r="J39" s="255" t="s">
        <v>66</v>
      </c>
      <c r="K39" s="255"/>
      <c r="L39" s="255"/>
      <c r="M39" s="255"/>
      <c r="N39" s="255"/>
    </row>
    <row r="40" spans="2:14">
      <c r="D40" s="3"/>
      <c r="E40" s="6">
        <f>Input!D31</f>
        <v>90</v>
      </c>
      <c r="F40" s="10" t="s">
        <v>4</v>
      </c>
      <c r="G40" s="34">
        <f>RADIANS(E40)</f>
        <v>1.5707963267948966</v>
      </c>
      <c r="H40" s="11" t="s">
        <v>5</v>
      </c>
      <c r="J40" s="255" t="s">
        <v>74</v>
      </c>
      <c r="K40" s="255"/>
      <c r="L40" s="255"/>
      <c r="M40" s="255"/>
      <c r="N40" s="255"/>
    </row>
    <row r="41" spans="2:14" ht="31.5" customHeight="1">
      <c r="D41" s="3"/>
      <c r="E41" s="6">
        <f>+E38*E42</f>
        <v>22</v>
      </c>
      <c r="F41" s="10" t="s">
        <v>4</v>
      </c>
      <c r="G41" s="6">
        <f>RADIANS(E41)</f>
        <v>0.38397243543875248</v>
      </c>
      <c r="H41" s="11" t="s">
        <v>5</v>
      </c>
      <c r="J41" s="255" t="s">
        <v>73</v>
      </c>
      <c r="K41" s="255"/>
      <c r="L41" s="255"/>
      <c r="M41" s="255"/>
      <c r="N41" s="255"/>
    </row>
    <row r="42" spans="2:14">
      <c r="D42" s="3"/>
      <c r="E42" s="6">
        <f>+E13</f>
        <v>33</v>
      </c>
      <c r="F42" s="10" t="s">
        <v>4</v>
      </c>
      <c r="G42" s="6">
        <f>RADIANS(E42)</f>
        <v>0.57595865315812877</v>
      </c>
      <c r="H42" s="11" t="s">
        <v>5</v>
      </c>
      <c r="J42" s="255" t="s">
        <v>75</v>
      </c>
      <c r="K42" s="255"/>
      <c r="L42" s="255"/>
      <c r="M42" s="255"/>
      <c r="N42" s="255"/>
    </row>
    <row r="43" spans="2:14">
      <c r="D43" s="36"/>
      <c r="H43" s="2"/>
    </row>
    <row r="44" spans="2:14">
      <c r="D44" s="3" t="s">
        <v>60</v>
      </c>
      <c r="E44" s="6">
        <f>(SIN(G42-G40))^2</f>
        <v>0.70336832153789997</v>
      </c>
      <c r="H44" s="2"/>
      <c r="J44" s="255" t="s">
        <v>76</v>
      </c>
      <c r="K44" s="255"/>
      <c r="L44" s="255"/>
      <c r="M44" s="255"/>
      <c r="N44" s="255"/>
    </row>
    <row r="45" spans="2:14">
      <c r="D45" s="3" t="s">
        <v>61</v>
      </c>
      <c r="E45" s="6">
        <f>(SIN(G40))^2*SIN(G40+G41)</f>
        <v>0.92718385456678742</v>
      </c>
      <c r="H45" s="2"/>
      <c r="J45" s="255" t="str">
        <f>+J44</f>
        <v>-Términos de la ecuación de Kp</v>
      </c>
      <c r="K45" s="255"/>
      <c r="L45" s="255"/>
      <c r="M45" s="255"/>
      <c r="N45" s="255"/>
    </row>
    <row r="46" spans="2:14">
      <c r="D46" s="3" t="s">
        <v>63</v>
      </c>
      <c r="E46" s="6">
        <f>+(1-SQRT((SIN(G42+G41)*SIN(G42+G39))/(SIN(G41+G40)*SIN(G39+G40))))^2</f>
        <v>9.3837286703775571E-2</v>
      </c>
      <c r="H46" s="2"/>
      <c r="J46" s="255" t="str">
        <f>+J45</f>
        <v>-Términos de la ecuación de Kp</v>
      </c>
      <c r="K46" s="255"/>
      <c r="L46" s="255"/>
      <c r="M46" s="255"/>
      <c r="N46" s="255"/>
    </row>
    <row r="47" spans="2:14">
      <c r="D47" s="36"/>
      <c r="H47" s="2"/>
    </row>
    <row r="48" spans="2:14">
      <c r="D48" s="3" t="s">
        <v>16</v>
      </c>
      <c r="E48" s="6">
        <f>(E44)/(E45*E46)</f>
        <v>8.0842828935602622</v>
      </c>
      <c r="H48" s="2"/>
      <c r="J48" s="255" t="s">
        <v>77</v>
      </c>
      <c r="K48" s="255"/>
      <c r="L48" s="255"/>
      <c r="M48" s="255"/>
      <c r="N48" s="255"/>
    </row>
    <row r="49" spans="2:14" ht="15.75" thickBot="1">
      <c r="D49" s="7"/>
      <c r="E49" s="8"/>
      <c r="F49" s="8"/>
      <c r="G49" s="8"/>
      <c r="H49" s="9"/>
    </row>
    <row r="50" spans="2:14" ht="69.75" customHeight="1">
      <c r="D50" s="258" t="s">
        <v>51</v>
      </c>
      <c r="E50" s="259"/>
      <c r="F50" s="259"/>
      <c r="G50" s="259"/>
      <c r="H50" s="260"/>
      <c r="J50" s="255" t="s">
        <v>90</v>
      </c>
      <c r="K50" s="255"/>
      <c r="L50" s="255"/>
      <c r="M50" s="255"/>
      <c r="N50" s="255"/>
    </row>
    <row r="51" spans="2:14">
      <c r="D51" s="5"/>
      <c r="H51" s="2"/>
    </row>
    <row r="52" spans="2:14">
      <c r="D52" s="261" t="s">
        <v>78</v>
      </c>
      <c r="E52" s="262"/>
      <c r="F52" s="262"/>
      <c r="G52" s="262"/>
      <c r="H52" s="263"/>
    </row>
    <row r="53" spans="2:14">
      <c r="D53" s="41"/>
      <c r="E53" s="13"/>
      <c r="F53" s="13"/>
      <c r="G53" s="13"/>
      <c r="H53" s="42"/>
    </row>
    <row r="54" spans="2:14" ht="45.75" customHeight="1">
      <c r="B54" s="1" t="s">
        <v>579</v>
      </c>
      <c r="D54" s="264" t="s">
        <v>577</v>
      </c>
      <c r="E54" s="265"/>
      <c r="F54" s="266"/>
      <c r="G54" s="267"/>
      <c r="H54" s="268"/>
      <c r="J54" s="255" t="s">
        <v>91</v>
      </c>
      <c r="K54" s="255"/>
      <c r="L54" s="255"/>
      <c r="M54" s="255"/>
      <c r="N54" s="255"/>
    </row>
    <row r="55" spans="2:14" ht="45" customHeight="1">
      <c r="B55" s="1" t="s">
        <v>580</v>
      </c>
      <c r="D55" s="264" t="s">
        <v>576</v>
      </c>
      <c r="E55" s="265"/>
      <c r="F55" s="269"/>
      <c r="G55" s="269"/>
      <c r="H55" s="270"/>
      <c r="J55" s="255" t="s">
        <v>92</v>
      </c>
      <c r="K55" s="255"/>
      <c r="L55" s="255"/>
      <c r="M55" s="255"/>
      <c r="N55" s="255"/>
    </row>
    <row r="56" spans="2:14">
      <c r="D56" s="5"/>
      <c r="H56" s="2"/>
    </row>
    <row r="57" spans="2:14" ht="33.75" customHeight="1">
      <c r="D57" s="3" t="s">
        <v>581</v>
      </c>
      <c r="E57" s="6">
        <f>(E8*K9^2*E33)/2</f>
        <v>36.420947507667741</v>
      </c>
      <c r="F57" s="10" t="s">
        <v>88</v>
      </c>
      <c r="H57" s="2"/>
      <c r="J57" s="255" t="s">
        <v>94</v>
      </c>
      <c r="K57" s="255"/>
      <c r="L57" s="255"/>
      <c r="M57" s="255"/>
      <c r="N57" s="255"/>
    </row>
    <row r="58" spans="2:14" ht="31.5" customHeight="1">
      <c r="D58" s="3" t="s">
        <v>582</v>
      </c>
      <c r="E58" s="6">
        <f>(1/2)*E48*E14*K7^2+2*E12*(E48^(1/2))*K7</f>
        <v>29.103418416816943</v>
      </c>
      <c r="F58" s="10" t="s">
        <v>88</v>
      </c>
      <c r="H58" s="2"/>
      <c r="J58" s="255" t="s">
        <v>93</v>
      </c>
      <c r="K58" s="255"/>
      <c r="L58" s="255"/>
      <c r="M58" s="255"/>
      <c r="N58" s="255"/>
    </row>
    <row r="59" spans="2:14">
      <c r="D59" s="5"/>
      <c r="H59" s="2"/>
    </row>
    <row r="60" spans="2:14">
      <c r="D60" s="43" t="s">
        <v>79</v>
      </c>
      <c r="H60" s="2"/>
    </row>
    <row r="61" spans="2:14">
      <c r="D61" s="5"/>
      <c r="H61" s="2"/>
    </row>
    <row r="62" spans="2:14" ht="18">
      <c r="D62" s="3" t="s">
        <v>96</v>
      </c>
      <c r="E62" s="6">
        <f>+K9</f>
        <v>3.5</v>
      </c>
      <c r="F62" s="10" t="s">
        <v>3</v>
      </c>
      <c r="H62" s="2"/>
      <c r="J62" s="255" t="s">
        <v>95</v>
      </c>
      <c r="K62" s="255"/>
      <c r="L62" s="255"/>
      <c r="M62" s="255"/>
      <c r="N62" s="255"/>
    </row>
    <row r="63" spans="2:14" ht="18">
      <c r="D63" s="3" t="s">
        <v>41</v>
      </c>
      <c r="E63" s="6">
        <f>+Input!D37</f>
        <v>0</v>
      </c>
      <c r="F63" s="10" t="s">
        <v>3</v>
      </c>
      <c r="H63" s="2"/>
      <c r="J63" s="255" t="s">
        <v>97</v>
      </c>
      <c r="K63" s="255"/>
      <c r="L63" s="255"/>
      <c r="M63" s="255"/>
      <c r="N63" s="255"/>
    </row>
    <row r="64" spans="2:14">
      <c r="D64" s="3"/>
      <c r="E64" s="6">
        <f>+E8</f>
        <v>20</v>
      </c>
      <c r="F64" s="10" t="s">
        <v>9</v>
      </c>
      <c r="H64" s="2"/>
      <c r="J64" s="255" t="s">
        <v>98</v>
      </c>
      <c r="K64" s="255"/>
      <c r="L64" s="255"/>
      <c r="M64" s="255"/>
      <c r="N64" s="255"/>
    </row>
    <row r="65" spans="2:14">
      <c r="D65" s="3"/>
      <c r="E65" s="6">
        <f>+E9</f>
        <v>0</v>
      </c>
      <c r="F65" s="10" t="s">
        <v>9</v>
      </c>
      <c r="H65" s="2"/>
      <c r="J65" s="255" t="s">
        <v>99</v>
      </c>
      <c r="K65" s="255"/>
      <c r="L65" s="255"/>
      <c r="M65" s="255"/>
      <c r="N65" s="255"/>
    </row>
    <row r="66" spans="2:14">
      <c r="D66" s="3"/>
      <c r="E66" s="6">
        <f>+Input!D38</f>
        <v>9.81</v>
      </c>
      <c r="F66" s="10" t="s">
        <v>9</v>
      </c>
      <c r="H66" s="2"/>
      <c r="J66" s="255" t="s">
        <v>100</v>
      </c>
      <c r="K66" s="255"/>
      <c r="L66" s="255"/>
      <c r="M66" s="255"/>
      <c r="N66" s="255"/>
    </row>
    <row r="67" spans="2:14">
      <c r="D67" s="5"/>
      <c r="H67" s="2"/>
    </row>
    <row r="68" spans="2:14">
      <c r="B68" s="254" t="s">
        <v>587</v>
      </c>
      <c r="D68" s="5"/>
      <c r="H68" s="2"/>
    </row>
    <row r="69" spans="2:14">
      <c r="B69" s="254"/>
      <c r="D69" s="5"/>
      <c r="H69" s="2"/>
    </row>
    <row r="70" spans="2:14">
      <c r="B70" s="254"/>
      <c r="D70" s="5"/>
      <c r="H70" s="2"/>
    </row>
    <row r="71" spans="2:14">
      <c r="D71" s="5"/>
      <c r="H71" s="2"/>
    </row>
    <row r="72" spans="2:14">
      <c r="D72" s="5"/>
      <c r="H72" s="2"/>
    </row>
    <row r="73" spans="2:14">
      <c r="D73" s="256" t="s">
        <v>101</v>
      </c>
      <c r="E73" s="257"/>
      <c r="H73" s="2"/>
    </row>
    <row r="74" spans="2:14">
      <c r="D74" s="5"/>
      <c r="H74" s="2"/>
    </row>
    <row r="75" spans="2:14">
      <c r="D75" s="3" t="s">
        <v>80</v>
      </c>
      <c r="E75" s="6">
        <f>+E66*E80</f>
        <v>0</v>
      </c>
      <c r="F75" s="10"/>
      <c r="H75" s="2"/>
      <c r="J75" s="255" t="s">
        <v>102</v>
      </c>
      <c r="K75" s="255"/>
      <c r="L75" s="255"/>
      <c r="M75" s="255"/>
      <c r="N75" s="255"/>
    </row>
    <row r="76" spans="2:14">
      <c r="D76" s="3" t="s">
        <v>81</v>
      </c>
      <c r="E76" s="6">
        <f>E33*E64*E79</f>
        <v>20.811970004381568</v>
      </c>
      <c r="F76" s="10"/>
      <c r="H76" s="2"/>
      <c r="J76" s="255" t="s">
        <v>103</v>
      </c>
      <c r="K76" s="255"/>
      <c r="L76" s="255"/>
      <c r="M76" s="255"/>
      <c r="N76" s="255"/>
    </row>
    <row r="77" spans="2:14">
      <c r="D77" s="3" t="s">
        <v>82</v>
      </c>
      <c r="E77" s="6">
        <f>+E33*(E64*E79+E65*E80)</f>
        <v>20.811970004381568</v>
      </c>
      <c r="F77" s="10"/>
      <c r="H77" s="2"/>
      <c r="J77" s="255" t="s">
        <v>104</v>
      </c>
      <c r="K77" s="255"/>
      <c r="L77" s="255"/>
      <c r="M77" s="255"/>
      <c r="N77" s="255"/>
    </row>
    <row r="78" spans="2:14">
      <c r="D78" s="3" t="s">
        <v>83</v>
      </c>
      <c r="E78" s="6">
        <f>+E77-E76</f>
        <v>0</v>
      </c>
      <c r="F78" s="10"/>
      <c r="H78" s="2"/>
      <c r="J78" s="255" t="s">
        <v>105</v>
      </c>
      <c r="K78" s="255"/>
      <c r="L78" s="255"/>
      <c r="M78" s="255"/>
      <c r="N78" s="255"/>
    </row>
    <row r="79" spans="2:14">
      <c r="D79" s="3" t="s">
        <v>84</v>
      </c>
      <c r="E79" s="6">
        <f>+E62-E63</f>
        <v>3.5</v>
      </c>
      <c r="F79" s="10" t="s">
        <v>3</v>
      </c>
      <c r="H79" s="2"/>
      <c r="J79" s="255" t="s">
        <v>106</v>
      </c>
      <c r="K79" s="255"/>
      <c r="L79" s="255"/>
      <c r="M79" s="255"/>
      <c r="N79" s="255"/>
    </row>
    <row r="80" spans="2:14">
      <c r="D80" s="3" t="s">
        <v>85</v>
      </c>
      <c r="E80" s="6">
        <f>+E63</f>
        <v>0</v>
      </c>
      <c r="F80" s="10" t="s">
        <v>3</v>
      </c>
      <c r="H80" s="2"/>
      <c r="J80" s="255" t="s">
        <v>107</v>
      </c>
      <c r="K80" s="255"/>
      <c r="L80" s="255"/>
      <c r="M80" s="255"/>
      <c r="N80" s="255"/>
    </row>
    <row r="81" spans="4:14">
      <c r="D81" s="5"/>
      <c r="H81" s="2"/>
    </row>
    <row r="82" spans="4:14" ht="18">
      <c r="D82" s="3" t="s">
        <v>120</v>
      </c>
      <c r="E82" s="6">
        <f>+E76*E79/2</f>
        <v>36.420947507667741</v>
      </c>
      <c r="F82" s="10" t="s">
        <v>86</v>
      </c>
      <c r="H82" s="2"/>
      <c r="J82" s="255" t="s">
        <v>108</v>
      </c>
      <c r="K82" s="255"/>
      <c r="L82" s="255"/>
      <c r="M82" s="255"/>
      <c r="N82" s="255"/>
    </row>
    <row r="83" spans="4:14" ht="18">
      <c r="D83" s="3" t="s">
        <v>121</v>
      </c>
      <c r="E83" s="6">
        <f>E76*E80</f>
        <v>0</v>
      </c>
      <c r="F83" s="10" t="s">
        <v>86</v>
      </c>
      <c r="H83" s="2"/>
      <c r="J83" s="255" t="s">
        <v>109</v>
      </c>
      <c r="K83" s="255"/>
      <c r="L83" s="255"/>
      <c r="M83" s="255"/>
      <c r="N83" s="255"/>
    </row>
    <row r="84" spans="4:14" ht="18">
      <c r="D84" s="3" t="s">
        <v>122</v>
      </c>
      <c r="E84" s="6">
        <f>+E78*E80/2</f>
        <v>0</v>
      </c>
      <c r="F84" s="10" t="s">
        <v>86</v>
      </c>
      <c r="H84" s="2"/>
      <c r="J84" s="255" t="s">
        <v>110</v>
      </c>
      <c r="K84" s="255"/>
      <c r="L84" s="255"/>
      <c r="M84" s="255"/>
      <c r="N84" s="255"/>
    </row>
    <row r="85" spans="4:14" ht="18">
      <c r="D85" s="3" t="s">
        <v>123</v>
      </c>
      <c r="E85" s="6">
        <f>+(E80*E75)/2</f>
        <v>0</v>
      </c>
      <c r="F85" s="10" t="s">
        <v>86</v>
      </c>
      <c r="H85" s="2"/>
      <c r="J85" s="255" t="s">
        <v>111</v>
      </c>
      <c r="K85" s="255"/>
      <c r="L85" s="255"/>
      <c r="M85" s="255"/>
      <c r="N85" s="255"/>
    </row>
    <row r="86" spans="4:14">
      <c r="D86" s="5"/>
      <c r="H86" s="2"/>
    </row>
    <row r="87" spans="4:14" ht="29.25" customHeight="1">
      <c r="D87" s="3" t="s">
        <v>124</v>
      </c>
      <c r="E87" s="6">
        <f>+E80+0.333333333333333*E79</f>
        <v>1.1666666666666654</v>
      </c>
      <c r="F87" s="10" t="s">
        <v>3</v>
      </c>
      <c r="H87" s="2"/>
      <c r="J87" s="255" t="s">
        <v>112</v>
      </c>
      <c r="K87" s="255"/>
      <c r="L87" s="255"/>
      <c r="M87" s="255"/>
      <c r="N87" s="255"/>
    </row>
    <row r="88" spans="4:14" ht="30" customHeight="1">
      <c r="D88" s="3" t="s">
        <v>125</v>
      </c>
      <c r="E88" s="6">
        <f>E80/2</f>
        <v>0</v>
      </c>
      <c r="F88" s="10" t="s">
        <v>3</v>
      </c>
      <c r="H88" s="2"/>
      <c r="J88" s="255" t="s">
        <v>113</v>
      </c>
      <c r="K88" s="255"/>
      <c r="L88" s="255"/>
      <c r="M88" s="255"/>
      <c r="N88" s="255"/>
    </row>
    <row r="89" spans="4:14" ht="30.75" customHeight="1">
      <c r="D89" s="3" t="s">
        <v>126</v>
      </c>
      <c r="E89" s="6">
        <f>1/3*E80</f>
        <v>0</v>
      </c>
      <c r="F89" s="10" t="s">
        <v>3</v>
      </c>
      <c r="H89" s="2"/>
      <c r="J89" s="255" t="s">
        <v>114</v>
      </c>
      <c r="K89" s="255"/>
      <c r="L89" s="255"/>
      <c r="M89" s="255"/>
      <c r="N89" s="255"/>
    </row>
    <row r="90" spans="4:14">
      <c r="D90" s="5"/>
      <c r="H90" s="2"/>
    </row>
    <row r="91" spans="4:14" ht="30.75" customHeight="1">
      <c r="D91" s="3" t="s">
        <v>127</v>
      </c>
      <c r="E91" s="6">
        <f>(E82*E87+E83*E88+E84*E89)/E95</f>
        <v>1.1666666666666654</v>
      </c>
      <c r="F91" s="10" t="s">
        <v>3</v>
      </c>
      <c r="H91" s="2"/>
      <c r="J91" s="255" t="s">
        <v>115</v>
      </c>
      <c r="K91" s="255"/>
      <c r="L91" s="255"/>
      <c r="M91" s="255"/>
      <c r="N91" s="255"/>
    </row>
    <row r="92" spans="4:14" ht="30.75" customHeight="1">
      <c r="D92" s="3" t="s">
        <v>128</v>
      </c>
      <c r="E92" s="39">
        <f>0.333333333333333*E80</f>
        <v>0</v>
      </c>
      <c r="F92" s="10" t="s">
        <v>3</v>
      </c>
      <c r="H92" s="2"/>
      <c r="J92" s="255" t="s">
        <v>116</v>
      </c>
      <c r="K92" s="255"/>
      <c r="L92" s="255"/>
      <c r="M92" s="255"/>
      <c r="N92" s="255"/>
    </row>
    <row r="93" spans="4:14">
      <c r="D93" s="5"/>
      <c r="H93" s="2"/>
    </row>
    <row r="94" spans="4:14">
      <c r="D94" s="3" t="s">
        <v>87</v>
      </c>
      <c r="E94" s="6">
        <f>+E85</f>
        <v>0</v>
      </c>
      <c r="F94" s="10" t="s">
        <v>88</v>
      </c>
      <c r="H94" s="2"/>
      <c r="J94" s="255" t="s">
        <v>117</v>
      </c>
      <c r="K94" s="255"/>
      <c r="L94" s="255"/>
      <c r="M94" s="255"/>
      <c r="N94" s="255"/>
    </row>
    <row r="95" spans="4:14" ht="30" customHeight="1">
      <c r="D95" s="3" t="s">
        <v>583</v>
      </c>
      <c r="E95" s="6">
        <f>E82+E83+E84</f>
        <v>36.420947507667741</v>
      </c>
      <c r="F95" s="10" t="s">
        <v>88</v>
      </c>
      <c r="H95" s="2"/>
      <c r="J95" s="255" t="s">
        <v>118</v>
      </c>
      <c r="K95" s="255"/>
      <c r="L95" s="255"/>
      <c r="M95" s="255"/>
      <c r="N95" s="255"/>
    </row>
    <row r="96" spans="4:14" ht="30" customHeight="1">
      <c r="D96" s="3" t="s">
        <v>582</v>
      </c>
      <c r="E96" s="6">
        <f>(1/2)*E48*E14*K7^2</f>
        <v>29.103418416816943</v>
      </c>
      <c r="F96" s="10" t="s">
        <v>88</v>
      </c>
      <c r="H96" s="2"/>
      <c r="J96" s="255"/>
      <c r="K96" s="255"/>
      <c r="L96" s="255"/>
      <c r="M96" s="255"/>
      <c r="N96" s="255"/>
    </row>
    <row r="97" spans="4:15">
      <c r="D97" s="5"/>
      <c r="H97" s="2"/>
    </row>
    <row r="98" spans="4:15">
      <c r="D98" s="43" t="s">
        <v>89</v>
      </c>
      <c r="H98" s="2"/>
    </row>
    <row r="99" spans="4:15">
      <c r="D99" s="5"/>
      <c r="H99" s="2"/>
    </row>
    <row r="100" spans="4:15">
      <c r="D100" s="3" t="s">
        <v>214</v>
      </c>
      <c r="E100" s="6">
        <f>E94</f>
        <v>0</v>
      </c>
      <c r="F100" s="10" t="s">
        <v>88</v>
      </c>
      <c r="G100" s="1" t="s">
        <v>659</v>
      </c>
      <c r="H100" s="2" t="s">
        <v>660</v>
      </c>
      <c r="J100" s="255" t="s">
        <v>117</v>
      </c>
      <c r="K100" s="255"/>
      <c r="L100" s="255"/>
      <c r="M100" s="255"/>
      <c r="N100" s="255"/>
    </row>
    <row r="101" spans="4:15">
      <c r="D101" s="3" t="s">
        <v>584</v>
      </c>
      <c r="E101" s="6">
        <f>E95</f>
        <v>36.420947507667741</v>
      </c>
      <c r="F101" s="10" t="s">
        <v>88</v>
      </c>
      <c r="G101" s="1">
        <f>E33*E8*3</f>
        <v>17.838831432327058</v>
      </c>
      <c r="H101" s="319">
        <f>Fuerzas!F63</f>
        <v>3.5677662864654112</v>
      </c>
      <c r="J101" s="255" t="s">
        <v>119</v>
      </c>
      <c r="K101" s="255"/>
      <c r="L101" s="255"/>
      <c r="M101" s="255"/>
      <c r="N101" s="255"/>
    </row>
    <row r="102" spans="4:15" ht="15" customHeight="1">
      <c r="D102" s="3" t="s">
        <v>585</v>
      </c>
      <c r="E102" s="40">
        <v>0</v>
      </c>
      <c r="F102" s="10" t="s">
        <v>88</v>
      </c>
      <c r="G102" s="13" t="s">
        <v>586</v>
      </c>
      <c r="H102" s="2"/>
      <c r="J102" s="255" t="s">
        <v>569</v>
      </c>
      <c r="K102" s="255"/>
      <c r="L102" s="255"/>
      <c r="M102" s="255"/>
      <c r="N102" s="255"/>
      <c r="O102" s="255"/>
    </row>
    <row r="103" spans="4:15" ht="15.75" thickBot="1">
      <c r="D103" s="7"/>
      <c r="E103" s="8"/>
      <c r="F103" s="8"/>
      <c r="G103" s="8"/>
      <c r="H103" s="9"/>
    </row>
    <row r="104" spans="4:15">
      <c r="G104" s="52">
        <f>G101+H101</f>
        <v>21.406597718792469</v>
      </c>
      <c r="H104" s="1" t="s">
        <v>661</v>
      </c>
    </row>
  </sheetData>
  <mergeCells count="71">
    <mergeCell ref="D2:K2"/>
    <mergeCell ref="D5:H5"/>
    <mergeCell ref="D11:H11"/>
    <mergeCell ref="M9:P9"/>
    <mergeCell ref="D18:H18"/>
    <mergeCell ref="D19:H19"/>
    <mergeCell ref="E21:H21"/>
    <mergeCell ref="D3:K3"/>
    <mergeCell ref="E36:H36"/>
    <mergeCell ref="J18:N18"/>
    <mergeCell ref="J27:N27"/>
    <mergeCell ref="J23:N23"/>
    <mergeCell ref="J24:N24"/>
    <mergeCell ref="J25:N25"/>
    <mergeCell ref="J26:N26"/>
    <mergeCell ref="J21:N21"/>
    <mergeCell ref="J29:N29"/>
    <mergeCell ref="J30:N30"/>
    <mergeCell ref="J31:N31"/>
    <mergeCell ref="J33:N33"/>
    <mergeCell ref="J36:N36"/>
    <mergeCell ref="J38:N38"/>
    <mergeCell ref="J39:N39"/>
    <mergeCell ref="J41:N41"/>
    <mergeCell ref="J40:N40"/>
    <mergeCell ref="J42:N42"/>
    <mergeCell ref="J44:N44"/>
    <mergeCell ref="J45:N45"/>
    <mergeCell ref="J46:N46"/>
    <mergeCell ref="J48:N48"/>
    <mergeCell ref="D50:H50"/>
    <mergeCell ref="D52:H52"/>
    <mergeCell ref="D54:E54"/>
    <mergeCell ref="F54:H54"/>
    <mergeCell ref="D55:E55"/>
    <mergeCell ref="F55:H55"/>
    <mergeCell ref="J50:N50"/>
    <mergeCell ref="J54:N54"/>
    <mergeCell ref="J55:N55"/>
    <mergeCell ref="J57:N57"/>
    <mergeCell ref="J58:N58"/>
    <mergeCell ref="J62:N62"/>
    <mergeCell ref="J63:N63"/>
    <mergeCell ref="J64:N64"/>
    <mergeCell ref="J65:N65"/>
    <mergeCell ref="J66:N66"/>
    <mergeCell ref="J80:N80"/>
    <mergeCell ref="J82:N82"/>
    <mergeCell ref="J83:N83"/>
    <mergeCell ref="J84:N84"/>
    <mergeCell ref="D73:E73"/>
    <mergeCell ref="J75:N75"/>
    <mergeCell ref="J76:N76"/>
    <mergeCell ref="J77:N77"/>
    <mergeCell ref="J78:N78"/>
    <mergeCell ref="B36:B37"/>
    <mergeCell ref="B38:B39"/>
    <mergeCell ref="J102:O102"/>
    <mergeCell ref="B68:B70"/>
    <mergeCell ref="J101:N101"/>
    <mergeCell ref="J92:N92"/>
    <mergeCell ref="J94:N94"/>
    <mergeCell ref="J95:N95"/>
    <mergeCell ref="J96:N96"/>
    <mergeCell ref="J100:N100"/>
    <mergeCell ref="J85:N85"/>
    <mergeCell ref="J87:N87"/>
    <mergeCell ref="J88:N88"/>
    <mergeCell ref="J89:N89"/>
    <mergeCell ref="J91:N91"/>
    <mergeCell ref="J79:N7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9A1D4-09AB-4022-9819-6D4D02F343E9}">
  <dimension ref="A1:S134"/>
  <sheetViews>
    <sheetView showGridLines="0" topLeftCell="A102" zoomScale="68" zoomScaleNormal="68" workbookViewId="0">
      <selection activeCell="F129" sqref="F129:G129"/>
    </sheetView>
  </sheetViews>
  <sheetFormatPr baseColWidth="10" defaultColWidth="11.42578125" defaultRowHeight="15"/>
  <cols>
    <col min="1" max="1" width="11.42578125" style="54"/>
    <col min="2" max="2" width="20.5703125" style="1" bestFit="1" customWidth="1"/>
    <col min="3" max="3" width="5.140625" style="54" customWidth="1"/>
    <col min="4" max="4" width="11" style="54" customWidth="1"/>
    <col min="5" max="5" width="36.28515625" style="54" customWidth="1"/>
    <col min="6" max="6" width="16.28515625" style="54" customWidth="1"/>
    <col min="7" max="7" width="13.85546875" style="54" bestFit="1" customWidth="1"/>
    <col min="8" max="8" width="22.42578125" style="54" bestFit="1" customWidth="1"/>
    <col min="9" max="9" width="16.7109375" style="54" bestFit="1" customWidth="1"/>
    <col min="10" max="10" width="8" style="54" customWidth="1"/>
    <col min="11" max="17" width="11.42578125" style="54"/>
    <col min="18" max="18" width="18" style="54" customWidth="1"/>
    <col min="19" max="19" width="11.28515625" style="54" customWidth="1"/>
    <col min="20" max="16384" width="11.42578125" style="54"/>
  </cols>
  <sheetData>
    <row r="1" spans="4:19" ht="15.75" thickBot="1"/>
    <row r="2" spans="4:19">
      <c r="D2" s="213" t="s">
        <v>31</v>
      </c>
      <c r="E2" s="214"/>
      <c r="F2" s="214"/>
      <c r="G2" s="214"/>
      <c r="H2" s="214"/>
      <c r="I2" s="214"/>
      <c r="J2" s="214"/>
      <c r="K2" s="214"/>
      <c r="L2" s="214"/>
      <c r="M2" s="215"/>
    </row>
    <row r="3" spans="4:19" ht="36.75" customHeight="1" thickBot="1">
      <c r="D3" s="280" t="s">
        <v>282</v>
      </c>
      <c r="E3" s="281"/>
      <c r="F3" s="281"/>
      <c r="G3" s="281"/>
      <c r="H3" s="281"/>
      <c r="I3" s="281"/>
      <c r="J3" s="281"/>
      <c r="K3" s="281"/>
      <c r="L3" s="281"/>
      <c r="M3" s="282"/>
    </row>
    <row r="4" spans="4:19" ht="15.75" thickBot="1"/>
    <row r="5" spans="4:19" s="1" customFormat="1" ht="15.75" thickBot="1">
      <c r="D5" s="236" t="s">
        <v>29</v>
      </c>
      <c r="E5" s="237"/>
      <c r="F5" s="237"/>
      <c r="G5" s="237"/>
      <c r="H5" s="238"/>
      <c r="I5" s="16"/>
      <c r="J5" s="16"/>
      <c r="K5" s="16"/>
      <c r="Q5" s="54"/>
      <c r="R5" s="231" t="s">
        <v>129</v>
      </c>
      <c r="S5" s="233"/>
    </row>
    <row r="6" spans="4:19" s="1" customFormat="1" ht="18">
      <c r="D6" s="12"/>
      <c r="E6" s="6">
        <f>+'Cálculo de Pa y Pp'!E6</f>
        <v>0</v>
      </c>
      <c r="F6" s="12" t="s">
        <v>6</v>
      </c>
      <c r="I6" s="16"/>
      <c r="J6" s="16"/>
      <c r="K6" s="16"/>
      <c r="Q6" s="46" t="s">
        <v>132</v>
      </c>
      <c r="R6" s="6">
        <f>+'Dimensiones Muro'!D8</f>
        <v>1.8</v>
      </c>
      <c r="S6" s="10" t="s">
        <v>3</v>
      </c>
    </row>
    <row r="7" spans="4:19" s="1" customFormat="1" ht="18">
      <c r="D7" s="10"/>
      <c r="E7" s="6">
        <f>+'Cálculo de Pa y Pp'!E7</f>
        <v>30</v>
      </c>
      <c r="F7" s="10" t="s">
        <v>4</v>
      </c>
      <c r="G7" s="6">
        <f>RADIANS(E7)</f>
        <v>0.52359877559829882</v>
      </c>
      <c r="H7" s="10" t="s">
        <v>5</v>
      </c>
      <c r="I7" s="16"/>
      <c r="J7" s="10" t="s">
        <v>7</v>
      </c>
      <c r="K7" s="4">
        <f>+'Cálculo de Pa y Pp'!K7</f>
        <v>0.6</v>
      </c>
      <c r="L7" s="10" t="s">
        <v>3</v>
      </c>
      <c r="Q7" s="47" t="s">
        <v>133</v>
      </c>
      <c r="R7" s="6">
        <f>+'Dimensiones Muro'!D9</f>
        <v>3</v>
      </c>
      <c r="S7" s="12" t="s">
        <v>3</v>
      </c>
    </row>
    <row r="8" spans="4:19" s="1" customFormat="1" ht="18">
      <c r="D8" s="10"/>
      <c r="E8" s="6">
        <f>+'Cálculo de Pa y Pp'!E8</f>
        <v>20</v>
      </c>
      <c r="F8" s="10" t="s">
        <v>9</v>
      </c>
      <c r="I8" s="16"/>
      <c r="J8" s="10" t="s">
        <v>8</v>
      </c>
      <c r="K8" s="4">
        <f>+'Cálculo de Pa y Pp'!K8</f>
        <v>3.5</v>
      </c>
      <c r="L8" s="10" t="s">
        <v>3</v>
      </c>
      <c r="Q8" s="47" t="s">
        <v>134</v>
      </c>
      <c r="R8" s="6">
        <f>+'Dimensiones Muro'!D10</f>
        <v>0.8</v>
      </c>
      <c r="S8" s="10" t="s">
        <v>3</v>
      </c>
    </row>
    <row r="9" spans="4:19" s="1" customFormat="1" ht="18">
      <c r="D9" s="10"/>
      <c r="E9" s="6">
        <f>+'Cálculo de Pa y Pp'!E9</f>
        <v>0</v>
      </c>
      <c r="F9" s="10" t="s">
        <v>9</v>
      </c>
      <c r="I9" s="16"/>
      <c r="J9" s="10" t="s">
        <v>53</v>
      </c>
      <c r="K9" s="4">
        <f>+'Cálculo de Pa y Pp'!K9</f>
        <v>3.5</v>
      </c>
      <c r="L9" s="10" t="s">
        <v>3</v>
      </c>
      <c r="M9" s="276" t="s">
        <v>54</v>
      </c>
      <c r="N9" s="230"/>
      <c r="O9" s="230"/>
      <c r="P9" s="230"/>
      <c r="Q9" s="47" t="s">
        <v>135</v>
      </c>
      <c r="R9" s="6">
        <f>+'Dimensiones Muro'!D11</f>
        <v>0</v>
      </c>
      <c r="S9" s="10" t="s">
        <v>3</v>
      </c>
    </row>
    <row r="10" spans="4:19" s="1" customFormat="1" ht="18.75" thickBot="1">
      <c r="D10" s="16"/>
      <c r="E10" s="16"/>
      <c r="F10" s="16"/>
      <c r="G10" s="16"/>
      <c r="H10" s="16"/>
      <c r="I10" s="16"/>
      <c r="J10" s="10"/>
      <c r="K10" s="4">
        <f>+'Cálculo de Pa y Pp'!K10</f>
        <v>0</v>
      </c>
      <c r="L10" s="10" t="s">
        <v>4</v>
      </c>
      <c r="M10" s="6">
        <f>RADIANS(K10)</f>
        <v>0</v>
      </c>
      <c r="N10" s="10" t="s">
        <v>5</v>
      </c>
      <c r="Q10" s="47" t="s">
        <v>136</v>
      </c>
      <c r="R10" s="6">
        <f>+'Dimensiones Muro'!D12</f>
        <v>0.3</v>
      </c>
      <c r="S10" s="10" t="s">
        <v>3</v>
      </c>
    </row>
    <row r="11" spans="4:19" s="1" customFormat="1" ht="18.75" thickBot="1">
      <c r="D11" s="247" t="s">
        <v>30</v>
      </c>
      <c r="E11" s="245"/>
      <c r="F11" s="245"/>
      <c r="G11" s="245"/>
      <c r="H11" s="246"/>
      <c r="I11" s="16"/>
      <c r="J11" s="10"/>
      <c r="K11" s="4">
        <f>+Input!D34</f>
        <v>24</v>
      </c>
      <c r="L11" s="10" t="str">
        <f>+Input!E34</f>
        <v>[kN/m3]</v>
      </c>
      <c r="Q11" s="47" t="s">
        <v>137</v>
      </c>
      <c r="R11" s="6">
        <f>+'Dimensiones Muro'!D13</f>
        <v>3</v>
      </c>
      <c r="S11" s="10" t="s">
        <v>3</v>
      </c>
    </row>
    <row r="12" spans="4:19" s="1" customFormat="1" ht="18">
      <c r="D12" s="12"/>
      <c r="E12" s="6">
        <f>+'Cálculo de Pa y Pp'!E12</f>
        <v>0</v>
      </c>
      <c r="F12" s="12" t="s">
        <v>6</v>
      </c>
      <c r="I12" s="16"/>
      <c r="J12" s="10" t="s">
        <v>2</v>
      </c>
      <c r="K12" s="6">
        <f>+'Cálculo de Pa y Pp'!E101</f>
        <v>36.420947507667741</v>
      </c>
      <c r="L12" s="10" t="str">
        <f>+'Cálculo de Pa y Pp'!F101</f>
        <v>[kN/m]</v>
      </c>
      <c r="Q12" s="47" t="s">
        <v>138</v>
      </c>
      <c r="R12" s="6">
        <f>+'Dimensiones Muro'!D14</f>
        <v>0</v>
      </c>
      <c r="S12" s="10" t="s">
        <v>3</v>
      </c>
    </row>
    <row r="13" spans="4:19" s="1" customFormat="1" ht="18">
      <c r="D13" s="10"/>
      <c r="E13" s="6">
        <f>+'Cálculo de Pa y Pp'!E13</f>
        <v>33</v>
      </c>
      <c r="F13" s="10" t="s">
        <v>4</v>
      </c>
      <c r="G13" s="6">
        <f>RADIANS(E13)</f>
        <v>0.57595865315812877</v>
      </c>
      <c r="H13" s="10" t="s">
        <v>5</v>
      </c>
      <c r="J13" s="10" t="s">
        <v>0</v>
      </c>
      <c r="K13" s="6">
        <f>+'Cálculo de Pa y Pp'!E33</f>
        <v>0.29731385720545095</v>
      </c>
      <c r="L13" s="54"/>
      <c r="M13" s="54"/>
      <c r="N13" s="54"/>
      <c r="Q13" s="47" t="s">
        <v>139</v>
      </c>
      <c r="R13" s="6">
        <f>+'Dimensiones Muro'!D15</f>
        <v>0</v>
      </c>
      <c r="S13" s="10" t="s">
        <v>3</v>
      </c>
    </row>
    <row r="14" spans="4:19" s="1" customFormat="1" ht="18">
      <c r="D14" s="10"/>
      <c r="E14" s="6">
        <f>+'Cálculo de Pa y Pp'!E14</f>
        <v>20</v>
      </c>
      <c r="F14" s="10" t="s">
        <v>9</v>
      </c>
      <c r="J14" s="10" t="s">
        <v>1</v>
      </c>
      <c r="K14" s="6">
        <f>+'Cálculo de Pa y Pp'!E102</f>
        <v>0</v>
      </c>
      <c r="L14" s="10" t="s">
        <v>88</v>
      </c>
      <c r="M14" s="54"/>
      <c r="N14" s="54"/>
      <c r="Q14" s="47" t="s">
        <v>140</v>
      </c>
      <c r="R14" s="6">
        <f>+'Dimensiones Muro'!D16</f>
        <v>2.9</v>
      </c>
      <c r="S14" s="10" t="s">
        <v>3</v>
      </c>
    </row>
    <row r="15" spans="4:19" s="1" customFormat="1" ht="18">
      <c r="D15" s="10"/>
      <c r="E15" s="6">
        <f>+'Cálculo de Pa y Pp'!E15</f>
        <v>0</v>
      </c>
      <c r="F15" s="10" t="s">
        <v>9</v>
      </c>
      <c r="J15" s="10" t="s">
        <v>157</v>
      </c>
      <c r="K15" s="6">
        <f>+'Cálculo de Pa y Pp'!E48</f>
        <v>8.0842828935602622</v>
      </c>
      <c r="L15" s="54"/>
      <c r="M15" s="54"/>
      <c r="N15" s="54"/>
      <c r="Q15" s="47" t="s">
        <v>141</v>
      </c>
      <c r="R15" s="6">
        <f>+'Dimensiones Muro'!D17</f>
        <v>0.5</v>
      </c>
      <c r="S15" s="10" t="s">
        <v>3</v>
      </c>
    </row>
    <row r="17" spans="1:15" ht="15.75" thickBot="1"/>
    <row r="18" spans="1:15" ht="15.75" thickBot="1">
      <c r="B18" s="64" t="s">
        <v>163</v>
      </c>
      <c r="D18" s="231" t="s">
        <v>142</v>
      </c>
      <c r="E18" s="232"/>
      <c r="F18" s="232"/>
      <c r="G18" s="232"/>
      <c r="H18" s="232"/>
      <c r="I18" s="233"/>
      <c r="K18" s="273" t="s">
        <v>17</v>
      </c>
      <c r="L18" s="274"/>
      <c r="M18" s="274"/>
      <c r="N18" s="274"/>
      <c r="O18" s="275"/>
    </row>
    <row r="19" spans="1:15">
      <c r="D19" s="55"/>
      <c r="E19" s="56"/>
      <c r="F19" s="56"/>
      <c r="G19" s="56"/>
      <c r="H19" s="56"/>
      <c r="I19" s="57"/>
    </row>
    <row r="20" spans="1:15" ht="65.25" customHeight="1">
      <c r="D20" s="48" t="s">
        <v>143</v>
      </c>
      <c r="E20" s="46" t="s">
        <v>144</v>
      </c>
      <c r="F20" s="46" t="s">
        <v>145</v>
      </c>
      <c r="G20" s="46" t="s">
        <v>146</v>
      </c>
      <c r="H20" s="50" t="s">
        <v>147</v>
      </c>
      <c r="I20" s="49" t="s">
        <v>148</v>
      </c>
      <c r="K20" s="283" t="s">
        <v>150</v>
      </c>
      <c r="L20" s="283"/>
      <c r="M20" s="283"/>
      <c r="N20" s="283"/>
      <c r="O20" s="283"/>
    </row>
    <row r="21" spans="1:15">
      <c r="D21" s="3">
        <v>1</v>
      </c>
      <c r="E21" s="6">
        <f>+R6*R7</f>
        <v>5.4</v>
      </c>
      <c r="F21" s="6">
        <f>E21*$E$8</f>
        <v>108</v>
      </c>
      <c r="G21" s="6">
        <f>+R14-R6/2</f>
        <v>2</v>
      </c>
      <c r="H21" s="6">
        <f>+F21*G21</f>
        <v>216</v>
      </c>
      <c r="I21" s="58" t="s">
        <v>149</v>
      </c>
      <c r="J21" s="206"/>
    </row>
    <row r="22" spans="1:15">
      <c r="A22" s="54">
        <f>56+54</f>
        <v>110</v>
      </c>
      <c r="D22" s="3">
        <v>2</v>
      </c>
      <c r="E22" s="6">
        <f>+R8*R9/2</f>
        <v>0</v>
      </c>
      <c r="F22" s="6">
        <f>E22*$E$8</f>
        <v>0</v>
      </c>
      <c r="G22" s="6">
        <f>+R14-R8*1/3</f>
        <v>2.6333333333333333</v>
      </c>
      <c r="H22" s="6">
        <f>+F22*G22</f>
        <v>0</v>
      </c>
      <c r="I22" s="58" t="s">
        <v>149</v>
      </c>
      <c r="J22" s="206"/>
      <c r="K22" s="255" t="s">
        <v>151</v>
      </c>
      <c r="L22" s="283"/>
      <c r="M22" s="283"/>
      <c r="N22" s="283"/>
      <c r="O22" s="283"/>
    </row>
    <row r="23" spans="1:15">
      <c r="D23" s="3">
        <v>3</v>
      </c>
      <c r="E23" s="6">
        <f>+R10*R11</f>
        <v>0.89999999999999991</v>
      </c>
      <c r="F23" s="6">
        <f>+E23*$K$11</f>
        <v>21.599999999999998</v>
      </c>
      <c r="G23" s="6">
        <f>+R14-R6-R10/2</f>
        <v>0.94999999999999984</v>
      </c>
      <c r="H23" s="6">
        <f>+F23*G23</f>
        <v>20.519999999999996</v>
      </c>
      <c r="I23" s="58" t="s">
        <v>149</v>
      </c>
      <c r="J23" s="206"/>
    </row>
    <row r="24" spans="1:15">
      <c r="D24" s="3">
        <v>4</v>
      </c>
      <c r="E24" s="6">
        <f>+R12*R13/2</f>
        <v>0</v>
      </c>
      <c r="F24" s="6">
        <f>+E24*$K$11</f>
        <v>0</v>
      </c>
      <c r="G24" s="6">
        <f>+R14-R6-R10-R12/3</f>
        <v>0.79999999999999982</v>
      </c>
      <c r="H24" s="6">
        <f>+F24*G24</f>
        <v>0</v>
      </c>
      <c r="I24" s="58" t="s">
        <v>149</v>
      </c>
      <c r="J24" s="206"/>
    </row>
    <row r="25" spans="1:15">
      <c r="D25" s="3">
        <v>5</v>
      </c>
      <c r="E25" s="6">
        <f>+R14*R15</f>
        <v>1.45</v>
      </c>
      <c r="F25" s="6">
        <f>+E25*$K$11</f>
        <v>34.799999999999997</v>
      </c>
      <c r="G25" s="6">
        <f>+R14/2</f>
        <v>1.45</v>
      </c>
      <c r="H25" s="6">
        <f>+F25*G25</f>
        <v>50.459999999999994</v>
      </c>
      <c r="I25" s="58" t="s">
        <v>149</v>
      </c>
      <c r="J25" s="206"/>
    </row>
    <row r="26" spans="1:15">
      <c r="D26" s="59"/>
      <c r="E26" s="52"/>
      <c r="F26" s="6">
        <f>SUM(F21:F25)</f>
        <v>164.39999999999998</v>
      </c>
      <c r="H26" s="6">
        <f>SUM(H21:H25)</f>
        <v>286.97999999999996</v>
      </c>
      <c r="I26" s="2"/>
    </row>
    <row r="27" spans="1:15">
      <c r="D27" s="59"/>
      <c r="E27" s="52"/>
      <c r="F27" s="52"/>
      <c r="H27" s="52"/>
      <c r="I27" s="2"/>
    </row>
    <row r="28" spans="1:15">
      <c r="D28" s="59"/>
      <c r="E28" s="52"/>
      <c r="F28" s="52"/>
      <c r="H28" s="52"/>
      <c r="I28" s="2"/>
    </row>
    <row r="29" spans="1:15">
      <c r="D29" s="59"/>
      <c r="E29" s="10" t="s">
        <v>616</v>
      </c>
      <c r="F29" s="6">
        <f>F21+F22</f>
        <v>108</v>
      </c>
      <c r="G29" s="10" t="s">
        <v>88</v>
      </c>
      <c r="H29" s="52"/>
      <c r="I29" s="2"/>
    </row>
    <row r="30" spans="1:15">
      <c r="D30" s="59"/>
      <c r="E30" s="10" t="s">
        <v>617</v>
      </c>
      <c r="F30" s="6">
        <f>F23+F24+F25</f>
        <v>56.399999999999991</v>
      </c>
      <c r="G30" s="10" t="s">
        <v>88</v>
      </c>
      <c r="H30" s="52"/>
      <c r="I30" s="2"/>
    </row>
    <row r="31" spans="1:15">
      <c r="D31" s="59"/>
      <c r="E31" s="10" t="s">
        <v>622</v>
      </c>
      <c r="F31" s="6">
        <f>H21+H22</f>
        <v>216</v>
      </c>
      <c r="G31" s="10" t="s">
        <v>88</v>
      </c>
      <c r="I31" s="2"/>
      <c r="K31" s="255" t="s">
        <v>152</v>
      </c>
      <c r="L31" s="283"/>
      <c r="M31" s="283"/>
      <c r="N31" s="283"/>
      <c r="O31" s="283"/>
    </row>
    <row r="32" spans="1:15" ht="32.25" customHeight="1">
      <c r="D32" s="59"/>
      <c r="E32" s="10" t="s">
        <v>623</v>
      </c>
      <c r="F32" s="6">
        <f>SUM(H23:H25)</f>
        <v>70.97999999999999</v>
      </c>
      <c r="G32" s="10" t="s">
        <v>153</v>
      </c>
      <c r="H32" s="52"/>
      <c r="I32" s="2"/>
      <c r="K32" s="255" t="s">
        <v>180</v>
      </c>
      <c r="L32" s="283"/>
      <c r="M32" s="283"/>
      <c r="N32" s="283"/>
      <c r="O32" s="283"/>
    </row>
    <row r="33" spans="2:15" ht="15.75" thickBot="1">
      <c r="D33" s="60"/>
      <c r="E33" s="61"/>
      <c r="F33" s="61"/>
      <c r="G33" s="61"/>
      <c r="H33" s="61"/>
      <c r="I33" s="62"/>
    </row>
    <row r="34" spans="2:15" ht="15.75" thickBot="1"/>
    <row r="35" spans="2:15" ht="15.75" thickBot="1">
      <c r="D35" s="231" t="s">
        <v>658</v>
      </c>
      <c r="E35" s="232"/>
      <c r="F35" s="232"/>
      <c r="G35" s="232"/>
      <c r="H35" s="232"/>
      <c r="I35" s="233"/>
    </row>
    <row r="36" spans="2:15">
      <c r="D36" s="55"/>
      <c r="E36" s="56"/>
      <c r="F36" s="56"/>
      <c r="G36" s="56"/>
      <c r="H36" s="56"/>
      <c r="I36" s="57"/>
    </row>
    <row r="37" spans="2:15" ht="28.5" customHeight="1">
      <c r="B37" s="1" t="s">
        <v>198</v>
      </c>
      <c r="D37" s="59"/>
      <c r="E37" s="10" t="s">
        <v>190</v>
      </c>
      <c r="F37" s="10" t="s">
        <v>183</v>
      </c>
      <c r="G37" s="1"/>
      <c r="H37" s="1"/>
      <c r="I37" s="63"/>
      <c r="K37" s="255" t="s">
        <v>200</v>
      </c>
      <c r="L37" s="283"/>
      <c r="M37" s="283"/>
      <c r="N37" s="283"/>
      <c r="O37" s="283"/>
    </row>
    <row r="38" spans="2:15">
      <c r="D38" s="59"/>
      <c r="E38" s="4">
        <v>1500</v>
      </c>
      <c r="F38" s="4">
        <v>1200</v>
      </c>
      <c r="G38" s="1"/>
      <c r="H38" s="1"/>
      <c r="I38" s="63"/>
    </row>
    <row r="39" spans="2:15">
      <c r="D39" s="59"/>
      <c r="E39" s="4">
        <v>3000</v>
      </c>
      <c r="F39" s="4">
        <v>900</v>
      </c>
      <c r="G39" s="1"/>
      <c r="H39" s="1"/>
      <c r="I39" s="63"/>
    </row>
    <row r="40" spans="2:15">
      <c r="D40" s="59"/>
      <c r="E40" s="4" t="s">
        <v>195</v>
      </c>
      <c r="F40" s="4">
        <v>600</v>
      </c>
      <c r="G40" s="1"/>
      <c r="H40" s="1"/>
      <c r="I40" s="63"/>
    </row>
    <row r="41" spans="2:15">
      <c r="D41" s="59"/>
      <c r="E41" s="1"/>
      <c r="F41" s="1"/>
      <c r="G41" s="1"/>
      <c r="H41" s="1"/>
      <c r="I41" s="63"/>
    </row>
    <row r="42" spans="2:15" ht="42.75" customHeight="1">
      <c r="B42" s="1" t="s">
        <v>199</v>
      </c>
      <c r="D42" s="59"/>
      <c r="E42" s="284" t="s">
        <v>191</v>
      </c>
      <c r="F42" s="284" t="s">
        <v>197</v>
      </c>
      <c r="G42" s="284"/>
      <c r="H42" s="1"/>
      <c r="I42" s="63"/>
      <c r="K42" s="255" t="s">
        <v>201</v>
      </c>
      <c r="L42" s="283"/>
      <c r="M42" s="283"/>
      <c r="N42" s="283"/>
      <c r="O42" s="283"/>
    </row>
    <row r="43" spans="2:15">
      <c r="D43" s="59"/>
      <c r="E43" s="284"/>
      <c r="F43" s="10" t="s">
        <v>192</v>
      </c>
      <c r="G43" s="10" t="s">
        <v>193</v>
      </c>
      <c r="H43" s="1"/>
      <c r="I43" s="63"/>
    </row>
    <row r="44" spans="2:15">
      <c r="D44" s="59"/>
      <c r="E44" s="72">
        <v>1500</v>
      </c>
      <c r="F44" s="4">
        <v>1500</v>
      </c>
      <c r="G44" s="4">
        <v>600</v>
      </c>
      <c r="H44" s="1"/>
      <c r="I44" s="63"/>
    </row>
    <row r="45" spans="2:15">
      <c r="D45" s="59"/>
      <c r="E45" s="72">
        <v>3000</v>
      </c>
      <c r="F45" s="4">
        <v>1000</v>
      </c>
      <c r="G45" s="4">
        <v>600</v>
      </c>
      <c r="H45" s="1"/>
      <c r="I45" s="63"/>
    </row>
    <row r="46" spans="2:15">
      <c r="D46" s="59"/>
      <c r="E46" s="4" t="s">
        <v>194</v>
      </c>
      <c r="F46" s="4">
        <v>600</v>
      </c>
      <c r="G46" s="4">
        <v>600</v>
      </c>
      <c r="H46" s="1"/>
      <c r="I46" s="63"/>
      <c r="K46" s="255"/>
      <c r="L46" s="283"/>
      <c r="M46" s="283"/>
      <c r="N46" s="283"/>
      <c r="O46" s="283"/>
    </row>
    <row r="47" spans="2:15" ht="15.75" thickBot="1">
      <c r="D47" s="59"/>
      <c r="E47" s="1"/>
      <c r="F47" s="1"/>
      <c r="G47" s="1"/>
      <c r="H47" s="1"/>
      <c r="I47" s="63"/>
      <c r="K47" s="53"/>
      <c r="L47" s="14"/>
      <c r="M47" s="14"/>
      <c r="N47" s="14"/>
      <c r="O47" s="14"/>
    </row>
    <row r="48" spans="2:15">
      <c r="D48" s="59"/>
      <c r="E48" s="285" t="s">
        <v>168</v>
      </c>
      <c r="F48" s="286"/>
      <c r="G48" s="1"/>
      <c r="H48" s="1"/>
      <c r="I48" s="63"/>
      <c r="K48" s="53"/>
      <c r="L48" s="14"/>
      <c r="M48" s="14"/>
      <c r="N48" s="14"/>
      <c r="O48" s="14"/>
    </row>
    <row r="49" spans="2:15">
      <c r="D49" s="59"/>
      <c r="E49" s="67" t="s">
        <v>169</v>
      </c>
      <c r="F49" s="38">
        <v>3000</v>
      </c>
      <c r="G49" s="1"/>
      <c r="H49" s="1"/>
      <c r="I49" s="63"/>
      <c r="K49" s="53"/>
      <c r="L49" s="14"/>
      <c r="M49" s="14"/>
      <c r="N49" s="14"/>
      <c r="O49" s="14"/>
    </row>
    <row r="50" spans="2:15">
      <c r="D50" s="59"/>
      <c r="E50" s="3" t="s">
        <v>170</v>
      </c>
      <c r="F50" s="38">
        <v>600</v>
      </c>
      <c r="G50" s="1"/>
      <c r="H50" s="1"/>
      <c r="I50" s="63"/>
      <c r="K50" s="53"/>
      <c r="L50" s="14"/>
      <c r="M50" s="14"/>
      <c r="N50" s="14"/>
      <c r="O50" s="14"/>
    </row>
    <row r="51" spans="2:15">
      <c r="D51" s="59"/>
      <c r="E51" s="68"/>
      <c r="F51" s="69"/>
      <c r="G51" s="1"/>
      <c r="H51" s="1"/>
      <c r="I51" s="63"/>
      <c r="K51" s="53"/>
      <c r="L51" s="14"/>
      <c r="M51" s="14"/>
      <c r="N51" s="14"/>
      <c r="O51" s="14"/>
    </row>
    <row r="52" spans="2:15">
      <c r="D52" s="59"/>
      <c r="E52" s="3" t="s">
        <v>171</v>
      </c>
      <c r="F52" s="38">
        <v>6000</v>
      </c>
      <c r="G52" s="1"/>
      <c r="H52" s="1"/>
      <c r="I52" s="63"/>
      <c r="K52" s="53"/>
      <c r="L52" s="14"/>
      <c r="M52" s="14"/>
      <c r="N52" s="14"/>
      <c r="O52" s="14"/>
    </row>
    <row r="53" spans="2:15">
      <c r="D53" s="59"/>
      <c r="E53" s="3" t="s">
        <v>172</v>
      </c>
      <c r="F53" s="38">
        <v>600</v>
      </c>
      <c r="G53" s="1"/>
      <c r="H53" s="1"/>
      <c r="I53" s="63"/>
      <c r="K53" s="53"/>
      <c r="L53" s="14"/>
      <c r="M53" s="14"/>
      <c r="N53" s="14"/>
      <c r="O53" s="14"/>
    </row>
    <row r="54" spans="2:15">
      <c r="D54" s="59"/>
      <c r="E54" s="68"/>
      <c r="F54" s="69"/>
      <c r="G54" s="1"/>
      <c r="H54" s="1"/>
      <c r="I54" s="63"/>
      <c r="K54" s="53"/>
      <c r="L54" s="14"/>
      <c r="M54" s="14"/>
      <c r="N54" s="14"/>
      <c r="O54" s="14"/>
    </row>
    <row r="55" spans="2:15">
      <c r="D55" s="59"/>
      <c r="E55" s="3" t="s">
        <v>173</v>
      </c>
      <c r="F55" s="58">
        <f>(F53-F50)/(F52-F49)</f>
        <v>0</v>
      </c>
      <c r="G55" s="1"/>
      <c r="H55" s="1"/>
      <c r="I55" s="63"/>
      <c r="K55" s="53"/>
      <c r="L55" s="14"/>
      <c r="M55" s="14"/>
      <c r="N55" s="14"/>
      <c r="O55" s="14"/>
    </row>
    <row r="56" spans="2:15">
      <c r="D56" s="59"/>
      <c r="E56" s="68"/>
      <c r="F56" s="69"/>
      <c r="G56" s="1"/>
      <c r="H56" s="1"/>
      <c r="I56" s="63"/>
      <c r="K56" s="53"/>
      <c r="L56" s="14"/>
      <c r="M56" s="14"/>
      <c r="N56" s="14"/>
      <c r="O56" s="14"/>
    </row>
    <row r="57" spans="2:15">
      <c r="D57" s="59"/>
      <c r="E57" s="3" t="s">
        <v>174</v>
      </c>
      <c r="F57" s="73">
        <f>F60*1000</f>
        <v>3500</v>
      </c>
      <c r="G57" s="1"/>
      <c r="H57" s="1"/>
      <c r="I57" s="63"/>
      <c r="K57" s="53"/>
      <c r="L57" s="14"/>
      <c r="M57" s="14"/>
      <c r="N57" s="14"/>
      <c r="O57" s="14"/>
    </row>
    <row r="58" spans="2:15" ht="15.75" thickBot="1">
      <c r="D58" s="59"/>
      <c r="E58" s="70" t="s">
        <v>175</v>
      </c>
      <c r="F58" s="71">
        <f>F55*(F57-F49)+F50</f>
        <v>600</v>
      </c>
      <c r="G58" s="1"/>
      <c r="H58" s="1"/>
      <c r="I58" s="63"/>
      <c r="K58" s="53"/>
      <c r="L58" s="14"/>
      <c r="M58" s="14"/>
      <c r="N58" s="14"/>
      <c r="O58" s="14"/>
    </row>
    <row r="59" spans="2:15">
      <c r="D59" s="59"/>
      <c r="E59" s="1"/>
      <c r="F59" s="1"/>
      <c r="G59" s="1"/>
      <c r="H59" s="1"/>
      <c r="I59" s="63"/>
      <c r="K59" s="53"/>
      <c r="L59" s="14"/>
      <c r="M59" s="14"/>
      <c r="N59" s="14"/>
      <c r="O59" s="14"/>
    </row>
    <row r="60" spans="2:15">
      <c r="D60" s="59"/>
      <c r="E60" s="10" t="s">
        <v>196</v>
      </c>
      <c r="F60" s="6">
        <f>+K9</f>
        <v>3.5</v>
      </c>
      <c r="G60" s="10" t="s">
        <v>3</v>
      </c>
      <c r="I60" s="63"/>
      <c r="K60" s="53"/>
      <c r="L60" s="14"/>
      <c r="M60" s="14"/>
      <c r="N60" s="14"/>
      <c r="O60" s="14"/>
    </row>
    <row r="61" spans="2:15">
      <c r="D61" s="59"/>
      <c r="E61" s="10" t="s">
        <v>0</v>
      </c>
      <c r="F61" s="6">
        <f>+K13</f>
        <v>0.29731385720545095</v>
      </c>
      <c r="G61" s="10"/>
      <c r="I61" s="63"/>
      <c r="K61" s="255" t="s">
        <v>202</v>
      </c>
      <c r="L61" s="283"/>
      <c r="M61" s="283"/>
      <c r="N61" s="283"/>
      <c r="O61" s="283"/>
    </row>
    <row r="62" spans="2:15">
      <c r="D62" s="59"/>
      <c r="E62" s="10" t="s">
        <v>183</v>
      </c>
      <c r="F62" s="6">
        <f>+F58/1000</f>
        <v>0.6</v>
      </c>
      <c r="G62" s="10" t="s">
        <v>3</v>
      </c>
      <c r="I62" s="63"/>
      <c r="K62" s="255" t="s">
        <v>188</v>
      </c>
      <c r="L62" s="283"/>
      <c r="M62" s="283"/>
      <c r="N62" s="283"/>
      <c r="O62" s="283"/>
    </row>
    <row r="63" spans="2:15" ht="29.25" customHeight="1">
      <c r="B63" s="1" t="s">
        <v>182</v>
      </c>
      <c r="D63" s="59"/>
      <c r="E63" s="46" t="s">
        <v>186</v>
      </c>
      <c r="F63" s="6">
        <f>F61*F62*E8</f>
        <v>3.5677662864654112</v>
      </c>
      <c r="G63" s="10" t="s">
        <v>187</v>
      </c>
      <c r="I63" s="63"/>
      <c r="K63" s="255" t="s">
        <v>184</v>
      </c>
      <c r="L63" s="283"/>
      <c r="M63" s="283"/>
      <c r="N63" s="283"/>
      <c r="O63" s="283"/>
    </row>
    <row r="64" spans="2:15" ht="29.25" customHeight="1">
      <c r="D64" s="59"/>
      <c r="E64" s="46" t="s">
        <v>185</v>
      </c>
      <c r="F64" s="6">
        <f>+F63*K9</f>
        <v>12.48718200262894</v>
      </c>
      <c r="G64" s="10" t="s">
        <v>88</v>
      </c>
      <c r="I64" s="63"/>
      <c r="K64" s="255" t="s">
        <v>189</v>
      </c>
      <c r="L64" s="283"/>
      <c r="M64" s="283"/>
      <c r="N64" s="283"/>
      <c r="O64" s="283"/>
    </row>
    <row r="65" spans="2:15">
      <c r="D65" s="59"/>
      <c r="E65" s="1"/>
      <c r="F65" s="1"/>
      <c r="G65" s="1"/>
      <c r="I65" s="63"/>
      <c r="K65" s="53"/>
      <c r="L65" s="14"/>
      <c r="M65" s="14"/>
      <c r="N65" s="14"/>
      <c r="O65" s="14"/>
    </row>
    <row r="66" spans="2:15">
      <c r="D66" s="59"/>
      <c r="E66" s="1"/>
      <c r="F66" s="1"/>
      <c r="G66" s="1"/>
      <c r="I66" s="63"/>
      <c r="K66" s="53"/>
      <c r="L66" s="14"/>
      <c r="M66" s="14"/>
      <c r="N66" s="14"/>
      <c r="O66" s="14"/>
    </row>
    <row r="67" spans="2:15">
      <c r="D67" s="59"/>
      <c r="E67" s="10" t="s">
        <v>183</v>
      </c>
      <c r="F67" s="6">
        <v>0.6</v>
      </c>
      <c r="G67" s="10" t="s">
        <v>3</v>
      </c>
      <c r="I67" s="63"/>
      <c r="K67" s="53"/>
      <c r="L67" s="14"/>
      <c r="M67" s="14"/>
      <c r="N67" s="14"/>
      <c r="O67" s="14"/>
    </row>
    <row r="68" spans="2:15">
      <c r="D68" s="59"/>
      <c r="E68" s="46" t="s">
        <v>615</v>
      </c>
      <c r="F68" s="6">
        <f>F67*E8</f>
        <v>12</v>
      </c>
      <c r="G68" s="10" t="s">
        <v>88</v>
      </c>
      <c r="I68" s="63"/>
      <c r="K68" s="53"/>
      <c r="L68" s="14"/>
      <c r="M68" s="14"/>
      <c r="N68" s="14"/>
      <c r="O68" s="14"/>
    </row>
    <row r="69" spans="2:15" ht="15.75" thickBot="1">
      <c r="D69" s="60"/>
      <c r="E69" s="61"/>
      <c r="F69" s="61"/>
      <c r="G69" s="61"/>
      <c r="H69" s="61"/>
      <c r="I69" s="62"/>
    </row>
    <row r="70" spans="2:15" ht="15.75" thickBot="1"/>
    <row r="71" spans="2:15" ht="15.75" thickBot="1">
      <c r="B71" s="64" t="s">
        <v>163</v>
      </c>
      <c r="D71" s="231" t="s">
        <v>154</v>
      </c>
      <c r="E71" s="232"/>
      <c r="F71" s="232"/>
      <c r="G71" s="232"/>
      <c r="H71" s="232"/>
      <c r="I71" s="233"/>
    </row>
    <row r="72" spans="2:15">
      <c r="D72" s="55"/>
      <c r="E72" s="56"/>
      <c r="F72" s="56"/>
      <c r="G72" s="56"/>
      <c r="H72" s="56"/>
      <c r="I72" s="57"/>
    </row>
    <row r="73" spans="2:15">
      <c r="D73" s="59"/>
      <c r="E73" s="10" t="s">
        <v>590</v>
      </c>
      <c r="F73" s="6">
        <f>'Cálculo de Pa y Pp'!M10</f>
        <v>0</v>
      </c>
      <c r="G73" s="10" t="s">
        <v>5</v>
      </c>
      <c r="I73" s="63"/>
    </row>
    <row r="74" spans="2:15">
      <c r="D74" s="59"/>
      <c r="E74" s="10" t="s">
        <v>591</v>
      </c>
      <c r="F74" s="38">
        <f>0</f>
        <v>0</v>
      </c>
      <c r="G74" s="10" t="s">
        <v>5</v>
      </c>
      <c r="I74" s="63"/>
    </row>
    <row r="75" spans="2:15">
      <c r="D75" s="59"/>
      <c r="E75" s="10"/>
      <c r="F75" s="6">
        <f>+'Cálculo de Pa y Pp'!G25</f>
        <v>0.3490658503988659</v>
      </c>
      <c r="G75" s="10" t="s">
        <v>5</v>
      </c>
      <c r="I75" s="63"/>
    </row>
    <row r="76" spans="2:15">
      <c r="D76" s="59"/>
      <c r="E76" s="10"/>
      <c r="F76" s="6">
        <f>+G7</f>
        <v>0.52359877559829882</v>
      </c>
      <c r="G76" s="10" t="s">
        <v>5</v>
      </c>
      <c r="I76" s="63"/>
    </row>
    <row r="77" spans="2:15">
      <c r="D77" s="59"/>
      <c r="I77" s="63"/>
    </row>
    <row r="78" spans="2:15">
      <c r="D78" s="59"/>
      <c r="E78" s="10" t="s">
        <v>0</v>
      </c>
      <c r="G78" s="1"/>
      <c r="I78" s="63"/>
    </row>
    <row r="79" spans="2:15">
      <c r="D79" s="59"/>
      <c r="E79" s="1"/>
      <c r="F79" s="6">
        <f>+K13</f>
        <v>0.29731385720545095</v>
      </c>
      <c r="G79" s="1"/>
      <c r="I79" s="63"/>
    </row>
    <row r="80" spans="2:15">
      <c r="D80" s="59"/>
      <c r="E80" s="1"/>
      <c r="F80" s="1"/>
      <c r="G80" s="1"/>
      <c r="I80" s="63"/>
    </row>
    <row r="81" spans="2:15">
      <c r="D81" s="59"/>
      <c r="E81" s="1"/>
      <c r="F81" s="1"/>
      <c r="G81" s="1"/>
      <c r="I81" s="63"/>
    </row>
    <row r="82" spans="2:15">
      <c r="B82" s="1" t="s">
        <v>166</v>
      </c>
      <c r="D82" s="59"/>
      <c r="E82" s="10" t="s">
        <v>165</v>
      </c>
      <c r="F82" s="6">
        <f>+Input!D43</f>
        <v>0.25</v>
      </c>
      <c r="G82" s="1"/>
      <c r="I82" s="63"/>
      <c r="K82" s="255" t="s">
        <v>167</v>
      </c>
      <c r="L82" s="283"/>
      <c r="M82" s="283"/>
      <c r="N82" s="283"/>
      <c r="O82" s="283"/>
    </row>
    <row r="83" spans="2:15">
      <c r="B83" s="1" t="s">
        <v>179</v>
      </c>
      <c r="D83" s="59"/>
      <c r="E83" s="10" t="s">
        <v>164</v>
      </c>
      <c r="F83" s="6">
        <f>+Input!D44</f>
        <v>1.1499999999999999</v>
      </c>
      <c r="G83" s="1"/>
      <c r="I83" s="63"/>
      <c r="K83" s="255" t="s">
        <v>181</v>
      </c>
      <c r="L83" s="283"/>
      <c r="M83" s="283"/>
      <c r="N83" s="283"/>
      <c r="O83" s="283"/>
    </row>
    <row r="84" spans="2:15">
      <c r="D84" s="59"/>
      <c r="I84" s="63"/>
    </row>
    <row r="85" spans="2:15">
      <c r="D85" s="59"/>
      <c r="E85" s="1"/>
      <c r="F85" s="1"/>
      <c r="G85" s="1"/>
      <c r="I85" s="63"/>
    </row>
    <row r="86" spans="2:15">
      <c r="D86" s="59"/>
      <c r="F86" s="52"/>
      <c r="G86" s="1"/>
      <c r="I86" s="63"/>
    </row>
    <row r="87" spans="2:15">
      <c r="D87" s="59"/>
      <c r="G87" s="1"/>
      <c r="I87" s="63"/>
    </row>
    <row r="88" spans="2:15" ht="45.75" customHeight="1">
      <c r="B88" s="1" t="s">
        <v>605</v>
      </c>
      <c r="D88" s="59"/>
      <c r="E88" s="10" t="s">
        <v>156</v>
      </c>
      <c r="F88" s="6">
        <f>F83*F82</f>
        <v>0.28749999999999998</v>
      </c>
      <c r="G88" s="1"/>
      <c r="I88" s="63"/>
      <c r="K88" s="255" t="s">
        <v>382</v>
      </c>
      <c r="L88" s="283"/>
      <c r="M88" s="283"/>
      <c r="N88" s="283"/>
      <c r="O88" s="283"/>
    </row>
    <row r="89" spans="2:15" ht="34.5" customHeight="1">
      <c r="B89" s="1" t="s">
        <v>605</v>
      </c>
      <c r="D89" s="59"/>
      <c r="E89" s="10" t="s">
        <v>204</v>
      </c>
      <c r="F89" s="6">
        <f>+F88/2</f>
        <v>0.14374999999999999</v>
      </c>
      <c r="G89" s="1"/>
      <c r="I89" s="63"/>
      <c r="K89" s="53"/>
      <c r="L89" s="14"/>
      <c r="M89" s="14"/>
      <c r="N89" s="14"/>
      <c r="O89" s="14"/>
    </row>
    <row r="90" spans="2:15">
      <c r="B90" s="1" t="s">
        <v>606</v>
      </c>
      <c r="D90" s="59"/>
      <c r="E90" s="10" t="s">
        <v>158</v>
      </c>
      <c r="F90" s="6">
        <v>0</v>
      </c>
      <c r="G90" s="1"/>
      <c r="I90" s="63"/>
      <c r="K90" s="255" t="s">
        <v>381</v>
      </c>
      <c r="L90" s="283"/>
      <c r="M90" s="283"/>
      <c r="N90" s="283"/>
      <c r="O90" s="283"/>
    </row>
    <row r="91" spans="2:15" ht="35.25" customHeight="1">
      <c r="B91" s="1" t="s">
        <v>607</v>
      </c>
      <c r="D91" s="59"/>
      <c r="E91" s="10"/>
      <c r="F91" s="6">
        <f>+ATAN(F89)</f>
        <v>0.1427719450196106</v>
      </c>
      <c r="G91" s="1"/>
      <c r="I91" s="63"/>
    </row>
    <row r="92" spans="2:15">
      <c r="D92" s="59"/>
      <c r="E92" s="1"/>
      <c r="F92" s="52"/>
      <c r="G92" s="1"/>
      <c r="I92" s="63"/>
    </row>
    <row r="93" spans="2:15">
      <c r="D93" s="59"/>
      <c r="E93" s="1"/>
      <c r="F93" s="1"/>
      <c r="G93" s="1"/>
      <c r="I93" s="63"/>
    </row>
    <row r="94" spans="2:15" ht="25.5" customHeight="1">
      <c r="D94" s="59"/>
      <c r="E94" s="10" t="s">
        <v>159</v>
      </c>
      <c r="F94" s="6">
        <f>(COS(G7-F74-F91)^2)</f>
        <v>0.86184788877977481</v>
      </c>
      <c r="G94" s="1"/>
      <c r="I94" s="63"/>
    </row>
    <row r="95" spans="2:15" ht="25.5" customHeight="1">
      <c r="D95" s="59"/>
      <c r="E95" s="10" t="s">
        <v>160</v>
      </c>
      <c r="F95" s="201">
        <f>+(COS(F91))*(COS(F74))^2*COS(F75+F74+F91)</f>
        <v>0.87249787457157923</v>
      </c>
      <c r="G95" s="1"/>
      <c r="I95" s="63"/>
    </row>
    <row r="96" spans="2:15" ht="25.5" customHeight="1">
      <c r="D96" s="202"/>
      <c r="E96" s="10" t="s">
        <v>161</v>
      </c>
      <c r="F96" s="201">
        <f>+(1+SQRT((SIN(F76+F75)*SIN(F76-F73-F91))/(COS(F75+F74+F91)*COS(F73-F74))))^2</f>
        <v>2.4597118943224392</v>
      </c>
      <c r="G96" s="1"/>
      <c r="I96" s="63"/>
    </row>
    <row r="97" spans="2:15" ht="45.75" customHeight="1">
      <c r="B97" s="1" t="s">
        <v>608</v>
      </c>
      <c r="D97" s="59"/>
      <c r="E97" s="10" t="s">
        <v>162</v>
      </c>
      <c r="F97" s="201">
        <f>F94/(F95*F96)</f>
        <v>0.40158918005996436</v>
      </c>
      <c r="G97" s="1"/>
      <c r="I97" s="63"/>
      <c r="K97" s="255" t="s">
        <v>205</v>
      </c>
      <c r="L97" s="283"/>
      <c r="M97" s="283"/>
      <c r="N97" s="283"/>
      <c r="O97" s="283"/>
    </row>
    <row r="98" spans="2:15">
      <c r="D98" s="59"/>
      <c r="E98" s="1"/>
      <c r="F98" s="1"/>
      <c r="G98" s="1"/>
      <c r="I98" s="63"/>
    </row>
    <row r="99" spans="2:15">
      <c r="D99" s="59"/>
      <c r="E99" s="10" t="s">
        <v>395</v>
      </c>
      <c r="F99" s="6">
        <f>1/2*F97*K9^2*E8</f>
        <v>49.194674557345628</v>
      </c>
      <c r="G99" s="10" t="s">
        <v>88</v>
      </c>
      <c r="I99" s="63"/>
      <c r="K99" s="114" t="s">
        <v>396</v>
      </c>
    </row>
    <row r="100" spans="2:15">
      <c r="D100" s="59"/>
      <c r="I100" s="63"/>
    </row>
    <row r="101" spans="2:15" ht="29.25" customHeight="1">
      <c r="D101" s="59"/>
      <c r="E101" s="10"/>
      <c r="F101" s="6">
        <f>0.5*E8*K8^2*(F97-F79)</f>
        <v>12.773727049677893</v>
      </c>
      <c r="G101" s="10" t="s">
        <v>88</v>
      </c>
      <c r="I101" s="63"/>
      <c r="K101" s="255" t="s">
        <v>206</v>
      </c>
      <c r="L101" s="283"/>
      <c r="M101" s="283"/>
      <c r="N101" s="283"/>
      <c r="O101" s="283"/>
    </row>
    <row r="102" spans="2:15" ht="76.5" customHeight="1" thickBot="1">
      <c r="D102" s="59"/>
      <c r="I102" s="63"/>
      <c r="K102" s="255" t="s">
        <v>593</v>
      </c>
      <c r="L102" s="283"/>
      <c r="M102" s="283"/>
      <c r="N102" s="283"/>
      <c r="O102" s="283"/>
    </row>
    <row r="103" spans="2:15" ht="77.25" customHeight="1" thickBot="1">
      <c r="B103" s="1" t="s">
        <v>609</v>
      </c>
      <c r="D103" s="231" t="s">
        <v>383</v>
      </c>
      <c r="E103" s="232"/>
      <c r="F103" s="232"/>
      <c r="G103" s="232"/>
      <c r="H103" s="232"/>
      <c r="I103" s="233"/>
      <c r="K103" s="255" t="s">
        <v>594</v>
      </c>
      <c r="L103" s="283"/>
      <c r="M103" s="283"/>
      <c r="N103" s="283"/>
      <c r="O103" s="283"/>
    </row>
    <row r="104" spans="2:15">
      <c r="D104" s="59"/>
      <c r="I104" s="63"/>
      <c r="K104" s="53"/>
      <c r="L104" s="14"/>
      <c r="M104" s="14"/>
      <c r="N104" s="14"/>
      <c r="O104" s="14"/>
    </row>
    <row r="105" spans="2:15">
      <c r="D105" s="59"/>
      <c r="E105" s="10" t="s">
        <v>155</v>
      </c>
      <c r="F105" s="6">
        <f>+F89</f>
        <v>0.14374999999999999</v>
      </c>
      <c r="G105" s="10"/>
      <c r="I105" s="63"/>
      <c r="K105" s="255" t="s">
        <v>387</v>
      </c>
      <c r="L105" s="283"/>
      <c r="M105" s="283"/>
      <c r="N105" s="283"/>
      <c r="O105" s="283"/>
    </row>
    <row r="106" spans="2:15">
      <c r="D106" s="59"/>
      <c r="E106" s="10" t="s">
        <v>384</v>
      </c>
      <c r="F106" s="6">
        <f>+F21+F22</f>
        <v>108</v>
      </c>
      <c r="G106" s="10" t="s">
        <v>88</v>
      </c>
      <c r="I106" s="63"/>
      <c r="K106" s="255" t="s">
        <v>390</v>
      </c>
      <c r="L106" s="283"/>
      <c r="M106" s="283"/>
      <c r="N106" s="283"/>
      <c r="O106" s="283"/>
    </row>
    <row r="107" spans="2:15">
      <c r="D107" s="59"/>
      <c r="E107" s="10" t="s">
        <v>385</v>
      </c>
      <c r="F107" s="6">
        <f>+F23+F24+F25</f>
        <v>56.399999999999991</v>
      </c>
      <c r="G107" s="10" t="s">
        <v>88</v>
      </c>
      <c r="I107" s="63"/>
      <c r="K107" s="255" t="s">
        <v>391</v>
      </c>
      <c r="L107" s="283"/>
      <c r="M107" s="283"/>
      <c r="N107" s="283"/>
      <c r="O107" s="283"/>
    </row>
    <row r="108" spans="2:15">
      <c r="D108" s="59"/>
      <c r="I108" s="63"/>
      <c r="K108" s="53"/>
      <c r="L108" s="14"/>
      <c r="M108" s="14"/>
      <c r="N108" s="14"/>
      <c r="O108" s="14"/>
    </row>
    <row r="109" spans="2:15">
      <c r="B109" s="1" t="s">
        <v>578</v>
      </c>
      <c r="D109" s="59"/>
      <c r="E109" s="10" t="s">
        <v>386</v>
      </c>
      <c r="F109" s="6">
        <f>+F105*(F106+F107)</f>
        <v>23.632499999999993</v>
      </c>
      <c r="G109" s="10" t="s">
        <v>88</v>
      </c>
      <c r="I109" s="63"/>
      <c r="K109" s="255" t="s">
        <v>392</v>
      </c>
      <c r="L109" s="283"/>
      <c r="M109" s="283"/>
      <c r="N109" s="283"/>
      <c r="O109" s="283"/>
    </row>
    <row r="110" spans="2:15">
      <c r="B110" s="1" t="s">
        <v>592</v>
      </c>
      <c r="D110" s="59"/>
      <c r="I110" s="63"/>
      <c r="K110" s="53"/>
      <c r="L110" s="14"/>
      <c r="M110" s="14"/>
      <c r="N110" s="14"/>
      <c r="O110" s="14"/>
    </row>
    <row r="111" spans="2:15" ht="18">
      <c r="D111" s="59"/>
      <c r="E111" s="109" t="s">
        <v>393</v>
      </c>
      <c r="F111" s="6">
        <f>F99+50%*F109</f>
        <v>61.010924557345625</v>
      </c>
      <c r="G111" s="10" t="s">
        <v>88</v>
      </c>
      <c r="I111" s="63"/>
      <c r="K111" s="255" t="s">
        <v>388</v>
      </c>
      <c r="L111" s="283"/>
      <c r="M111" s="283"/>
      <c r="N111" s="283"/>
      <c r="O111" s="283"/>
    </row>
    <row r="112" spans="2:15" ht="18">
      <c r="D112" s="59"/>
      <c r="E112" s="10" t="s">
        <v>394</v>
      </c>
      <c r="F112" s="6">
        <f>50%*F99+F109</f>
        <v>48.229837278672804</v>
      </c>
      <c r="G112" s="10" t="s">
        <v>88</v>
      </c>
      <c r="I112" s="63"/>
      <c r="K112" s="255" t="s">
        <v>389</v>
      </c>
      <c r="L112" s="283"/>
      <c r="M112" s="283"/>
      <c r="N112" s="283"/>
      <c r="O112" s="283"/>
    </row>
    <row r="113" spans="4:15">
      <c r="D113" s="59"/>
      <c r="I113" s="63"/>
      <c r="K113" s="53"/>
      <c r="L113" s="14"/>
      <c r="M113" s="14"/>
      <c r="N113" s="14"/>
      <c r="O113" s="14"/>
    </row>
    <row r="114" spans="4:15" ht="18">
      <c r="D114" s="59"/>
      <c r="E114" s="205" t="s">
        <v>629</v>
      </c>
      <c r="F114" s="6">
        <f>MAX(F111:F112)</f>
        <v>61.010924557345625</v>
      </c>
      <c r="G114" s="10" t="s">
        <v>88</v>
      </c>
      <c r="I114" s="63"/>
      <c r="K114" s="255" t="s">
        <v>206</v>
      </c>
      <c r="L114" s="283"/>
      <c r="M114" s="283"/>
      <c r="N114" s="283"/>
      <c r="O114" s="283"/>
    </row>
    <row r="115" spans="4:15" ht="15.75" thickBot="1">
      <c r="D115" s="60"/>
      <c r="E115" s="61"/>
      <c r="F115" s="61"/>
      <c r="G115" s="61"/>
      <c r="H115" s="61"/>
      <c r="I115" s="62"/>
    </row>
    <row r="116" spans="4:15" ht="15.75" thickBot="1"/>
    <row r="117" spans="4:15" ht="15.75" thickBot="1">
      <c r="D117" s="231" t="s">
        <v>203</v>
      </c>
      <c r="E117" s="232"/>
      <c r="F117" s="232"/>
      <c r="G117" s="232"/>
      <c r="H117" s="232"/>
      <c r="I117" s="233"/>
    </row>
    <row r="118" spans="4:15">
      <c r="D118" s="55"/>
      <c r="E118" s="56"/>
      <c r="F118" s="56"/>
      <c r="G118" s="56"/>
      <c r="H118" s="56"/>
      <c r="I118" s="57"/>
    </row>
    <row r="119" spans="4:15">
      <c r="D119" s="59"/>
      <c r="E119" s="10" t="str">
        <f>+'Cálculo de Pa y Pp'!D100</f>
        <v>Ew</v>
      </c>
      <c r="F119" s="6">
        <f>+'Cálculo de Pa y Pp'!E100</f>
        <v>0</v>
      </c>
      <c r="G119" s="10" t="str">
        <f>+'Cálculo de Pa y Pp'!F100</f>
        <v>[kN/m]</v>
      </c>
      <c r="I119" s="63"/>
      <c r="K119" s="255" t="s">
        <v>221</v>
      </c>
      <c r="L119" s="283"/>
      <c r="M119" s="283"/>
      <c r="N119" s="283"/>
      <c r="O119" s="283"/>
    </row>
    <row r="120" spans="4:15" ht="15.75" thickBot="1">
      <c r="D120" s="60"/>
      <c r="E120" s="61"/>
      <c r="F120" s="61"/>
      <c r="G120" s="61"/>
      <c r="H120" s="61"/>
      <c r="I120" s="62"/>
    </row>
    <row r="121" spans="4:15" ht="15.75" thickBot="1"/>
    <row r="122" spans="4:15" ht="15.75" thickBot="1">
      <c r="D122" s="231" t="s">
        <v>289</v>
      </c>
      <c r="E122" s="232"/>
      <c r="F122" s="232"/>
      <c r="G122" s="232"/>
      <c r="H122" s="232"/>
      <c r="I122" s="233"/>
    </row>
    <row r="123" spans="4:15">
      <c r="D123" s="55"/>
      <c r="E123" s="56"/>
      <c r="F123" s="56"/>
      <c r="G123" s="56"/>
      <c r="H123" s="56"/>
      <c r="I123" s="57"/>
    </row>
    <row r="124" spans="4:15" ht="15" customHeight="1">
      <c r="D124" s="59"/>
      <c r="E124" s="10" t="str">
        <f>+Input!C74</f>
        <v>Ft</v>
      </c>
      <c r="F124" s="4">
        <f>+Input!D74</f>
        <v>240</v>
      </c>
      <c r="G124" s="10" t="str">
        <f>+Input!E74</f>
        <v>[kN]</v>
      </c>
      <c r="H124" s="1"/>
      <c r="I124" s="2"/>
      <c r="K124" s="255" t="s">
        <v>296</v>
      </c>
      <c r="L124" s="283"/>
      <c r="M124" s="283"/>
      <c r="N124" s="283"/>
      <c r="O124" s="283"/>
    </row>
    <row r="125" spans="4:15">
      <c r="D125" s="59"/>
      <c r="E125" s="10" t="str">
        <f>+Input!C75</f>
        <v>Lc</v>
      </c>
      <c r="F125" s="112">
        <f>+Input!D75</f>
        <v>5.5</v>
      </c>
      <c r="G125" s="108" t="str">
        <f>+Input!E75</f>
        <v>[m]</v>
      </c>
      <c r="H125" s="1"/>
      <c r="I125" s="2"/>
      <c r="K125" s="255" t="s">
        <v>295</v>
      </c>
      <c r="L125" s="283"/>
      <c r="M125" s="283"/>
      <c r="N125" s="283"/>
      <c r="O125" s="283"/>
    </row>
    <row r="126" spans="4:15" ht="35.25" customHeight="1">
      <c r="D126" s="59"/>
      <c r="E126" s="113" t="s">
        <v>294</v>
      </c>
      <c r="F126" s="4">
        <f>+Input!D76</f>
        <v>45</v>
      </c>
      <c r="G126" s="10" t="str">
        <f>+Input!E76</f>
        <v>[°]</v>
      </c>
      <c r="H126" s="6">
        <f>+Input!F76</f>
        <v>0.78539816339744828</v>
      </c>
      <c r="I126" s="11" t="str">
        <f>+Input!G76</f>
        <v>[rad]</v>
      </c>
      <c r="K126" s="255" t="s">
        <v>299</v>
      </c>
      <c r="L126" s="283"/>
      <c r="M126" s="283"/>
      <c r="N126" s="283"/>
      <c r="O126" s="283"/>
    </row>
    <row r="127" spans="4:15">
      <c r="D127" s="59"/>
      <c r="E127" s="10" t="str">
        <f>+Input!C77</f>
        <v>Hbarrera</v>
      </c>
      <c r="F127" s="4">
        <f>+Input!D77</f>
        <v>0.81299999999999994</v>
      </c>
      <c r="G127" s="10" t="str">
        <f>+Input!E77</f>
        <v>[m]</v>
      </c>
      <c r="I127" s="63"/>
      <c r="K127" s="255" t="s">
        <v>313</v>
      </c>
      <c r="L127" s="283"/>
      <c r="M127" s="283"/>
      <c r="N127" s="283"/>
      <c r="O127" s="283"/>
    </row>
    <row r="128" spans="4:15">
      <c r="D128" s="59"/>
      <c r="I128" s="63"/>
    </row>
    <row r="129" spans="4:15" ht="54.75" customHeight="1">
      <c r="D129" s="59"/>
      <c r="E129" s="104" t="s">
        <v>314</v>
      </c>
      <c r="F129" s="287"/>
      <c r="G129" s="287"/>
      <c r="I129" s="63"/>
    </row>
    <row r="130" spans="4:15" ht="51" customHeight="1">
      <c r="D130" s="59"/>
      <c r="E130" s="10" t="s">
        <v>315</v>
      </c>
      <c r="F130" s="288"/>
      <c r="G130" s="288"/>
      <c r="H130"/>
      <c r="I130" s="63"/>
    </row>
    <row r="131" spans="4:15">
      <c r="D131" s="59"/>
      <c r="I131" s="63"/>
    </row>
    <row r="132" spans="4:15" ht="45" customHeight="1">
      <c r="D132" s="59"/>
      <c r="E132" s="10" t="s">
        <v>316</v>
      </c>
      <c r="F132" s="4">
        <f>K8/(TAN(H126))</f>
        <v>3.5000000000000004</v>
      </c>
      <c r="G132" s="10" t="s">
        <v>3</v>
      </c>
      <c r="I132" s="63"/>
      <c r="K132" s="255" t="s">
        <v>317</v>
      </c>
      <c r="L132" s="283"/>
      <c r="M132" s="283"/>
      <c r="N132" s="283"/>
      <c r="O132" s="283"/>
    </row>
    <row r="133" spans="4:15">
      <c r="D133" s="59"/>
      <c r="E133" s="10" t="s">
        <v>268</v>
      </c>
      <c r="F133" s="6">
        <f>F124/(F125+2*F132)</f>
        <v>19.2</v>
      </c>
      <c r="G133" s="10" t="s">
        <v>88</v>
      </c>
      <c r="I133" s="63"/>
      <c r="K133" s="114" t="s">
        <v>318</v>
      </c>
    </row>
    <row r="134" spans="4:15" ht="15.75" thickBot="1">
      <c r="D134" s="60"/>
      <c r="E134" s="61"/>
      <c r="F134" s="61"/>
      <c r="G134" s="61"/>
      <c r="H134" s="61"/>
      <c r="I134" s="62"/>
    </row>
  </sheetData>
  <mergeCells count="50">
    <mergeCell ref="K127:O127"/>
    <mergeCell ref="K132:O132"/>
    <mergeCell ref="F129:G129"/>
    <mergeCell ref="F130:G130"/>
    <mergeCell ref="D122:I122"/>
    <mergeCell ref="K124:O124"/>
    <mergeCell ref="K125:O125"/>
    <mergeCell ref="K126:O126"/>
    <mergeCell ref="K119:O119"/>
    <mergeCell ref="K82:O82"/>
    <mergeCell ref="D3:M3"/>
    <mergeCell ref="D2:M2"/>
    <mergeCell ref="K31:O31"/>
    <mergeCell ref="K32:O32"/>
    <mergeCell ref="D71:I71"/>
    <mergeCell ref="K20:O20"/>
    <mergeCell ref="K22:O22"/>
    <mergeCell ref="D35:I35"/>
    <mergeCell ref="K46:O46"/>
    <mergeCell ref="K61:O61"/>
    <mergeCell ref="K62:O62"/>
    <mergeCell ref="K63:O63"/>
    <mergeCell ref="K64:O64"/>
    <mergeCell ref="K83:O83"/>
    <mergeCell ref="R5:S5"/>
    <mergeCell ref="D5:H5"/>
    <mergeCell ref="M9:P9"/>
    <mergeCell ref="D11:H11"/>
    <mergeCell ref="D18:I18"/>
    <mergeCell ref="K18:O18"/>
    <mergeCell ref="F42:G42"/>
    <mergeCell ref="E42:E43"/>
    <mergeCell ref="E48:F48"/>
    <mergeCell ref="K37:O37"/>
    <mergeCell ref="K42:O42"/>
    <mergeCell ref="K111:O111"/>
    <mergeCell ref="K114:O114"/>
    <mergeCell ref="D117:I117"/>
    <mergeCell ref="K88:O88"/>
    <mergeCell ref="K90:O90"/>
    <mergeCell ref="K97:O97"/>
    <mergeCell ref="K103:O103"/>
    <mergeCell ref="K101:O101"/>
    <mergeCell ref="K102:O102"/>
    <mergeCell ref="D103:I103"/>
    <mergeCell ref="K105:O105"/>
    <mergeCell ref="K106:O106"/>
    <mergeCell ref="K107:O107"/>
    <mergeCell ref="K109:O109"/>
    <mergeCell ref="K112:O112"/>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8377-D547-473A-BD8A-9C2B72A5C592}">
  <dimension ref="C1:V200"/>
  <sheetViews>
    <sheetView showGridLines="0" zoomScale="84" zoomScaleNormal="130" workbookViewId="0">
      <selection activeCell="O35" sqref="O35"/>
    </sheetView>
  </sheetViews>
  <sheetFormatPr baseColWidth="10" defaultColWidth="10.7109375" defaultRowHeight="15"/>
  <cols>
    <col min="3" max="3" width="36.140625" customWidth="1"/>
    <col min="5" max="5" width="19.42578125" customWidth="1"/>
    <col min="6" max="12" width="10.42578125" customWidth="1"/>
  </cols>
  <sheetData>
    <row r="1" spans="3:12" ht="15.75" thickBot="1"/>
    <row r="2" spans="3:12" s="54" customFormat="1">
      <c r="C2" s="213" t="s">
        <v>31</v>
      </c>
      <c r="D2" s="214"/>
      <c r="E2" s="214"/>
      <c r="F2" s="214"/>
      <c r="G2" s="214"/>
      <c r="H2" s="214"/>
      <c r="I2" s="214"/>
      <c r="J2" s="214"/>
      <c r="K2" s="214"/>
      <c r="L2" s="215"/>
    </row>
    <row r="3" spans="3:12" s="54" customFormat="1" ht="32.25" customHeight="1" thickBot="1">
      <c r="C3" s="280" t="s">
        <v>236</v>
      </c>
      <c r="D3" s="281"/>
      <c r="E3" s="281"/>
      <c r="F3" s="281"/>
      <c r="G3" s="281"/>
      <c r="H3" s="281"/>
      <c r="I3" s="281"/>
      <c r="J3" s="281"/>
      <c r="K3" s="281"/>
      <c r="L3" s="282"/>
    </row>
    <row r="4" spans="3:12" s="54" customFormat="1">
      <c r="C4" s="15"/>
      <c r="D4" s="15"/>
      <c r="E4" s="15"/>
      <c r="F4" s="15"/>
      <c r="G4" s="15"/>
      <c r="H4" s="15"/>
      <c r="I4" s="15"/>
      <c r="J4" s="15"/>
      <c r="K4" s="15"/>
      <c r="L4" s="15"/>
    </row>
    <row r="5" spans="3:12" s="54" customFormat="1">
      <c r="C5" s="95" t="s">
        <v>234</v>
      </c>
      <c r="D5" s="6">
        <f>+'Cálculo de Pa y Pp'!G24</f>
        <v>0</v>
      </c>
      <c r="E5" s="10" t="s">
        <v>5</v>
      </c>
      <c r="F5" s="15"/>
      <c r="G5" s="15"/>
      <c r="H5" s="15"/>
      <c r="I5" s="15"/>
      <c r="J5" s="15"/>
      <c r="K5" s="15"/>
      <c r="L5" s="15"/>
    </row>
    <row r="6" spans="3:12" s="54" customFormat="1">
      <c r="C6" s="95" t="s">
        <v>235</v>
      </c>
      <c r="D6" s="6">
        <f>+'Cálculo de Pa y Pp'!G25</f>
        <v>0.3490658503988659</v>
      </c>
      <c r="E6" s="10" t="s">
        <v>5</v>
      </c>
      <c r="F6" s="15"/>
      <c r="G6" s="15"/>
      <c r="H6" s="15"/>
      <c r="I6" s="15"/>
      <c r="J6" s="15"/>
      <c r="K6" s="15"/>
      <c r="L6" s="15"/>
    </row>
    <row r="7" spans="3:12" s="54" customFormat="1">
      <c r="C7" s="12"/>
      <c r="D7" s="44">
        <f>+Input!D27</f>
        <v>0</v>
      </c>
      <c r="E7" s="12" t="s">
        <v>6</v>
      </c>
      <c r="F7" s="1"/>
      <c r="G7" s="1"/>
      <c r="H7" s="15"/>
      <c r="I7" s="15"/>
      <c r="J7" s="15"/>
      <c r="K7" s="15"/>
      <c r="L7" s="15"/>
    </row>
    <row r="8" spans="3:12" s="54" customFormat="1">
      <c r="C8" s="10"/>
      <c r="D8" s="4">
        <f>+Input!D28</f>
        <v>33</v>
      </c>
      <c r="E8" s="10" t="s">
        <v>4</v>
      </c>
      <c r="F8" s="6">
        <f>RADIANS(D8)</f>
        <v>0.57595865315812877</v>
      </c>
      <c r="G8" s="10" t="s">
        <v>5</v>
      </c>
      <c r="H8" s="15"/>
      <c r="I8" s="15"/>
      <c r="J8" s="15"/>
      <c r="K8" s="15"/>
      <c r="L8" s="15"/>
    </row>
    <row r="9" spans="3:12" s="54" customFormat="1">
      <c r="C9" s="10" t="s">
        <v>265</v>
      </c>
      <c r="D9" s="6">
        <f>+'Dimensiones Muro'!D16</f>
        <v>2.9</v>
      </c>
      <c r="E9" s="10" t="s">
        <v>3</v>
      </c>
      <c r="F9" s="52"/>
      <c r="G9" s="15"/>
      <c r="H9" s="15"/>
      <c r="I9" s="15"/>
      <c r="J9" s="15"/>
      <c r="K9" s="15"/>
      <c r="L9" s="15"/>
    </row>
    <row r="10" spans="3:12" s="54" customFormat="1">
      <c r="C10" s="10" t="s">
        <v>53</v>
      </c>
      <c r="D10" s="6">
        <f>+Fuerzas!K9</f>
        <v>3.5</v>
      </c>
      <c r="E10" s="10" t="s">
        <v>3</v>
      </c>
      <c r="F10" s="52"/>
      <c r="G10" s="15"/>
      <c r="H10" s="15"/>
      <c r="I10" s="15"/>
      <c r="J10" s="15"/>
      <c r="K10" s="15"/>
      <c r="L10" s="15"/>
    </row>
    <row r="11" spans="3:12" s="54" customFormat="1">
      <c r="C11" s="10" t="s">
        <v>7</v>
      </c>
      <c r="D11" s="6">
        <f>+Input!D13</f>
        <v>0.6</v>
      </c>
      <c r="E11" s="10" t="s">
        <v>3</v>
      </c>
      <c r="F11" s="52"/>
      <c r="G11" s="15"/>
      <c r="H11" s="15"/>
      <c r="I11" s="15"/>
      <c r="J11" s="15"/>
      <c r="K11" s="15"/>
      <c r="L11" s="15"/>
    </row>
    <row r="12" spans="3:12" s="54" customFormat="1">
      <c r="C12" s="10" t="s">
        <v>12</v>
      </c>
      <c r="D12" s="6">
        <f>'Dimensiones Muro'!D12</f>
        <v>0.3</v>
      </c>
      <c r="E12" s="10" t="s">
        <v>3</v>
      </c>
      <c r="F12" s="52"/>
      <c r="G12" s="15"/>
      <c r="H12" s="15"/>
      <c r="I12" s="15"/>
      <c r="J12" s="15"/>
      <c r="K12" s="15"/>
      <c r="L12" s="15"/>
    </row>
    <row r="13" spans="3:12" s="54" customFormat="1">
      <c r="C13" s="10" t="s">
        <v>618</v>
      </c>
      <c r="D13" s="6">
        <f>'Dimensiones Muro'!D8</f>
        <v>1.8</v>
      </c>
      <c r="E13" s="10" t="s">
        <v>3</v>
      </c>
      <c r="F13" s="52"/>
      <c r="G13" s="15"/>
      <c r="H13" s="15"/>
      <c r="I13" s="15"/>
      <c r="J13" s="15"/>
      <c r="K13" s="15"/>
      <c r="L13" s="15"/>
    </row>
    <row r="14" spans="3:12" s="54" customFormat="1" ht="15.75" thickBot="1">
      <c r="C14" s="15"/>
      <c r="D14" s="15"/>
      <c r="E14" s="15"/>
      <c r="F14" s="52"/>
      <c r="G14" s="15"/>
      <c r="H14" s="15"/>
      <c r="I14" s="15"/>
      <c r="J14" s="15"/>
      <c r="K14" s="15"/>
      <c r="L14" s="15"/>
    </row>
    <row r="15" spans="3:12" ht="15.75" thickBot="1">
      <c r="E15" s="236" t="s">
        <v>288</v>
      </c>
      <c r="F15" s="237"/>
      <c r="G15" s="237"/>
      <c r="H15" s="237"/>
      <c r="I15" s="237"/>
      <c r="J15" s="237"/>
      <c r="K15" s="237"/>
      <c r="L15" s="238"/>
    </row>
    <row r="16" spans="3:12" ht="33" customHeight="1" thickBot="1">
      <c r="C16" s="18" t="s">
        <v>17</v>
      </c>
      <c r="E16" s="30"/>
      <c r="F16" s="322" t="s">
        <v>207</v>
      </c>
      <c r="G16" s="322" t="s">
        <v>208</v>
      </c>
      <c r="H16" s="322" t="s">
        <v>209</v>
      </c>
      <c r="I16" s="322" t="s">
        <v>226</v>
      </c>
      <c r="J16" s="322" t="s">
        <v>227</v>
      </c>
      <c r="K16" s="322" t="s">
        <v>210</v>
      </c>
      <c r="L16" s="323" t="s">
        <v>211</v>
      </c>
    </row>
    <row r="17" spans="3:22" ht="18">
      <c r="C17" s="27" t="s">
        <v>224</v>
      </c>
      <c r="E17" s="48" t="s">
        <v>220</v>
      </c>
      <c r="F17" s="6">
        <f>+'Cálculo de Pa y Pp'!E101</f>
        <v>36.420947507667741</v>
      </c>
      <c r="G17" s="82">
        <f>F17*COS($D$5+$D$6)</f>
        <v>34.224495614986296</v>
      </c>
      <c r="H17" s="84">
        <f>F17*SIN($D$5+$D$6)</f>
        <v>12.456697686629177</v>
      </c>
      <c r="I17" s="6">
        <f>0.333333333333333*D10</f>
        <v>1.1666666666666654</v>
      </c>
      <c r="J17" s="6">
        <f>+D9</f>
        <v>2.9</v>
      </c>
      <c r="K17" s="82">
        <f>+G17*I17</f>
        <v>39.928578217483967</v>
      </c>
      <c r="L17" s="84">
        <f>+H17*J17</f>
        <v>36.124423291224609</v>
      </c>
    </row>
    <row r="18" spans="3:22" ht="18">
      <c r="C18" s="27" t="s">
        <v>225</v>
      </c>
      <c r="E18" s="48" t="s">
        <v>219</v>
      </c>
      <c r="F18" s="6">
        <f>+'Cálculo de Pa y Pp'!E102</f>
        <v>0</v>
      </c>
      <c r="G18" s="204">
        <f>F18*COS($D$5+$D$6)</f>
        <v>0</v>
      </c>
      <c r="H18" s="6" t="s">
        <v>212</v>
      </c>
      <c r="I18" s="6">
        <f>0.333333333333333*D11</f>
        <v>0.19999999999999979</v>
      </c>
      <c r="J18" s="6" t="s">
        <v>212</v>
      </c>
      <c r="K18" s="204">
        <f>+G18*I18</f>
        <v>0</v>
      </c>
      <c r="L18" s="107" t="s">
        <v>212</v>
      </c>
      <c r="N18" s="203" t="s">
        <v>567</v>
      </c>
      <c r="O18" s="203"/>
      <c r="P18" s="203"/>
      <c r="Q18" s="203"/>
      <c r="R18" s="203"/>
      <c r="S18" s="203"/>
      <c r="T18" s="203"/>
      <c r="U18" s="203"/>
      <c r="V18" s="203"/>
    </row>
    <row r="19" spans="3:22" ht="18">
      <c r="C19" s="27" t="s">
        <v>215</v>
      </c>
      <c r="E19" s="48" t="s">
        <v>628</v>
      </c>
      <c r="F19" s="6">
        <f>+Fuerzas!F114</f>
        <v>61.010924557345625</v>
      </c>
      <c r="G19" s="82">
        <f>+F19</f>
        <v>61.010924557345625</v>
      </c>
      <c r="H19" s="6" t="s">
        <v>212</v>
      </c>
      <c r="I19" s="6">
        <f>+D10/3</f>
        <v>1.1666666666666667</v>
      </c>
      <c r="J19" s="6" t="s">
        <v>212</v>
      </c>
      <c r="K19" s="82">
        <f>+G19*I19</f>
        <v>71.179411983569906</v>
      </c>
      <c r="L19" s="73" t="s">
        <v>212</v>
      </c>
    </row>
    <row r="20" spans="3:22">
      <c r="C20" s="27" t="s">
        <v>672</v>
      </c>
      <c r="E20" s="81" t="s">
        <v>611</v>
      </c>
      <c r="F20" s="6">
        <f>Fuerzas!F68</f>
        <v>12</v>
      </c>
      <c r="G20" s="6" t="s">
        <v>212</v>
      </c>
      <c r="H20" s="99">
        <f>F20</f>
        <v>12</v>
      </c>
      <c r="I20" s="77" t="s">
        <v>212</v>
      </c>
      <c r="J20" s="77">
        <f>Fuerzas!G21</f>
        <v>2</v>
      </c>
      <c r="K20" s="77" t="s">
        <v>212</v>
      </c>
      <c r="L20" s="85">
        <f>+Fuerzas!F29*J20</f>
        <v>216</v>
      </c>
    </row>
    <row r="21" spans="3:22">
      <c r="C21" s="27" t="s">
        <v>672</v>
      </c>
      <c r="E21" s="48" t="s">
        <v>610</v>
      </c>
      <c r="F21" s="6">
        <f>+Fuerzas!F64</f>
        <v>12.48718200262894</v>
      </c>
      <c r="G21" s="82">
        <f>+F21</f>
        <v>12.48718200262894</v>
      </c>
      <c r="H21" s="6" t="s">
        <v>212</v>
      </c>
      <c r="I21" s="6">
        <f>+D10/2</f>
        <v>1.75</v>
      </c>
      <c r="J21" s="6" t="s">
        <v>212</v>
      </c>
      <c r="K21" s="82">
        <f>+G21*I21</f>
        <v>21.852568504600644</v>
      </c>
      <c r="L21" s="73" t="s">
        <v>212</v>
      </c>
    </row>
    <row r="22" spans="3:22">
      <c r="C22" s="27" t="s">
        <v>216</v>
      </c>
      <c r="E22" s="76" t="s">
        <v>614</v>
      </c>
      <c r="F22" s="77">
        <f>Fuerzas!F29</f>
        <v>108</v>
      </c>
      <c r="G22" s="6" t="s">
        <v>212</v>
      </c>
      <c r="H22" s="99">
        <f>+F22</f>
        <v>108</v>
      </c>
      <c r="I22" s="77" t="s">
        <v>212</v>
      </c>
      <c r="J22" s="77" t="s">
        <v>212</v>
      </c>
      <c r="K22" s="77" t="s">
        <v>212</v>
      </c>
      <c r="L22" s="85">
        <f>+Fuerzas!F31</f>
        <v>216</v>
      </c>
    </row>
    <row r="23" spans="3:22">
      <c r="C23" s="27" t="s">
        <v>216</v>
      </c>
      <c r="E23" s="76" t="s">
        <v>613</v>
      </c>
      <c r="F23" s="77">
        <f>Fuerzas!F30</f>
        <v>56.399999999999991</v>
      </c>
      <c r="G23" s="6" t="s">
        <v>212</v>
      </c>
      <c r="H23" s="99">
        <f>+F23</f>
        <v>56.399999999999991</v>
      </c>
      <c r="I23" s="77" t="s">
        <v>212</v>
      </c>
      <c r="J23" s="77" t="s">
        <v>212</v>
      </c>
      <c r="K23" s="77" t="s">
        <v>212</v>
      </c>
      <c r="L23" s="85">
        <f>+Fuerzas!F32</f>
        <v>70.97999999999999</v>
      </c>
    </row>
    <row r="24" spans="3:22">
      <c r="C24" s="27" t="s">
        <v>267</v>
      </c>
      <c r="E24" s="76" t="s">
        <v>268</v>
      </c>
      <c r="F24" s="77">
        <f>+Fuerzas!F133</f>
        <v>19.2</v>
      </c>
      <c r="G24" s="82">
        <f>+F24</f>
        <v>19.2</v>
      </c>
      <c r="H24" s="77" t="s">
        <v>212</v>
      </c>
      <c r="I24" s="77">
        <f>+Fuerzas!K8</f>
        <v>3.5</v>
      </c>
      <c r="J24" s="77" t="s">
        <v>212</v>
      </c>
      <c r="K24" s="82">
        <f>+G24*I24</f>
        <v>67.2</v>
      </c>
      <c r="L24" s="116" t="s">
        <v>212</v>
      </c>
    </row>
    <row r="25" spans="3:22" ht="15.75" thickBot="1">
      <c r="C25" s="27" t="s">
        <v>217</v>
      </c>
      <c r="E25" s="78" t="s">
        <v>214</v>
      </c>
      <c r="F25" s="79">
        <f>+'Cálculo de Pa y Pp'!E100</f>
        <v>0</v>
      </c>
      <c r="G25" s="83">
        <f>+F25</f>
        <v>0</v>
      </c>
      <c r="H25" s="79">
        <v>0</v>
      </c>
      <c r="I25" s="79">
        <f>'Cálculo de Pa y Pp'!E80/2</f>
        <v>0</v>
      </c>
      <c r="J25" s="79" t="s">
        <v>212</v>
      </c>
      <c r="K25" s="83">
        <f>+G25*I25</f>
        <v>0</v>
      </c>
      <c r="L25" s="80" t="s">
        <v>212</v>
      </c>
    </row>
    <row r="26" spans="3:22" ht="15.75" thickBot="1"/>
    <row r="27" spans="3:22">
      <c r="E27" s="258" t="s">
        <v>248</v>
      </c>
      <c r="F27" s="259"/>
      <c r="G27" s="259"/>
      <c r="H27" s="259"/>
      <c r="I27" s="260"/>
    </row>
    <row r="28" spans="3:22">
      <c r="E28" s="90"/>
      <c r="I28" s="91"/>
    </row>
    <row r="29" spans="3:22" ht="30">
      <c r="C29" s="28" t="s">
        <v>239</v>
      </c>
      <c r="E29" s="90"/>
      <c r="F29" s="10" t="s">
        <v>228</v>
      </c>
      <c r="G29" s="6">
        <f>+K18</f>
        <v>0</v>
      </c>
      <c r="H29" s="10" t="s">
        <v>253</v>
      </c>
      <c r="I29" s="91"/>
    </row>
    <row r="30" spans="3:22" ht="30">
      <c r="C30" s="28" t="s">
        <v>240</v>
      </c>
      <c r="E30" s="90"/>
      <c r="F30" s="10" t="s">
        <v>229</v>
      </c>
      <c r="G30" s="6">
        <f>+L17</f>
        <v>36.124423291224609</v>
      </c>
      <c r="H30" s="10" t="s">
        <v>253</v>
      </c>
      <c r="I30" s="91"/>
    </row>
    <row r="31" spans="3:22" ht="30">
      <c r="C31" s="28" t="s">
        <v>241</v>
      </c>
      <c r="E31" s="90"/>
      <c r="F31" s="10" t="s">
        <v>238</v>
      </c>
      <c r="G31" s="6">
        <f>+L23+L22</f>
        <v>286.98</v>
      </c>
      <c r="H31" s="10" t="s">
        <v>253</v>
      </c>
      <c r="I31" s="91"/>
    </row>
    <row r="32" spans="3:22">
      <c r="C32" s="98" t="s">
        <v>242</v>
      </c>
      <c r="E32" s="90"/>
      <c r="F32" s="86" t="s">
        <v>222</v>
      </c>
      <c r="G32" s="87">
        <f>SUM(G29:G31)</f>
        <v>323.10442329122463</v>
      </c>
      <c r="H32" s="86" t="s">
        <v>253</v>
      </c>
      <c r="I32" s="91"/>
    </row>
    <row r="33" spans="3:9">
      <c r="C33" s="96"/>
      <c r="E33" s="90"/>
      <c r="I33" s="91"/>
    </row>
    <row r="34" spans="3:9" ht="30">
      <c r="C34" s="28" t="s">
        <v>244</v>
      </c>
      <c r="E34" s="90"/>
      <c r="F34" s="10" t="s">
        <v>230</v>
      </c>
      <c r="G34" s="6">
        <f>+K17</f>
        <v>39.928578217483967</v>
      </c>
      <c r="H34" s="10" t="s">
        <v>253</v>
      </c>
      <c r="I34" s="91"/>
    </row>
    <row r="35" spans="3:9" ht="30">
      <c r="C35" s="28" t="s">
        <v>245</v>
      </c>
      <c r="E35" s="90"/>
      <c r="F35" s="10" t="s">
        <v>231</v>
      </c>
      <c r="G35" s="6">
        <f>+K19</f>
        <v>71.179411983569906</v>
      </c>
      <c r="H35" s="10" t="s">
        <v>253</v>
      </c>
      <c r="I35" s="91"/>
    </row>
    <row r="36" spans="3:9" ht="30">
      <c r="C36" s="28" t="s">
        <v>283</v>
      </c>
      <c r="E36" s="90"/>
      <c r="F36" s="10" t="s">
        <v>232</v>
      </c>
      <c r="G36" s="6">
        <f>+K21</f>
        <v>21.852568504600644</v>
      </c>
      <c r="H36" s="10" t="s">
        <v>253</v>
      </c>
      <c r="I36" s="91"/>
    </row>
    <row r="37" spans="3:9" ht="30" customHeight="1">
      <c r="C37" s="28" t="s">
        <v>284</v>
      </c>
      <c r="E37" s="90"/>
      <c r="F37" s="10" t="s">
        <v>285</v>
      </c>
      <c r="G37" s="6">
        <f>+K24</f>
        <v>67.2</v>
      </c>
      <c r="H37" s="10" t="s">
        <v>253</v>
      </c>
      <c r="I37" s="91"/>
    </row>
    <row r="38" spans="3:9" ht="30">
      <c r="C38" s="28" t="s">
        <v>246</v>
      </c>
      <c r="E38" s="90"/>
      <c r="F38" s="10" t="s">
        <v>233</v>
      </c>
      <c r="G38" s="6">
        <f>+K25</f>
        <v>0</v>
      </c>
      <c r="H38" s="10" t="s">
        <v>253</v>
      </c>
      <c r="I38" s="91"/>
    </row>
    <row r="39" spans="3:9">
      <c r="C39" s="97" t="s">
        <v>243</v>
      </c>
      <c r="E39" s="90"/>
      <c r="F39" s="88" t="s">
        <v>223</v>
      </c>
      <c r="G39" s="89">
        <f>SUM(G34:G38)</f>
        <v>200.16055870565452</v>
      </c>
      <c r="H39" s="88" t="s">
        <v>253</v>
      </c>
      <c r="I39" s="91"/>
    </row>
    <row r="40" spans="3:9" ht="15.75" thickBot="1">
      <c r="E40" s="92"/>
      <c r="F40" s="93"/>
      <c r="G40" s="93"/>
      <c r="H40" s="93"/>
      <c r="I40" s="94"/>
    </row>
    <row r="41" spans="3:9">
      <c r="E41" s="258" t="s">
        <v>247</v>
      </c>
      <c r="F41" s="259"/>
      <c r="G41" s="259"/>
      <c r="H41" s="259"/>
      <c r="I41" s="260"/>
    </row>
    <row r="42" spans="3:9" s="1" customFormat="1">
      <c r="E42" s="5"/>
      <c r="I42" s="2"/>
    </row>
    <row r="43" spans="3:9" s="1" customFormat="1" ht="24.75" customHeight="1">
      <c r="C43" s="65" t="s">
        <v>254</v>
      </c>
      <c r="E43" s="5"/>
      <c r="F43" s="10" t="s">
        <v>251</v>
      </c>
      <c r="G43" s="6">
        <f>+G18</f>
        <v>0</v>
      </c>
      <c r="H43" s="10" t="s">
        <v>88</v>
      </c>
      <c r="I43" s="2"/>
    </row>
    <row r="44" spans="3:9" s="1" customFormat="1" ht="60">
      <c r="C44" s="28" t="s">
        <v>380</v>
      </c>
      <c r="E44" s="5"/>
      <c r="F44" s="10" t="s">
        <v>252</v>
      </c>
      <c r="G44" s="6">
        <f>(H22+H23)*TAN('Capacidad de Carga'!F10)*0.8</f>
        <v>110.35838349243585</v>
      </c>
      <c r="H44" s="10" t="s">
        <v>88</v>
      </c>
      <c r="I44" s="2"/>
    </row>
    <row r="45" spans="3:9" s="1" customFormat="1">
      <c r="C45" s="98" t="s">
        <v>259</v>
      </c>
      <c r="E45" s="5"/>
      <c r="F45" s="86" t="s">
        <v>249</v>
      </c>
      <c r="G45" s="87">
        <f>SUM(G43:G44)</f>
        <v>110.35838349243585</v>
      </c>
      <c r="H45" s="86" t="s">
        <v>88</v>
      </c>
      <c r="I45" s="2"/>
    </row>
    <row r="46" spans="3:9" s="1" customFormat="1">
      <c r="C46" s="28"/>
      <c r="E46" s="5"/>
      <c r="I46" s="2"/>
    </row>
    <row r="47" spans="3:9" s="1" customFormat="1" ht="27.75" customHeight="1">
      <c r="C47" s="28" t="s">
        <v>261</v>
      </c>
      <c r="E47" s="5"/>
      <c r="F47" s="10" t="s">
        <v>255</v>
      </c>
      <c r="G47" s="6">
        <f>+G17</f>
        <v>34.224495614986296</v>
      </c>
      <c r="H47" s="10" t="s">
        <v>88</v>
      </c>
      <c r="I47" s="2"/>
    </row>
    <row r="48" spans="3:9" s="1" customFormat="1" ht="30">
      <c r="C48" s="28" t="s">
        <v>262</v>
      </c>
      <c r="E48" s="5"/>
      <c r="F48" s="10" t="s">
        <v>256</v>
      </c>
      <c r="G48" s="6">
        <f>+G19</f>
        <v>61.010924557345625</v>
      </c>
      <c r="H48" s="10" t="s">
        <v>88</v>
      </c>
      <c r="I48" s="2"/>
    </row>
    <row r="49" spans="3:9" s="1" customFormat="1" ht="30">
      <c r="C49" s="28" t="s">
        <v>263</v>
      </c>
      <c r="E49" s="5"/>
      <c r="F49" s="10" t="s">
        <v>257</v>
      </c>
      <c r="G49" s="6">
        <f>+G21</f>
        <v>12.48718200262894</v>
      </c>
      <c r="H49" s="10" t="s">
        <v>88</v>
      </c>
      <c r="I49" s="2"/>
    </row>
    <row r="50" spans="3:9" s="1" customFormat="1" ht="30">
      <c r="C50" s="28" t="s">
        <v>286</v>
      </c>
      <c r="E50" s="5"/>
      <c r="F50" s="10" t="s">
        <v>287</v>
      </c>
      <c r="G50" s="6">
        <f>+F24</f>
        <v>19.2</v>
      </c>
      <c r="H50" s="10" t="s">
        <v>88</v>
      </c>
      <c r="I50" s="2"/>
    </row>
    <row r="51" spans="3:9" s="1" customFormat="1" ht="30">
      <c r="C51" s="28" t="s">
        <v>264</v>
      </c>
      <c r="E51" s="5"/>
      <c r="F51" s="10" t="s">
        <v>258</v>
      </c>
      <c r="G51" s="6">
        <f>+G25</f>
        <v>0</v>
      </c>
      <c r="H51" s="10" t="s">
        <v>88</v>
      </c>
      <c r="I51" s="2"/>
    </row>
    <row r="52" spans="3:9" s="1" customFormat="1">
      <c r="C52" s="98" t="s">
        <v>260</v>
      </c>
      <c r="E52" s="5"/>
      <c r="F52" s="88" t="s">
        <v>250</v>
      </c>
      <c r="G52" s="89">
        <f>SUM(G47:G51)</f>
        <v>126.92260217496086</v>
      </c>
      <c r="H52" s="88" t="s">
        <v>88</v>
      </c>
      <c r="I52" s="2"/>
    </row>
    <row r="53" spans="3:9" s="1" customFormat="1" ht="15.75" thickBot="1">
      <c r="C53" s="28"/>
      <c r="E53" s="7"/>
      <c r="F53" s="8"/>
      <c r="G53" s="8"/>
      <c r="H53" s="8"/>
      <c r="I53" s="9"/>
    </row>
    <row r="54" spans="3:9" s="1" customFormat="1">
      <c r="C54" s="28"/>
    </row>
    <row r="55" spans="3:9" s="1" customFormat="1">
      <c r="C55" s="28"/>
    </row>
    <row r="56" spans="3:9" s="1" customFormat="1">
      <c r="C56" s="28"/>
    </row>
    <row r="57" spans="3:9" s="1" customFormat="1">
      <c r="C57"/>
    </row>
    <row r="58" spans="3:9" s="1" customFormat="1">
      <c r="C58"/>
    </row>
    <row r="59" spans="3:9" s="1" customFormat="1">
      <c r="C59" s="28"/>
    </row>
    <row r="60" spans="3:9" s="1" customFormat="1">
      <c r="C60" s="28"/>
    </row>
    <row r="61" spans="3:9" s="1" customFormat="1"/>
    <row r="62" spans="3:9" s="1" customFormat="1"/>
    <row r="63" spans="3:9" s="1" customFormat="1"/>
    <row r="64" spans="3:9"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sheetData>
  <mergeCells count="5">
    <mergeCell ref="E27:I27"/>
    <mergeCell ref="E41:I41"/>
    <mergeCell ref="C2:L2"/>
    <mergeCell ref="C3:L3"/>
    <mergeCell ref="E15:L1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BA217-11AC-4FFA-92F8-334874CA1ECB}">
  <dimension ref="B1:AU73"/>
  <sheetViews>
    <sheetView showGridLines="0" topLeftCell="A15" zoomScale="82" zoomScaleNormal="100" workbookViewId="0">
      <selection activeCell="G45" sqref="G45"/>
    </sheetView>
  </sheetViews>
  <sheetFormatPr baseColWidth="10" defaultColWidth="10.7109375" defaultRowHeight="15"/>
  <cols>
    <col min="2" max="2" width="48.42578125" customWidth="1"/>
    <col min="3" max="3" width="4.85546875" customWidth="1"/>
    <col min="4" max="4" width="14.85546875" customWidth="1"/>
    <col min="5" max="5" width="15" bestFit="1" customWidth="1"/>
    <col min="6" max="6" width="18" bestFit="1" customWidth="1"/>
    <col min="7" max="7" width="13.140625" customWidth="1"/>
    <col min="8" max="8" width="13.5703125" customWidth="1"/>
    <col min="9" max="11" width="15.7109375" bestFit="1" customWidth="1"/>
    <col min="12" max="12" width="18.85546875" bestFit="1" customWidth="1"/>
    <col min="15" max="15" width="18" bestFit="1" customWidth="1"/>
    <col min="16" max="16" width="15.7109375" bestFit="1" customWidth="1"/>
    <col min="17" max="17" width="22.5703125" bestFit="1" customWidth="1"/>
    <col min="18" max="19" width="18.85546875" bestFit="1" customWidth="1"/>
    <col min="20" max="20" width="15.42578125" customWidth="1"/>
    <col min="21" max="21" width="16.28515625" customWidth="1"/>
    <col min="24" max="24" width="22.5703125" bestFit="1" customWidth="1"/>
    <col min="25" max="25" width="10.7109375" customWidth="1"/>
    <col min="26" max="26" width="18.85546875" bestFit="1" customWidth="1"/>
    <col min="30" max="30" width="15.28515625" bestFit="1" customWidth="1"/>
    <col min="31" max="31" width="22.5703125" bestFit="1" customWidth="1"/>
    <col min="32" max="33" width="18.85546875" bestFit="1" customWidth="1"/>
    <col min="35" max="35" width="14.5703125" bestFit="1" customWidth="1"/>
    <col min="40" max="40" width="15.7109375" bestFit="1" customWidth="1"/>
    <col min="42" max="42" width="13.28515625" bestFit="1" customWidth="1"/>
    <col min="45" max="45" width="18" bestFit="1" customWidth="1"/>
    <col min="46" max="47" width="15.7109375" bestFit="1" customWidth="1"/>
  </cols>
  <sheetData>
    <row r="1" spans="2:47" ht="15.75" thickBot="1"/>
    <row r="2" spans="2:47">
      <c r="C2" s="251" t="s">
        <v>319</v>
      </c>
      <c r="D2" s="252"/>
      <c r="E2" s="252"/>
      <c r="F2" s="252"/>
      <c r="G2" s="252"/>
      <c r="H2" s="253"/>
    </row>
    <row r="3" spans="2:47" ht="33.75" customHeight="1" thickBot="1">
      <c r="C3" s="248" t="s">
        <v>333</v>
      </c>
      <c r="D3" s="289"/>
      <c r="E3" s="289"/>
      <c r="F3" s="289"/>
      <c r="G3" s="289"/>
      <c r="H3" s="290"/>
    </row>
    <row r="4" spans="2:47">
      <c r="M4" s="131"/>
    </row>
    <row r="5" spans="2:47" s="54" customFormat="1">
      <c r="C5" s="95" t="s">
        <v>373</v>
      </c>
      <c r="D5" s="6">
        <f>+'Cálculo de Pa y Pp'!G23</f>
        <v>0</v>
      </c>
      <c r="E5" s="10" t="s">
        <v>5</v>
      </c>
      <c r="F5" s="15"/>
      <c r="G5" s="15"/>
      <c r="H5" s="15"/>
      <c r="I5" s="15"/>
      <c r="J5" s="15"/>
      <c r="K5" s="15"/>
      <c r="L5" s="15"/>
      <c r="P5"/>
    </row>
    <row r="6" spans="2:47" s="54" customFormat="1">
      <c r="C6" s="95" t="s">
        <v>235</v>
      </c>
      <c r="D6" s="6">
        <f>+'Tabla resumen de fuerzas'!D6</f>
        <v>0.3490658503988659</v>
      </c>
      <c r="E6" s="10" t="s">
        <v>5</v>
      </c>
      <c r="F6" s="15"/>
      <c r="G6" s="15"/>
      <c r="H6" s="15"/>
      <c r="I6" s="15"/>
      <c r="J6" s="15"/>
      <c r="K6" s="15"/>
      <c r="L6" s="15"/>
      <c r="P6"/>
    </row>
    <row r="7" spans="2:47">
      <c r="C7" s="10"/>
      <c r="D7" s="6">
        <f>'Capacidad de Carga'!$D$9</f>
        <v>1</v>
      </c>
      <c r="E7" s="10" t="s">
        <v>6</v>
      </c>
      <c r="F7" s="1"/>
      <c r="G7" s="1"/>
    </row>
    <row r="8" spans="2:47">
      <c r="C8" s="10"/>
      <c r="D8" s="6">
        <f>'Capacidad de Carga'!$D$10</f>
        <v>40</v>
      </c>
      <c r="E8" s="10" t="s">
        <v>4</v>
      </c>
      <c r="F8" s="6">
        <f>RADIANS(D8)</f>
        <v>0.69813170079773179</v>
      </c>
      <c r="G8" s="10" t="s">
        <v>5</v>
      </c>
    </row>
    <row r="9" spans="2:47">
      <c r="C9" s="10" t="s">
        <v>630</v>
      </c>
      <c r="D9" s="6">
        <f>'Dimensiones Muro'!D8</f>
        <v>1.8</v>
      </c>
      <c r="E9" s="10" t="s">
        <v>3</v>
      </c>
      <c r="F9" s="52"/>
      <c r="G9" s="15"/>
    </row>
    <row r="10" spans="2:47" s="54" customFormat="1">
      <c r="C10" s="10" t="s">
        <v>265</v>
      </c>
      <c r="D10" s="6">
        <f>+'Dimensiones Muro'!D16</f>
        <v>2.9</v>
      </c>
      <c r="E10" s="10" t="s">
        <v>3</v>
      </c>
      <c r="F10" s="52"/>
      <c r="G10" s="15"/>
      <c r="H10" s="15"/>
      <c r="I10" s="15"/>
      <c r="J10" s="15"/>
      <c r="K10" s="15"/>
      <c r="L10" s="15"/>
    </row>
    <row r="11" spans="2:47" s="54" customFormat="1" ht="15.75" thickBot="1">
      <c r="C11" s="10" t="s">
        <v>53</v>
      </c>
      <c r="D11" s="6">
        <f>+Fuerzas!K9</f>
        <v>3.5</v>
      </c>
      <c r="E11" s="10" t="s">
        <v>3</v>
      </c>
      <c r="F11" s="52"/>
      <c r="G11" s="15"/>
      <c r="H11" s="15"/>
      <c r="I11" s="15"/>
      <c r="J11" s="15"/>
      <c r="K11" s="15"/>
      <c r="L11" s="15"/>
    </row>
    <row r="12" spans="2:47" s="54" customFormat="1" ht="15.75" thickBot="1">
      <c r="C12" s="10" t="s">
        <v>7</v>
      </c>
      <c r="D12" s="6">
        <f>+Input!D13</f>
        <v>0.6</v>
      </c>
      <c r="E12" s="10" t="s">
        <v>3</v>
      </c>
      <c r="F12" s="52"/>
      <c r="G12" s="15"/>
      <c r="H12" s="15"/>
      <c r="I12" s="15"/>
      <c r="J12" s="15"/>
      <c r="K12" s="15"/>
      <c r="L12" s="15"/>
      <c r="AP12" s="297" t="s">
        <v>347</v>
      </c>
      <c r="AQ12" s="298"/>
      <c r="AR12" s="298"/>
      <c r="AS12" s="298"/>
      <c r="AT12" s="298"/>
      <c r="AU12" s="298"/>
    </row>
    <row r="13" spans="2:47" ht="15.75" thickBot="1"/>
    <row r="14" spans="2:47" ht="15.75" thickBot="1">
      <c r="B14" s="64" t="s">
        <v>17</v>
      </c>
      <c r="E14" s="236" t="s">
        <v>288</v>
      </c>
      <c r="F14" s="237"/>
      <c r="G14" s="237"/>
      <c r="H14" s="237"/>
      <c r="I14" s="237"/>
      <c r="J14" s="237"/>
      <c r="K14" s="237"/>
      <c r="L14" s="238"/>
      <c r="N14" s="291" t="s">
        <v>328</v>
      </c>
      <c r="O14" s="292"/>
      <c r="P14" s="292"/>
      <c r="Q14" s="292"/>
      <c r="R14" s="292"/>
      <c r="S14" s="293"/>
      <c r="U14" s="291" t="s">
        <v>330</v>
      </c>
      <c r="V14" s="292"/>
      <c r="W14" s="292"/>
      <c r="X14" s="292"/>
      <c r="Y14" s="292"/>
      <c r="Z14" s="293"/>
      <c r="AB14" s="291" t="s">
        <v>331</v>
      </c>
      <c r="AC14" s="292"/>
      <c r="AD14" s="292"/>
      <c r="AE14" s="292"/>
      <c r="AF14" s="292"/>
      <c r="AG14" s="293"/>
      <c r="AI14" s="291" t="s">
        <v>332</v>
      </c>
      <c r="AJ14" s="292"/>
      <c r="AK14" s="292"/>
      <c r="AL14" s="292"/>
      <c r="AM14" s="292"/>
      <c r="AN14" s="293"/>
      <c r="AP14" s="291" t="s">
        <v>328</v>
      </c>
      <c r="AQ14" s="292"/>
      <c r="AR14" s="292"/>
      <c r="AS14" s="292"/>
      <c r="AT14" s="292"/>
      <c r="AU14" s="293"/>
    </row>
    <row r="15" spans="2:47" ht="77.25" customHeight="1">
      <c r="B15" s="28" t="s">
        <v>334</v>
      </c>
      <c r="D15" s="117" t="s">
        <v>327</v>
      </c>
      <c r="E15" s="30"/>
      <c r="F15" s="74" t="str">
        <f>+'Tabla resumen de fuerzas'!F16</f>
        <v>Resultante [kN /m]</v>
      </c>
      <c r="G15" s="74" t="str">
        <f>+'Tabla resumen de fuerzas'!G16</f>
        <v>F_x [kN /m]</v>
      </c>
      <c r="H15" s="74" t="str">
        <f>+'Tabla resumen de fuerzas'!H16</f>
        <v>F_y [kN /m]</v>
      </c>
      <c r="I15" s="74" t="str">
        <f>+'Tabla resumen de fuerzas'!I16</f>
        <v>Brazo_fx [m]</v>
      </c>
      <c r="J15" s="74" t="str">
        <f>+'Tabla resumen de fuerzas'!J16</f>
        <v>Brazo_fy [m]</v>
      </c>
      <c r="K15" s="74" t="str">
        <f>+'Tabla resumen de fuerzas'!K16</f>
        <v>M_x [kN /m x m]</v>
      </c>
      <c r="L15" s="75" t="str">
        <f>+'Tabla resumen de fuerzas'!L16</f>
        <v>M_y [kN /m x m]</v>
      </c>
      <c r="N15" s="123" t="s">
        <v>327</v>
      </c>
      <c r="O15" s="74" t="s">
        <v>325</v>
      </c>
      <c r="P15" s="74" t="s">
        <v>329</v>
      </c>
      <c r="Q15" s="74" t="s">
        <v>207</v>
      </c>
      <c r="R15" s="74" t="s">
        <v>210</v>
      </c>
      <c r="S15" s="75" t="s">
        <v>211</v>
      </c>
      <c r="U15" s="123" t="s">
        <v>327</v>
      </c>
      <c r="V15" s="74" t="s">
        <v>325</v>
      </c>
      <c r="W15" s="74" t="s">
        <v>329</v>
      </c>
      <c r="X15" s="74" t="s">
        <v>207</v>
      </c>
      <c r="Y15" s="74" t="s">
        <v>210</v>
      </c>
      <c r="Z15" s="75" t="s">
        <v>211</v>
      </c>
      <c r="AB15" s="123" t="s">
        <v>327</v>
      </c>
      <c r="AC15" s="74" t="s">
        <v>325</v>
      </c>
      <c r="AD15" s="74" t="s">
        <v>329</v>
      </c>
      <c r="AE15" s="74" t="s">
        <v>207</v>
      </c>
      <c r="AF15" s="74" t="s">
        <v>210</v>
      </c>
      <c r="AG15" s="75" t="s">
        <v>211</v>
      </c>
      <c r="AI15" s="123" t="s">
        <v>327</v>
      </c>
      <c r="AJ15" s="74" t="s">
        <v>325</v>
      </c>
      <c r="AK15" s="74" t="s">
        <v>329</v>
      </c>
      <c r="AL15" s="74" t="s">
        <v>207</v>
      </c>
      <c r="AM15" s="74" t="s">
        <v>210</v>
      </c>
      <c r="AN15" s="75" t="s">
        <v>211</v>
      </c>
      <c r="AP15" s="123" t="s">
        <v>327</v>
      </c>
      <c r="AQ15" s="74" t="s">
        <v>325</v>
      </c>
      <c r="AR15" s="74" t="s">
        <v>329</v>
      </c>
      <c r="AS15" s="74" t="s">
        <v>207</v>
      </c>
      <c r="AT15" s="74" t="s">
        <v>210</v>
      </c>
      <c r="AU15" s="75" t="s">
        <v>211</v>
      </c>
    </row>
    <row r="16" spans="2:47" ht="18">
      <c r="D16" s="117" t="s">
        <v>320</v>
      </c>
      <c r="E16" s="48" t="s">
        <v>220</v>
      </c>
      <c r="F16" s="6">
        <f>+'Tabla resumen de fuerzas'!F17</f>
        <v>36.420947507667741</v>
      </c>
      <c r="G16" s="82">
        <f>F16*COS($D$6)</f>
        <v>34.224495614986296</v>
      </c>
      <c r="H16" s="99">
        <f>F16*SIN($D$6)</f>
        <v>12.456697686629177</v>
      </c>
      <c r="I16" s="6">
        <f>$D$11/3</f>
        <v>1.1666666666666667</v>
      </c>
      <c r="J16" s="6">
        <f>+$D$10</f>
        <v>2.9</v>
      </c>
      <c r="K16" s="82">
        <f>+G16*I16</f>
        <v>39.928578217484016</v>
      </c>
      <c r="L16" s="84">
        <f>+H16*J16</f>
        <v>36.124423291224609</v>
      </c>
      <c r="N16" s="120" t="s">
        <v>320</v>
      </c>
      <c r="O16" s="118">
        <v>1.5</v>
      </c>
      <c r="P16" s="46" t="s">
        <v>220</v>
      </c>
      <c r="Q16" s="6">
        <f>$F$16*O16</f>
        <v>54.631421261501615</v>
      </c>
      <c r="R16" s="82">
        <f>+$K$16*O16</f>
        <v>59.892867326226025</v>
      </c>
      <c r="S16" s="84">
        <f>$L$16*O16</f>
        <v>54.18663493683691</v>
      </c>
      <c r="U16" s="120" t="s">
        <v>320</v>
      </c>
      <c r="V16" s="118">
        <v>1</v>
      </c>
      <c r="W16" s="46" t="s">
        <v>220</v>
      </c>
      <c r="X16" s="6">
        <f>$F$16*V16</f>
        <v>36.420947507667741</v>
      </c>
      <c r="Y16" s="82">
        <f>+$K$16*V16</f>
        <v>39.928578217484016</v>
      </c>
      <c r="Z16" s="84">
        <f>$L$16*V16</f>
        <v>36.124423291224609</v>
      </c>
      <c r="AB16" s="120" t="s">
        <v>320</v>
      </c>
      <c r="AC16" s="118">
        <v>0</v>
      </c>
      <c r="AD16" s="46" t="s">
        <v>220</v>
      </c>
      <c r="AE16" s="6">
        <f>$F$16*AC16</f>
        <v>0</v>
      </c>
      <c r="AF16" s="82">
        <f>+$K$16*AC16</f>
        <v>0</v>
      </c>
      <c r="AG16" s="84">
        <f>$L$16*AC16</f>
        <v>0</v>
      </c>
      <c r="AI16" s="120" t="s">
        <v>320</v>
      </c>
      <c r="AJ16" s="118">
        <v>1</v>
      </c>
      <c r="AK16" s="46" t="s">
        <v>220</v>
      </c>
      <c r="AL16" s="6">
        <f>$F$16*AJ16</f>
        <v>36.420947507667741</v>
      </c>
      <c r="AM16" s="82">
        <f>+$K$16*AJ16</f>
        <v>39.928578217484016</v>
      </c>
      <c r="AN16" s="84">
        <f>$L$16*AJ16</f>
        <v>36.124423291224609</v>
      </c>
      <c r="AP16" s="120" t="s">
        <v>320</v>
      </c>
      <c r="AQ16" s="118">
        <v>1.5</v>
      </c>
      <c r="AR16" s="46" t="s">
        <v>220</v>
      </c>
      <c r="AS16" s="6">
        <f>$F$16*AQ16</f>
        <v>54.631421261501615</v>
      </c>
      <c r="AT16" s="82">
        <f>+$K$16*AQ16</f>
        <v>59.892867326226025</v>
      </c>
      <c r="AU16" s="84">
        <f>$L$16*AQ16</f>
        <v>54.18663493683691</v>
      </c>
    </row>
    <row r="17" spans="2:47" ht="18">
      <c r="D17" s="117" t="s">
        <v>320</v>
      </c>
      <c r="E17" s="48" t="s">
        <v>219</v>
      </c>
      <c r="F17" s="6">
        <f>+'Tabla resumen de fuerzas'!F18</f>
        <v>0</v>
      </c>
      <c r="G17" s="99">
        <f>F17*COS($D$5+$D$6)</f>
        <v>0</v>
      </c>
      <c r="H17" s="6" t="s">
        <v>212</v>
      </c>
      <c r="I17" s="6">
        <f>0.333333333333333*$D$12</f>
        <v>0.19999999999999979</v>
      </c>
      <c r="J17" s="6" t="s">
        <v>212</v>
      </c>
      <c r="K17" s="99">
        <f>+G17*I17</f>
        <v>0</v>
      </c>
      <c r="L17" s="107" t="s">
        <v>212</v>
      </c>
      <c r="N17" s="120" t="s">
        <v>320</v>
      </c>
      <c r="O17" s="118">
        <v>0</v>
      </c>
      <c r="P17" s="46" t="s">
        <v>219</v>
      </c>
      <c r="Q17" s="6">
        <f>$F$17*O17</f>
        <v>0</v>
      </c>
      <c r="R17" s="99">
        <f>+$K$17*O17</f>
        <v>0</v>
      </c>
      <c r="S17" s="73" t="s">
        <v>212</v>
      </c>
      <c r="U17" s="120" t="s">
        <v>320</v>
      </c>
      <c r="V17" s="118">
        <v>0</v>
      </c>
      <c r="W17" s="46" t="s">
        <v>219</v>
      </c>
      <c r="X17" s="6">
        <f>$F$17*V17</f>
        <v>0</v>
      </c>
      <c r="Y17" s="99">
        <f>+$K$17*V17</f>
        <v>0</v>
      </c>
      <c r="Z17" s="73" t="s">
        <v>212</v>
      </c>
      <c r="AB17" s="120" t="s">
        <v>320</v>
      </c>
      <c r="AC17" s="118">
        <v>0</v>
      </c>
      <c r="AD17" s="46" t="s">
        <v>219</v>
      </c>
      <c r="AE17" s="6">
        <f>$F$17*AC17</f>
        <v>0</v>
      </c>
      <c r="AF17" s="99">
        <f>+$K$17*AC17</f>
        <v>0</v>
      </c>
      <c r="AG17" s="73" t="s">
        <v>212</v>
      </c>
      <c r="AI17" s="120" t="s">
        <v>320</v>
      </c>
      <c r="AJ17" s="118">
        <v>0</v>
      </c>
      <c r="AK17" s="46" t="s">
        <v>219</v>
      </c>
      <c r="AL17" s="6">
        <f>$F$17*AJ17</f>
        <v>0</v>
      </c>
      <c r="AM17" s="99">
        <f>+$K$17*AJ17</f>
        <v>0</v>
      </c>
      <c r="AN17" s="73" t="s">
        <v>212</v>
      </c>
      <c r="AP17" s="120" t="s">
        <v>320</v>
      </c>
      <c r="AQ17" s="118">
        <v>0</v>
      </c>
      <c r="AR17" s="46" t="s">
        <v>219</v>
      </c>
      <c r="AS17" s="6">
        <f>$F$17*AQ17</f>
        <v>0</v>
      </c>
      <c r="AT17" s="99">
        <f>+$K$17*AQ17</f>
        <v>0</v>
      </c>
      <c r="AU17" s="73" t="s">
        <v>212</v>
      </c>
    </row>
    <row r="18" spans="2:47" ht="18">
      <c r="D18" s="117" t="s">
        <v>321</v>
      </c>
      <c r="E18" s="48" t="s">
        <v>628</v>
      </c>
      <c r="F18" s="6">
        <f>+Fuerzas!F114</f>
        <v>61.010924557345625</v>
      </c>
      <c r="G18" s="82">
        <f>+F18*COS($D$6)</f>
        <v>57.33151559386345</v>
      </c>
      <c r="H18" s="99">
        <f>F18*SIN($D$6)</f>
        <v>20.86696516153491</v>
      </c>
      <c r="I18" s="6">
        <f>+$D$11/3</f>
        <v>1.1666666666666667</v>
      </c>
      <c r="J18" s="6">
        <f>+$D$10</f>
        <v>2.9</v>
      </c>
      <c r="K18" s="82">
        <f>+G18*I18</f>
        <v>66.886768192840691</v>
      </c>
      <c r="L18" s="84">
        <f>+H18*J18</f>
        <v>60.51419896845124</v>
      </c>
      <c r="N18" s="120" t="s">
        <v>321</v>
      </c>
      <c r="O18" s="118">
        <v>0</v>
      </c>
      <c r="P18" s="119" t="s">
        <v>218</v>
      </c>
      <c r="Q18" s="6">
        <f>$F$18*O18</f>
        <v>0</v>
      </c>
      <c r="R18" s="82">
        <f>+$K$18*O18</f>
        <v>0</v>
      </c>
      <c r="S18" s="73" t="s">
        <v>212</v>
      </c>
      <c r="U18" s="120" t="s">
        <v>321</v>
      </c>
      <c r="V18" s="118">
        <v>0</v>
      </c>
      <c r="W18" s="119" t="s">
        <v>218</v>
      </c>
      <c r="X18" s="6">
        <f>$F$18*V18</f>
        <v>0</v>
      </c>
      <c r="Y18" s="82">
        <f>+$K$18*V18</f>
        <v>0</v>
      </c>
      <c r="Z18" s="73" t="s">
        <v>212</v>
      </c>
      <c r="AB18" s="120" t="s">
        <v>321</v>
      </c>
      <c r="AC18" s="118">
        <v>1</v>
      </c>
      <c r="AD18" s="46" t="s">
        <v>628</v>
      </c>
      <c r="AE18" s="6">
        <f>$F$18*AC18</f>
        <v>61.010924557345625</v>
      </c>
      <c r="AF18" s="82">
        <f>+$K$18*AC18</f>
        <v>66.886768192840691</v>
      </c>
      <c r="AG18" s="84">
        <f>AC18*L18</f>
        <v>60.51419896845124</v>
      </c>
      <c r="AI18" s="120" t="s">
        <v>321</v>
      </c>
      <c r="AJ18" s="118">
        <v>0</v>
      </c>
      <c r="AK18" s="119" t="s">
        <v>218</v>
      </c>
      <c r="AL18" s="6">
        <f>$F$18*AJ18</f>
        <v>0</v>
      </c>
      <c r="AM18" s="82">
        <f>+$K$18*AJ18</f>
        <v>0</v>
      </c>
      <c r="AN18" s="73" t="s">
        <v>212</v>
      </c>
      <c r="AP18" s="120" t="s">
        <v>321</v>
      </c>
      <c r="AQ18" s="118">
        <v>0</v>
      </c>
      <c r="AR18" s="119" t="s">
        <v>218</v>
      </c>
      <c r="AS18" s="6">
        <f>$F$18*AQ18</f>
        <v>0</v>
      </c>
      <c r="AT18" s="82">
        <f>+$K$18*AQ18</f>
        <v>0</v>
      </c>
      <c r="AU18" s="73" t="s">
        <v>212</v>
      </c>
    </row>
    <row r="19" spans="2:47">
      <c r="D19" s="117" t="s">
        <v>631</v>
      </c>
      <c r="E19" s="76" t="s">
        <v>632</v>
      </c>
      <c r="F19" s="6">
        <f>+'Tabla resumen de fuerzas'!F20</f>
        <v>12</v>
      </c>
      <c r="G19" s="6" t="s">
        <v>212</v>
      </c>
      <c r="H19" s="99">
        <f>+F19</f>
        <v>12</v>
      </c>
      <c r="I19" s="77" t="s">
        <v>212</v>
      </c>
      <c r="J19" s="77">
        <f>'Tabla resumen de fuerzas'!J20</f>
        <v>2</v>
      </c>
      <c r="K19" s="77" t="s">
        <v>212</v>
      </c>
      <c r="L19" s="85">
        <f>J19*H19</f>
        <v>24</v>
      </c>
      <c r="N19" s="120" t="s">
        <v>322</v>
      </c>
      <c r="O19" s="118">
        <v>1.75</v>
      </c>
      <c r="P19" s="46" t="s">
        <v>213</v>
      </c>
      <c r="Q19" s="6">
        <f>$F$20*O19</f>
        <v>21.852568504600644</v>
      </c>
      <c r="R19" s="82">
        <f>$K$20*O19</f>
        <v>38.241994883051127</v>
      </c>
      <c r="S19" s="73" t="s">
        <v>212</v>
      </c>
      <c r="U19" s="120" t="s">
        <v>322</v>
      </c>
      <c r="V19" s="118">
        <v>1</v>
      </c>
      <c r="W19" s="46" t="s">
        <v>213</v>
      </c>
      <c r="X19" s="6">
        <f>$F$20*V19</f>
        <v>12.48718200262894</v>
      </c>
      <c r="Y19" s="82">
        <f>$K$20*V19</f>
        <v>21.852568504600644</v>
      </c>
      <c r="Z19" s="73" t="s">
        <v>212</v>
      </c>
      <c r="AB19" s="120" t="s">
        <v>322</v>
      </c>
      <c r="AC19" s="118">
        <v>0.5</v>
      </c>
      <c r="AD19" s="46" t="s">
        <v>213</v>
      </c>
      <c r="AE19" s="6">
        <f>$F$20*AC19</f>
        <v>6.2435910013144698</v>
      </c>
      <c r="AF19" s="82">
        <f>$K$20*AC19</f>
        <v>10.926284252300322</v>
      </c>
      <c r="AG19" s="73" t="s">
        <v>212</v>
      </c>
      <c r="AI19" s="120" t="s">
        <v>322</v>
      </c>
      <c r="AJ19" s="118">
        <v>0.5</v>
      </c>
      <c r="AK19" s="46" t="s">
        <v>213</v>
      </c>
      <c r="AL19" s="6">
        <f>$F$20*AJ19</f>
        <v>6.2435910013144698</v>
      </c>
      <c r="AM19" s="82">
        <f>$K$20*AJ19</f>
        <v>10.926284252300322</v>
      </c>
      <c r="AN19" s="73" t="s">
        <v>212</v>
      </c>
      <c r="AP19" s="120" t="s">
        <v>322</v>
      </c>
      <c r="AQ19" s="118">
        <v>1.75</v>
      </c>
      <c r="AR19" s="46" t="s">
        <v>213</v>
      </c>
      <c r="AS19" s="6">
        <f>F19</f>
        <v>12</v>
      </c>
      <c r="AT19" s="6" t="s">
        <v>212</v>
      </c>
      <c r="AU19" s="85">
        <f>'Tabla resumen de fuerzas'!AU20</f>
        <v>0</v>
      </c>
    </row>
    <row r="20" spans="2:47">
      <c r="D20" s="117" t="s">
        <v>322</v>
      </c>
      <c r="E20" s="48" t="s">
        <v>213</v>
      </c>
      <c r="F20" s="6">
        <f>+'Tabla resumen de fuerzas'!F21</f>
        <v>12.48718200262894</v>
      </c>
      <c r="G20" s="82">
        <f>+F20</f>
        <v>12.48718200262894</v>
      </c>
      <c r="H20" s="6" t="s">
        <v>212</v>
      </c>
      <c r="I20" s="6">
        <f>+$D$11/2</f>
        <v>1.75</v>
      </c>
      <c r="J20" s="6" t="s">
        <v>212</v>
      </c>
      <c r="K20" s="82">
        <f>+G20*I20</f>
        <v>21.852568504600644</v>
      </c>
      <c r="L20" s="73" t="s">
        <v>212</v>
      </c>
      <c r="N20" s="117" t="s">
        <v>619</v>
      </c>
      <c r="O20" s="118">
        <v>1</v>
      </c>
      <c r="P20" s="46" t="s">
        <v>612</v>
      </c>
      <c r="Q20" s="6">
        <f>$F$21*O20</f>
        <v>108</v>
      </c>
      <c r="R20" s="6" t="s">
        <v>212</v>
      </c>
      <c r="S20" s="84">
        <f>+$L$21*O20</f>
        <v>216</v>
      </c>
      <c r="U20" s="117" t="s">
        <v>619</v>
      </c>
      <c r="V20" s="118">
        <v>1</v>
      </c>
      <c r="W20" s="46" t="s">
        <v>612</v>
      </c>
      <c r="X20" s="6">
        <f>$F$21*V20</f>
        <v>108</v>
      </c>
      <c r="Y20" s="6"/>
      <c r="Z20" s="84">
        <f>+$L$21*V20</f>
        <v>216</v>
      </c>
      <c r="AB20" s="117" t="s">
        <v>619</v>
      </c>
      <c r="AC20" s="118">
        <v>1</v>
      </c>
      <c r="AD20" s="46" t="s">
        <v>612</v>
      </c>
      <c r="AE20" s="6">
        <f>$F$21*AC20</f>
        <v>108</v>
      </c>
      <c r="AF20" s="6" t="s">
        <v>212</v>
      </c>
      <c r="AG20" s="84">
        <f>+$L$21*AC20</f>
        <v>216</v>
      </c>
      <c r="AI20" s="117" t="s">
        <v>619</v>
      </c>
      <c r="AJ20" s="118">
        <v>1</v>
      </c>
      <c r="AK20" s="46" t="s">
        <v>612</v>
      </c>
      <c r="AL20" s="6">
        <f>$F$21*AJ20</f>
        <v>108</v>
      </c>
      <c r="AM20" s="6"/>
      <c r="AN20" s="84">
        <f>+$L$21*AJ20</f>
        <v>216</v>
      </c>
      <c r="AP20" s="117" t="s">
        <v>625</v>
      </c>
      <c r="AQ20" s="118">
        <v>1.35</v>
      </c>
      <c r="AR20" s="46" t="s">
        <v>624</v>
      </c>
      <c r="AS20" s="6">
        <f>$F$21*AQ20</f>
        <v>145.80000000000001</v>
      </c>
      <c r="AT20" s="6" t="s">
        <v>452</v>
      </c>
      <c r="AU20" s="84">
        <f>+$L$21*AQ20</f>
        <v>291.60000000000002</v>
      </c>
    </row>
    <row r="21" spans="2:47">
      <c r="D21" s="117" t="s">
        <v>619</v>
      </c>
      <c r="E21" s="76" t="s">
        <v>624</v>
      </c>
      <c r="F21" s="6">
        <f>'Tabla resumen de fuerzas'!H22</f>
        <v>108</v>
      </c>
      <c r="G21" s="6"/>
      <c r="H21" s="99">
        <f>F21</f>
        <v>108</v>
      </c>
      <c r="I21" s="77"/>
      <c r="J21" s="77"/>
      <c r="K21" s="77"/>
      <c r="L21" s="85">
        <f>'Tabla resumen de fuerzas'!L22</f>
        <v>216</v>
      </c>
      <c r="N21" s="120" t="s">
        <v>324</v>
      </c>
      <c r="O21" s="118">
        <v>0.9</v>
      </c>
      <c r="P21" s="46" t="s">
        <v>620</v>
      </c>
      <c r="Q21" s="6">
        <f>$F$22*O21</f>
        <v>50.759999999999991</v>
      </c>
      <c r="R21" s="6" t="s">
        <v>212</v>
      </c>
      <c r="S21" s="84">
        <f>+$L$22*O21</f>
        <v>63.881999999999991</v>
      </c>
      <c r="U21" s="120" t="s">
        <v>324</v>
      </c>
      <c r="V21" s="118">
        <v>1</v>
      </c>
      <c r="W21" s="46" t="s">
        <v>620</v>
      </c>
      <c r="X21" s="6">
        <f>$F$22*V21</f>
        <v>56.399999999999991</v>
      </c>
      <c r="Y21" s="6"/>
      <c r="Z21" s="84">
        <f>+$L$22*V21</f>
        <v>70.97999999999999</v>
      </c>
      <c r="AB21" s="120" t="s">
        <v>324</v>
      </c>
      <c r="AC21" s="118">
        <v>1</v>
      </c>
      <c r="AD21" s="46" t="s">
        <v>620</v>
      </c>
      <c r="AE21" s="6">
        <f>$F$22*AC21</f>
        <v>56.399999999999991</v>
      </c>
      <c r="AF21" s="6" t="s">
        <v>212</v>
      </c>
      <c r="AG21" s="84">
        <f>+$L$22*AC21</f>
        <v>70.97999999999999</v>
      </c>
      <c r="AI21" s="120" t="s">
        <v>324</v>
      </c>
      <c r="AJ21" s="118">
        <v>1</v>
      </c>
      <c r="AK21" s="46" t="s">
        <v>620</v>
      </c>
      <c r="AL21" s="6">
        <f>$F$22*AJ21</f>
        <v>56.399999999999991</v>
      </c>
      <c r="AM21" s="6"/>
      <c r="AN21" s="84">
        <f>+$L$22*AJ21</f>
        <v>70.97999999999999</v>
      </c>
      <c r="AP21" s="120" t="s">
        <v>621</v>
      </c>
      <c r="AQ21" s="118">
        <v>1.25</v>
      </c>
      <c r="AR21" s="46" t="s">
        <v>237</v>
      </c>
      <c r="AS21" s="6">
        <f>$F$22*AQ21</f>
        <v>70.499999999999986</v>
      </c>
      <c r="AT21" s="6" t="s">
        <v>212</v>
      </c>
      <c r="AU21" s="84">
        <f>+$L$22*AQ21</f>
        <v>88.724999999999994</v>
      </c>
    </row>
    <row r="22" spans="2:47">
      <c r="D22" s="117" t="s">
        <v>324</v>
      </c>
      <c r="E22" s="76" t="s">
        <v>620</v>
      </c>
      <c r="F22" s="6">
        <f>+'Tabla resumen de fuerzas'!F23</f>
        <v>56.399999999999991</v>
      </c>
      <c r="G22" s="6" t="s">
        <v>212</v>
      </c>
      <c r="H22" s="99">
        <f>+F22</f>
        <v>56.399999999999991</v>
      </c>
      <c r="I22" s="77" t="s">
        <v>212</v>
      </c>
      <c r="J22" s="77" t="s">
        <v>212</v>
      </c>
      <c r="K22" s="77" t="s">
        <v>212</v>
      </c>
      <c r="L22" s="85">
        <f>+'Tabla resumen de fuerzas'!L23</f>
        <v>70.97999999999999</v>
      </c>
      <c r="N22" s="120" t="s">
        <v>326</v>
      </c>
      <c r="O22" s="118">
        <v>0</v>
      </c>
      <c r="P22" s="46" t="s">
        <v>268</v>
      </c>
      <c r="Q22" s="6">
        <f>$F$23*O22</f>
        <v>0</v>
      </c>
      <c r="R22" s="82">
        <f>$K$23*O22</f>
        <v>0</v>
      </c>
      <c r="S22" s="73" t="s">
        <v>212</v>
      </c>
      <c r="U22" s="120" t="s">
        <v>326</v>
      </c>
      <c r="V22" s="118">
        <v>0</v>
      </c>
      <c r="W22" s="46" t="s">
        <v>268</v>
      </c>
      <c r="X22" s="6">
        <f>$F$23*V22</f>
        <v>0</v>
      </c>
      <c r="Y22" s="82">
        <f>$K$23*V22</f>
        <v>0</v>
      </c>
      <c r="Z22" s="73" t="s">
        <v>212</v>
      </c>
      <c r="AB22" s="120" t="s">
        <v>326</v>
      </c>
      <c r="AC22" s="118">
        <v>0</v>
      </c>
      <c r="AD22" s="46" t="s">
        <v>268</v>
      </c>
      <c r="AE22" s="6">
        <f>$F$23*AC22</f>
        <v>0</v>
      </c>
      <c r="AF22" s="82">
        <f>$K$23*AC22</f>
        <v>0</v>
      </c>
      <c r="AG22" s="73" t="s">
        <v>212</v>
      </c>
      <c r="AI22" s="120" t="s">
        <v>326</v>
      </c>
      <c r="AJ22" s="118">
        <v>1</v>
      </c>
      <c r="AK22" s="46" t="s">
        <v>268</v>
      </c>
      <c r="AL22" s="6">
        <f>$F$23*AJ22</f>
        <v>19.2</v>
      </c>
      <c r="AM22" s="82">
        <f>$K$23*AJ22</f>
        <v>67.2</v>
      </c>
      <c r="AN22" s="73" t="s">
        <v>212</v>
      </c>
      <c r="AP22" s="120" t="s">
        <v>326</v>
      </c>
      <c r="AQ22" s="118">
        <v>0</v>
      </c>
      <c r="AR22" s="46" t="s">
        <v>268</v>
      </c>
      <c r="AS22" s="6">
        <f>$F$23*AQ22</f>
        <v>0</v>
      </c>
      <c r="AT22" s="82">
        <f>$K$23*AQ22</f>
        <v>0</v>
      </c>
      <c r="AU22" s="73" t="s">
        <v>212</v>
      </c>
    </row>
    <row r="23" spans="2:47" ht="15.75" thickBot="1">
      <c r="D23" s="117" t="s">
        <v>326</v>
      </c>
      <c r="E23" s="76" t="s">
        <v>268</v>
      </c>
      <c r="F23" s="6">
        <f>+'Tabla resumen de fuerzas'!F24</f>
        <v>19.2</v>
      </c>
      <c r="G23" s="82">
        <f>+F23</f>
        <v>19.2</v>
      </c>
      <c r="H23" s="77" t="s">
        <v>212</v>
      </c>
      <c r="I23" s="77">
        <f>+Fuerzas!$K$9</f>
        <v>3.5</v>
      </c>
      <c r="J23" s="77" t="s">
        <v>212</v>
      </c>
      <c r="K23" s="82">
        <f>+G23*I23</f>
        <v>67.2</v>
      </c>
      <c r="L23" s="116" t="s">
        <v>212</v>
      </c>
      <c r="N23" s="121" t="s">
        <v>323</v>
      </c>
      <c r="O23" s="124">
        <v>1</v>
      </c>
      <c r="P23" s="122" t="s">
        <v>214</v>
      </c>
      <c r="Q23" s="79">
        <f>$F$24*O23</f>
        <v>0</v>
      </c>
      <c r="R23" s="83">
        <f>$K$24*O23</f>
        <v>0</v>
      </c>
      <c r="S23" s="80" t="s">
        <v>212</v>
      </c>
      <c r="U23" s="121" t="s">
        <v>323</v>
      </c>
      <c r="V23" s="118">
        <v>1</v>
      </c>
      <c r="W23" s="122" t="s">
        <v>214</v>
      </c>
      <c r="X23" s="79">
        <f>$F$24*V23</f>
        <v>0</v>
      </c>
      <c r="Y23" s="83">
        <f>$K$24*V23</f>
        <v>0</v>
      </c>
      <c r="Z23" s="80" t="s">
        <v>212</v>
      </c>
      <c r="AB23" s="121" t="s">
        <v>323</v>
      </c>
      <c r="AC23" s="118">
        <v>1</v>
      </c>
      <c r="AD23" s="122" t="s">
        <v>214</v>
      </c>
      <c r="AE23" s="79">
        <f>$F$24*AC23</f>
        <v>0</v>
      </c>
      <c r="AF23" s="83">
        <f>$K$24*AC23</f>
        <v>0</v>
      </c>
      <c r="AG23" s="80" t="s">
        <v>212</v>
      </c>
      <c r="AI23" s="121" t="s">
        <v>323</v>
      </c>
      <c r="AJ23" s="118">
        <v>0</v>
      </c>
      <c r="AK23" s="122" t="s">
        <v>214</v>
      </c>
      <c r="AL23" s="79">
        <f>$F$24*AJ23</f>
        <v>0</v>
      </c>
      <c r="AM23" s="83">
        <f>$K$24*AJ23</f>
        <v>0</v>
      </c>
      <c r="AN23" s="80" t="s">
        <v>212</v>
      </c>
      <c r="AP23" s="121" t="s">
        <v>323</v>
      </c>
      <c r="AQ23" s="124">
        <v>1</v>
      </c>
      <c r="AR23" s="122" t="s">
        <v>214</v>
      </c>
      <c r="AS23" s="79">
        <f>$F$24*AQ23</f>
        <v>0</v>
      </c>
      <c r="AT23" s="83">
        <f>$K$24*AQ23</f>
        <v>0</v>
      </c>
      <c r="AU23" s="80" t="s">
        <v>212</v>
      </c>
    </row>
    <row r="24" spans="2:47" ht="15.75" thickBot="1">
      <c r="D24" s="117" t="s">
        <v>323</v>
      </c>
      <c r="E24" s="78" t="s">
        <v>214</v>
      </c>
      <c r="F24" s="79">
        <f>+'Tabla resumen de fuerzas'!F25</f>
        <v>0</v>
      </c>
      <c r="G24" s="83">
        <f>+F24</f>
        <v>0</v>
      </c>
      <c r="H24" s="79">
        <v>0</v>
      </c>
      <c r="I24" s="79">
        <f>'Cálculo de Pa y Pp'!E81/2</f>
        <v>0</v>
      </c>
      <c r="J24" s="79" t="s">
        <v>212</v>
      </c>
      <c r="K24" s="83">
        <f>+G24*I24</f>
        <v>0</v>
      </c>
      <c r="L24" s="80" t="s">
        <v>212</v>
      </c>
    </row>
    <row r="25" spans="2:47" ht="15.75" thickBot="1">
      <c r="N25" s="294" t="s">
        <v>248</v>
      </c>
      <c r="O25" s="295"/>
      <c r="P25" s="295"/>
      <c r="Q25" s="295"/>
      <c r="R25" s="296"/>
      <c r="U25" s="294" t="s">
        <v>248</v>
      </c>
      <c r="V25" s="295"/>
      <c r="W25" s="295"/>
      <c r="X25" s="295"/>
      <c r="Y25" s="296"/>
      <c r="AB25" s="294" t="s">
        <v>248</v>
      </c>
      <c r="AC25" s="295"/>
      <c r="AD25" s="295"/>
      <c r="AE25" s="295"/>
      <c r="AF25" s="296"/>
      <c r="AI25" s="294" t="s">
        <v>248</v>
      </c>
      <c r="AJ25" s="295"/>
      <c r="AK25" s="295"/>
      <c r="AL25" s="295"/>
      <c r="AM25" s="296"/>
    </row>
    <row r="26" spans="2:47">
      <c r="B26" s="27" t="s">
        <v>335</v>
      </c>
      <c r="E26" s="294" t="s">
        <v>248</v>
      </c>
      <c r="F26" s="295"/>
      <c r="G26" s="197"/>
      <c r="H26" s="197"/>
      <c r="I26" s="198"/>
      <c r="N26" s="90"/>
      <c r="R26" s="91"/>
      <c r="U26" s="90"/>
      <c r="Y26" s="91"/>
      <c r="AB26" s="90"/>
      <c r="AF26" s="91"/>
      <c r="AI26" s="90"/>
      <c r="AM26" s="91"/>
    </row>
    <row r="27" spans="2:47" ht="18">
      <c r="E27" s="90"/>
      <c r="I27" s="91"/>
      <c r="N27" s="90"/>
      <c r="O27" s="10" t="s">
        <v>228</v>
      </c>
      <c r="P27" s="6">
        <f>+R17</f>
        <v>0</v>
      </c>
      <c r="Q27" s="10" t="s">
        <v>253</v>
      </c>
      <c r="R27" s="91"/>
      <c r="U27" s="90"/>
      <c r="V27" s="10" t="s">
        <v>228</v>
      </c>
      <c r="W27" s="6">
        <f>+Y17</f>
        <v>0</v>
      </c>
      <c r="X27" s="10" t="s">
        <v>253</v>
      </c>
      <c r="Y27" s="91"/>
      <c r="AB27" s="90"/>
      <c r="AC27" s="10" t="s">
        <v>228</v>
      </c>
      <c r="AD27" s="6">
        <f>+AF17</f>
        <v>0</v>
      </c>
      <c r="AE27" s="10" t="s">
        <v>253</v>
      </c>
      <c r="AF27" s="91"/>
      <c r="AI27" s="90"/>
      <c r="AJ27" s="10" t="s">
        <v>228</v>
      </c>
      <c r="AK27" s="6">
        <f>+AM17</f>
        <v>0</v>
      </c>
      <c r="AL27" s="10" t="s">
        <v>253</v>
      </c>
      <c r="AM27" s="91"/>
    </row>
    <row r="28" spans="2:47" ht="18">
      <c r="E28" s="90"/>
      <c r="F28" s="10" t="s">
        <v>228</v>
      </c>
      <c r="G28" s="6">
        <f>+K17</f>
        <v>0</v>
      </c>
      <c r="H28" s="10" t="s">
        <v>253</v>
      </c>
      <c r="I28" s="91"/>
      <c r="N28" s="90"/>
      <c r="O28" s="10" t="s">
        <v>229</v>
      </c>
      <c r="P28" s="6">
        <f>+S16</f>
        <v>54.18663493683691</v>
      </c>
      <c r="Q28" s="10" t="s">
        <v>253</v>
      </c>
      <c r="R28" s="91"/>
      <c r="U28" s="90"/>
      <c r="V28" s="10" t="s">
        <v>229</v>
      </c>
      <c r="W28" s="6">
        <f>+Z16</f>
        <v>36.124423291224609</v>
      </c>
      <c r="X28" s="10" t="s">
        <v>253</v>
      </c>
      <c r="Y28" s="91"/>
      <c r="AB28" s="90"/>
      <c r="AC28" s="10" t="s">
        <v>229</v>
      </c>
      <c r="AD28" s="6">
        <f>+AG16+AG18</f>
        <v>60.51419896845124</v>
      </c>
      <c r="AE28" s="10" t="s">
        <v>253</v>
      </c>
      <c r="AF28" s="91"/>
      <c r="AI28" s="90"/>
      <c r="AJ28" s="10" t="s">
        <v>229</v>
      </c>
      <c r="AK28" s="6">
        <v>0</v>
      </c>
      <c r="AL28" s="10" t="s">
        <v>253</v>
      </c>
      <c r="AM28" s="91"/>
    </row>
    <row r="29" spans="2:47" ht="18">
      <c r="E29" s="90"/>
      <c r="F29" s="10" t="s">
        <v>229</v>
      </c>
      <c r="G29" s="6">
        <f>+L16</f>
        <v>36.124423291224609</v>
      </c>
      <c r="H29" s="10" t="s">
        <v>253</v>
      </c>
      <c r="I29" s="91"/>
      <c r="N29" s="90"/>
      <c r="O29" s="10" t="s">
        <v>238</v>
      </c>
      <c r="P29" s="6">
        <f>+S21+S20</f>
        <v>279.88200000000001</v>
      </c>
      <c r="Q29" s="10" t="s">
        <v>253</v>
      </c>
      <c r="R29" s="91"/>
      <c r="U29" s="90"/>
      <c r="V29" s="10" t="s">
        <v>238</v>
      </c>
      <c r="W29" s="6">
        <f>+Z21+Z20</f>
        <v>286.98</v>
      </c>
      <c r="X29" s="10" t="s">
        <v>253</v>
      </c>
      <c r="Y29" s="91"/>
      <c r="AB29" s="90"/>
      <c r="AC29" s="10" t="s">
        <v>238</v>
      </c>
      <c r="AD29" s="6">
        <f>+AG21+AG20</f>
        <v>286.98</v>
      </c>
      <c r="AE29" s="10" t="s">
        <v>253</v>
      </c>
      <c r="AF29" s="91"/>
      <c r="AI29" s="90"/>
      <c r="AJ29" s="10" t="s">
        <v>238</v>
      </c>
      <c r="AK29" s="6">
        <f>+AN21+AN20</f>
        <v>286.98</v>
      </c>
      <c r="AL29" s="10" t="s">
        <v>253</v>
      </c>
      <c r="AM29" s="91"/>
    </row>
    <row r="30" spans="2:47" ht="18">
      <c r="E30" s="90"/>
      <c r="F30" s="10" t="s">
        <v>238</v>
      </c>
      <c r="G30" s="6">
        <f>L21+L22</f>
        <v>286.98</v>
      </c>
      <c r="H30" s="10" t="s">
        <v>253</v>
      </c>
      <c r="I30" s="91"/>
      <c r="N30" s="90"/>
      <c r="O30" s="86" t="s">
        <v>222</v>
      </c>
      <c r="P30" s="87">
        <f>SUM(P27:P29)</f>
        <v>334.06863493683693</v>
      </c>
      <c r="Q30" s="86" t="s">
        <v>253</v>
      </c>
      <c r="R30" s="91"/>
      <c r="U30" s="90"/>
      <c r="V30" s="86" t="s">
        <v>222</v>
      </c>
      <c r="W30" s="87">
        <f>SUM(W27:W29)</f>
        <v>323.10442329122463</v>
      </c>
      <c r="X30" s="86" t="s">
        <v>253</v>
      </c>
      <c r="Y30" s="91"/>
      <c r="AB30" s="90"/>
      <c r="AC30" s="86" t="s">
        <v>222</v>
      </c>
      <c r="AD30" s="87">
        <f>SUM(AD27:AD29)</f>
        <v>347.49419896845126</v>
      </c>
      <c r="AE30" s="86" t="s">
        <v>253</v>
      </c>
      <c r="AF30" s="91"/>
      <c r="AI30" s="90"/>
      <c r="AJ30" s="86" t="s">
        <v>222</v>
      </c>
      <c r="AK30" s="87">
        <f>SUM(AK27:AK29)</f>
        <v>286.98</v>
      </c>
      <c r="AL30" s="86" t="s">
        <v>253</v>
      </c>
      <c r="AM30" s="91"/>
    </row>
    <row r="31" spans="2:47">
      <c r="E31" s="90"/>
      <c r="F31" s="86" t="s">
        <v>222</v>
      </c>
      <c r="G31" s="87">
        <f>SUM(G28:G30)</f>
        <v>323.10442329122463</v>
      </c>
      <c r="H31" s="86" t="s">
        <v>253</v>
      </c>
      <c r="I31" s="91"/>
      <c r="N31" s="90"/>
      <c r="R31" s="91"/>
      <c r="U31" s="90"/>
      <c r="Y31" s="91"/>
      <c r="AB31" s="90"/>
      <c r="AF31" s="91"/>
      <c r="AI31" s="90"/>
      <c r="AM31" s="91"/>
    </row>
    <row r="32" spans="2:47" ht="18">
      <c r="E32" s="90"/>
      <c r="I32" s="91"/>
      <c r="N32" s="90"/>
      <c r="O32" s="10" t="s">
        <v>230</v>
      </c>
      <c r="P32" s="6">
        <f>+R16</f>
        <v>59.892867326226025</v>
      </c>
      <c r="Q32" s="10" t="s">
        <v>253</v>
      </c>
      <c r="R32" s="91"/>
      <c r="U32" s="90"/>
      <c r="V32" s="10" t="s">
        <v>230</v>
      </c>
      <c r="W32" s="6">
        <f>+Y16</f>
        <v>39.928578217484016</v>
      </c>
      <c r="X32" s="10" t="s">
        <v>253</v>
      </c>
      <c r="Y32" s="91"/>
      <c r="AB32" s="90"/>
      <c r="AC32" s="10" t="s">
        <v>230</v>
      </c>
      <c r="AD32" s="6">
        <f>+AF16</f>
        <v>0</v>
      </c>
      <c r="AE32" s="10" t="s">
        <v>253</v>
      </c>
      <c r="AF32" s="91"/>
      <c r="AI32" s="90"/>
      <c r="AJ32" s="10" t="s">
        <v>230</v>
      </c>
      <c r="AK32" s="6">
        <f>+AM16</f>
        <v>39.928578217484016</v>
      </c>
      <c r="AL32" s="10" t="s">
        <v>253</v>
      </c>
      <c r="AM32" s="91"/>
    </row>
    <row r="33" spans="2:40" ht="18">
      <c r="E33" s="90"/>
      <c r="F33" s="10" t="s">
        <v>230</v>
      </c>
      <c r="G33" s="6">
        <f>+K16</f>
        <v>39.928578217484016</v>
      </c>
      <c r="H33" s="10" t="s">
        <v>253</v>
      </c>
      <c r="I33" s="91"/>
      <c r="N33" s="90"/>
      <c r="O33" s="10" t="s">
        <v>231</v>
      </c>
      <c r="P33" s="6">
        <f>+R18</f>
        <v>0</v>
      </c>
      <c r="Q33" s="10" t="s">
        <v>253</v>
      </c>
      <c r="R33" s="91"/>
      <c r="U33" s="90"/>
      <c r="V33" s="10" t="s">
        <v>231</v>
      </c>
      <c r="W33" s="6">
        <f>+Y18</f>
        <v>0</v>
      </c>
      <c r="X33" s="10" t="s">
        <v>253</v>
      </c>
      <c r="Y33" s="91"/>
      <c r="AB33" s="90"/>
      <c r="AC33" s="10" t="s">
        <v>231</v>
      </c>
      <c r="AD33" s="6">
        <f>+AF18</f>
        <v>66.886768192840691</v>
      </c>
      <c r="AE33" s="10" t="s">
        <v>253</v>
      </c>
      <c r="AF33" s="91"/>
      <c r="AI33" s="90"/>
      <c r="AJ33" s="10" t="s">
        <v>231</v>
      </c>
      <c r="AK33" s="6">
        <f>+AM18</f>
        <v>0</v>
      </c>
      <c r="AL33" s="10" t="s">
        <v>253</v>
      </c>
      <c r="AM33" s="91"/>
    </row>
    <row r="34" spans="2:40" ht="18">
      <c r="E34" s="90"/>
      <c r="F34" s="10" t="s">
        <v>231</v>
      </c>
      <c r="G34" s="6">
        <f>+K18</f>
        <v>66.886768192840691</v>
      </c>
      <c r="H34" s="10" t="s">
        <v>253</v>
      </c>
      <c r="I34" s="91"/>
      <c r="N34" s="90"/>
      <c r="O34" s="10" t="s">
        <v>232</v>
      </c>
      <c r="P34" s="6">
        <f>+R19</f>
        <v>38.241994883051127</v>
      </c>
      <c r="Q34" s="10" t="s">
        <v>253</v>
      </c>
      <c r="R34" s="91"/>
      <c r="U34" s="90"/>
      <c r="V34" s="10" t="s">
        <v>232</v>
      </c>
      <c r="W34" s="6">
        <f>+Y19</f>
        <v>21.852568504600644</v>
      </c>
      <c r="X34" s="10" t="s">
        <v>253</v>
      </c>
      <c r="Y34" s="91"/>
      <c r="AB34" s="90"/>
      <c r="AC34" s="10" t="s">
        <v>232</v>
      </c>
      <c r="AD34" s="6">
        <f>+AF19</f>
        <v>10.926284252300322</v>
      </c>
      <c r="AE34" s="10" t="s">
        <v>253</v>
      </c>
      <c r="AF34" s="91"/>
      <c r="AI34" s="90"/>
      <c r="AJ34" s="10" t="s">
        <v>232</v>
      </c>
      <c r="AK34" s="6">
        <f>+AM19</f>
        <v>10.926284252300322</v>
      </c>
      <c r="AL34" s="10" t="s">
        <v>253</v>
      </c>
      <c r="AM34" s="91"/>
      <c r="AN34" s="131"/>
    </row>
    <row r="35" spans="2:40" ht="18">
      <c r="E35" s="90"/>
      <c r="F35" s="10" t="s">
        <v>232</v>
      </c>
      <c r="G35" s="6">
        <f>+K20</f>
        <v>21.852568504600644</v>
      </c>
      <c r="H35" s="10" t="s">
        <v>253</v>
      </c>
      <c r="I35" s="91"/>
      <c r="N35" s="90"/>
      <c r="O35" s="10" t="s">
        <v>285</v>
      </c>
      <c r="P35" s="6">
        <f>+R22</f>
        <v>0</v>
      </c>
      <c r="Q35" s="10" t="s">
        <v>253</v>
      </c>
      <c r="R35" s="91"/>
      <c r="U35" s="90"/>
      <c r="V35" s="10" t="s">
        <v>285</v>
      </c>
      <c r="W35" s="6">
        <f>+Y22</f>
        <v>0</v>
      </c>
      <c r="X35" s="10" t="s">
        <v>253</v>
      </c>
      <c r="Y35" s="91"/>
      <c r="AB35" s="90"/>
      <c r="AC35" s="10" t="s">
        <v>285</v>
      </c>
      <c r="AD35" s="6">
        <f>+AF22</f>
        <v>0</v>
      </c>
      <c r="AE35" s="10" t="s">
        <v>253</v>
      </c>
      <c r="AF35" s="91"/>
      <c r="AI35" s="90"/>
      <c r="AJ35" s="10" t="s">
        <v>285</v>
      </c>
      <c r="AK35" s="6">
        <f>+AM22</f>
        <v>67.2</v>
      </c>
      <c r="AL35" s="10" t="s">
        <v>253</v>
      </c>
      <c r="AM35" s="91"/>
    </row>
    <row r="36" spans="2:40" ht="18">
      <c r="E36" s="90"/>
      <c r="F36" s="10" t="s">
        <v>285</v>
      </c>
      <c r="G36" s="6">
        <f>+K23</f>
        <v>67.2</v>
      </c>
      <c r="H36" s="10" t="s">
        <v>253</v>
      </c>
      <c r="I36" s="91"/>
      <c r="N36" s="90"/>
      <c r="O36" s="10" t="s">
        <v>233</v>
      </c>
      <c r="P36" s="6">
        <f>+R23</f>
        <v>0</v>
      </c>
      <c r="Q36" s="10" t="s">
        <v>253</v>
      </c>
      <c r="R36" s="91"/>
      <c r="U36" s="90"/>
      <c r="V36" s="10" t="s">
        <v>233</v>
      </c>
      <c r="W36" s="6">
        <f>+Y23</f>
        <v>0</v>
      </c>
      <c r="X36" s="10" t="s">
        <v>253</v>
      </c>
      <c r="Y36" s="91"/>
      <c r="AB36" s="90"/>
      <c r="AC36" s="10" t="s">
        <v>233</v>
      </c>
      <c r="AD36" s="6">
        <f>+AF23</f>
        <v>0</v>
      </c>
      <c r="AE36" s="10" t="s">
        <v>253</v>
      </c>
      <c r="AF36" s="91"/>
      <c r="AI36" s="90"/>
      <c r="AJ36" s="10" t="s">
        <v>233</v>
      </c>
      <c r="AK36" s="6">
        <f>+AM23</f>
        <v>0</v>
      </c>
      <c r="AL36" s="10" t="s">
        <v>253</v>
      </c>
      <c r="AM36" s="91"/>
    </row>
    <row r="37" spans="2:40" ht="18">
      <c r="E37" s="90"/>
      <c r="F37" s="10" t="s">
        <v>233</v>
      </c>
      <c r="G37" s="6">
        <f>+K24</f>
        <v>0</v>
      </c>
      <c r="H37" s="10" t="s">
        <v>253</v>
      </c>
      <c r="I37" s="91"/>
      <c r="N37" s="90"/>
      <c r="O37" s="88" t="s">
        <v>223</v>
      </c>
      <c r="P37" s="89">
        <f>SUM(P32:P36)</f>
        <v>98.134862209277145</v>
      </c>
      <c r="Q37" s="88" t="s">
        <v>253</v>
      </c>
      <c r="R37" s="91"/>
      <c r="U37" s="90"/>
      <c r="V37" s="88" t="s">
        <v>223</v>
      </c>
      <c r="W37" s="89">
        <f>SUM(W32:W36)</f>
        <v>61.781146722084657</v>
      </c>
      <c r="X37" s="88" t="s">
        <v>253</v>
      </c>
      <c r="Y37" s="91"/>
      <c r="AB37" s="90"/>
      <c r="AC37" s="88" t="s">
        <v>223</v>
      </c>
      <c r="AD37" s="89">
        <f>SUM(AD32:AD36)</f>
        <v>77.813052445141011</v>
      </c>
      <c r="AE37" s="88" t="s">
        <v>253</v>
      </c>
      <c r="AF37" s="91"/>
      <c r="AI37" s="90"/>
      <c r="AJ37" s="88" t="s">
        <v>223</v>
      </c>
      <c r="AK37" s="89">
        <f>SUM(AK32:AK36)</f>
        <v>118.05486246978434</v>
      </c>
      <c r="AL37" s="88" t="s">
        <v>253</v>
      </c>
      <c r="AM37" s="91"/>
    </row>
    <row r="38" spans="2:40" ht="15.75" thickBot="1">
      <c r="E38" s="90"/>
      <c r="F38" s="88" t="s">
        <v>223</v>
      </c>
      <c r="G38" s="89">
        <f>SUM(G33:G37)</f>
        <v>195.86791491492534</v>
      </c>
      <c r="H38" s="88" t="s">
        <v>253</v>
      </c>
      <c r="I38" s="91"/>
      <c r="N38" s="92"/>
      <c r="O38" s="93"/>
      <c r="P38" s="93"/>
      <c r="Q38" s="93"/>
      <c r="R38" s="94"/>
      <c r="U38" s="92"/>
      <c r="V38" s="93"/>
      <c r="W38" s="93"/>
      <c r="X38" s="93"/>
      <c r="Y38" s="94"/>
      <c r="AB38" s="92"/>
      <c r="AC38" s="93"/>
      <c r="AD38" s="93"/>
      <c r="AE38" s="93"/>
      <c r="AF38" s="94"/>
      <c r="AI38" s="92"/>
      <c r="AJ38" s="93"/>
      <c r="AK38" s="93"/>
      <c r="AL38" s="93"/>
      <c r="AM38" s="94"/>
    </row>
    <row r="39" spans="2:40" ht="15.75" thickBot="1">
      <c r="E39" s="92"/>
      <c r="F39" s="93"/>
      <c r="G39" s="93"/>
      <c r="H39" s="93"/>
      <c r="I39" s="94"/>
      <c r="N39" s="294" t="s">
        <v>247</v>
      </c>
      <c r="O39" s="295"/>
      <c r="P39" s="295"/>
      <c r="Q39" s="295"/>
      <c r="R39" s="296"/>
      <c r="U39" s="294" t="s">
        <v>247</v>
      </c>
      <c r="V39" s="295"/>
      <c r="W39" s="295"/>
      <c r="X39" s="295"/>
      <c r="Y39" s="296"/>
      <c r="AB39" s="294" t="s">
        <v>247</v>
      </c>
      <c r="AC39" s="295"/>
      <c r="AD39" s="295"/>
      <c r="AE39" s="295"/>
      <c r="AF39" s="296"/>
      <c r="AI39" s="294" t="s">
        <v>247</v>
      </c>
      <c r="AJ39" s="295"/>
      <c r="AK39" s="295"/>
      <c r="AL39" s="295"/>
      <c r="AM39" s="296"/>
    </row>
    <row r="40" spans="2:40">
      <c r="B40" s="27" t="s">
        <v>336</v>
      </c>
      <c r="E40" s="294" t="s">
        <v>247</v>
      </c>
      <c r="F40" s="295"/>
      <c r="G40" s="197"/>
      <c r="H40" s="197"/>
      <c r="I40" s="198"/>
      <c r="N40" s="5"/>
      <c r="O40" s="1"/>
      <c r="P40" s="1"/>
      <c r="Q40" s="1"/>
      <c r="R40" s="2"/>
      <c r="U40" s="5"/>
      <c r="V40" s="1"/>
      <c r="W40" s="1"/>
      <c r="X40" s="1"/>
      <c r="Y40" s="2"/>
      <c r="AB40" s="5"/>
      <c r="AC40" s="1"/>
      <c r="AD40" s="1"/>
      <c r="AE40" s="1"/>
      <c r="AF40" s="2"/>
      <c r="AI40" s="5"/>
      <c r="AJ40" s="1"/>
      <c r="AK40" s="1"/>
      <c r="AL40" s="1"/>
      <c r="AM40" s="2"/>
    </row>
    <row r="41" spans="2:40">
      <c r="E41" s="5"/>
      <c r="F41" s="1"/>
      <c r="G41" s="1"/>
      <c r="H41" s="1"/>
      <c r="I41" s="2"/>
      <c r="N41" s="5"/>
      <c r="O41" s="10" t="s">
        <v>626</v>
      </c>
      <c r="P41" s="6">
        <f>+$G$42*O20</f>
        <v>12.456697686629177</v>
      </c>
      <c r="Q41" s="10" t="s">
        <v>88</v>
      </c>
      <c r="R41" s="2"/>
      <c r="U41" s="5"/>
      <c r="V41" s="10" t="s">
        <v>626</v>
      </c>
      <c r="W41" s="6">
        <f>+$G$42*V20</f>
        <v>12.456697686629177</v>
      </c>
      <c r="X41" s="10" t="s">
        <v>88</v>
      </c>
      <c r="Y41" s="2"/>
      <c r="AB41" s="5"/>
      <c r="AC41" s="10" t="s">
        <v>626</v>
      </c>
      <c r="AD41" s="6">
        <f>H18*AC18</f>
        <v>20.86696516153491</v>
      </c>
      <c r="AE41" s="10" t="s">
        <v>88</v>
      </c>
      <c r="AF41" s="2"/>
      <c r="AI41" s="5"/>
      <c r="AJ41" s="10" t="s">
        <v>626</v>
      </c>
      <c r="AK41" s="6">
        <f>+$G$42*AJ20</f>
        <v>12.456697686629177</v>
      </c>
      <c r="AL41" s="10" t="s">
        <v>88</v>
      </c>
      <c r="AM41" s="2"/>
    </row>
    <row r="42" spans="2:40" ht="18">
      <c r="E42" s="5"/>
      <c r="F42" s="10" t="s">
        <v>626</v>
      </c>
      <c r="G42" s="6">
        <f>H16</f>
        <v>12.456697686629177</v>
      </c>
      <c r="H42" s="10" t="s">
        <v>88</v>
      </c>
      <c r="I42" s="2"/>
      <c r="N42" s="5"/>
      <c r="O42" s="10" t="s">
        <v>252</v>
      </c>
      <c r="P42" s="6">
        <f>Q20+Q21</f>
        <v>158.76</v>
      </c>
      <c r="Q42" s="10" t="s">
        <v>88</v>
      </c>
      <c r="R42" s="2"/>
      <c r="U42" s="5"/>
      <c r="V42" s="10" t="s">
        <v>252</v>
      </c>
      <c r="W42" s="6">
        <f>X20+X21</f>
        <v>164.39999999999998</v>
      </c>
      <c r="X42" s="10" t="s">
        <v>88</v>
      </c>
      <c r="Y42" s="2"/>
      <c r="AB42" s="5"/>
      <c r="AC42" s="10" t="s">
        <v>252</v>
      </c>
      <c r="AD42" s="6">
        <f>AE20+AE21</f>
        <v>164.39999999999998</v>
      </c>
      <c r="AE42" s="10" t="s">
        <v>88</v>
      </c>
      <c r="AF42" s="2"/>
      <c r="AI42" s="5"/>
      <c r="AJ42" s="10" t="s">
        <v>252</v>
      </c>
      <c r="AK42" s="6">
        <f>AL20+AL21</f>
        <v>164.39999999999998</v>
      </c>
      <c r="AL42" s="10" t="s">
        <v>88</v>
      </c>
      <c r="AM42" s="2"/>
    </row>
    <row r="43" spans="2:40" ht="15" customHeight="1">
      <c r="B43" s="324" t="s">
        <v>379</v>
      </c>
      <c r="E43" s="5"/>
      <c r="F43" s="10" t="s">
        <v>252</v>
      </c>
      <c r="G43" s="6">
        <f>(H21+H22)</f>
        <v>164.39999999999998</v>
      </c>
      <c r="H43" s="10" t="s">
        <v>88</v>
      </c>
      <c r="I43" s="2"/>
      <c r="N43" s="5"/>
      <c r="O43" s="86" t="s">
        <v>249</v>
      </c>
      <c r="P43" s="87">
        <f>SUM(P41:P42)</f>
        <v>171.21669768662917</v>
      </c>
      <c r="Q43" s="86" t="s">
        <v>88</v>
      </c>
      <c r="R43" s="2"/>
      <c r="U43" s="5"/>
      <c r="V43" s="86" t="s">
        <v>249</v>
      </c>
      <c r="W43" s="87">
        <f>SUM(W41:W42)</f>
        <v>176.85669768662916</v>
      </c>
      <c r="X43" s="86" t="s">
        <v>88</v>
      </c>
      <c r="Y43" s="2"/>
      <c r="AB43" s="5"/>
      <c r="AC43" s="86" t="s">
        <v>249</v>
      </c>
      <c r="AD43" s="87">
        <f>SUM(AD41:AD42)</f>
        <v>185.2669651615349</v>
      </c>
      <c r="AE43" s="86" t="s">
        <v>88</v>
      </c>
      <c r="AF43" s="2"/>
      <c r="AI43" s="5"/>
      <c r="AJ43" s="86" t="s">
        <v>249</v>
      </c>
      <c r="AK43" s="87">
        <f>SUM(AK41:AK42)</f>
        <v>176.85669768662916</v>
      </c>
      <c r="AL43" s="86" t="s">
        <v>88</v>
      </c>
      <c r="AM43" s="2"/>
    </row>
    <row r="44" spans="2:40">
      <c r="B44" s="324"/>
      <c r="E44" s="5"/>
      <c r="F44" s="86" t="s">
        <v>249</v>
      </c>
      <c r="G44" s="87">
        <f>SUM(G42:G43)</f>
        <v>176.85669768662916</v>
      </c>
      <c r="H44" s="86" t="s">
        <v>88</v>
      </c>
      <c r="I44" s="2"/>
      <c r="N44" s="5"/>
      <c r="O44" s="1"/>
      <c r="P44" s="1"/>
      <c r="Q44" s="1"/>
      <c r="R44" s="2"/>
      <c r="U44" s="5"/>
      <c r="V44" s="1"/>
      <c r="W44" s="1"/>
      <c r="X44" s="1"/>
      <c r="Y44" s="2"/>
      <c r="AB44" s="5"/>
      <c r="AC44" s="1"/>
      <c r="AD44" s="1"/>
      <c r="AE44" s="1"/>
      <c r="AF44" s="2"/>
      <c r="AI44" s="5"/>
      <c r="AJ44" s="1"/>
      <c r="AK44" s="1"/>
      <c r="AL44" s="1"/>
      <c r="AM44" s="2"/>
    </row>
    <row r="45" spans="2:40" ht="18">
      <c r="B45" s="324"/>
      <c r="E45" s="5"/>
      <c r="F45" s="1"/>
      <c r="G45" s="1"/>
      <c r="H45" s="1"/>
      <c r="I45" s="2"/>
      <c r="N45" s="5"/>
      <c r="O45" s="10" t="s">
        <v>255</v>
      </c>
      <c r="P45" s="6">
        <f>+$G$46*O16</f>
        <v>51.336743422479444</v>
      </c>
      <c r="Q45" s="10" t="s">
        <v>88</v>
      </c>
      <c r="R45" s="2"/>
      <c r="U45" s="5"/>
      <c r="V45" s="10" t="s">
        <v>255</v>
      </c>
      <c r="W45" s="6">
        <f>+$G$46*V16</f>
        <v>34.224495614986296</v>
      </c>
      <c r="X45" s="10" t="s">
        <v>88</v>
      </c>
      <c r="Y45" s="2"/>
      <c r="AB45" s="5"/>
      <c r="AC45" s="10" t="s">
        <v>255</v>
      </c>
      <c r="AD45" s="6">
        <f>+$G$46*AC16</f>
        <v>0</v>
      </c>
      <c r="AE45" s="10" t="s">
        <v>88</v>
      </c>
      <c r="AF45" s="2"/>
      <c r="AI45" s="5"/>
      <c r="AJ45" s="10" t="s">
        <v>255</v>
      </c>
      <c r="AK45" s="6">
        <f>+$G$46*AJ16</f>
        <v>34.224495614986296</v>
      </c>
      <c r="AL45" s="10" t="s">
        <v>88</v>
      </c>
      <c r="AM45" s="2"/>
    </row>
    <row r="46" spans="2:40" ht="18">
      <c r="B46" s="324"/>
      <c r="E46" s="5"/>
      <c r="F46" s="10" t="s">
        <v>255</v>
      </c>
      <c r="G46" s="6">
        <f>+G16</f>
        <v>34.224495614986296</v>
      </c>
      <c r="H46" s="10" t="s">
        <v>88</v>
      </c>
      <c r="I46" s="2"/>
      <c r="N46" s="5"/>
      <c r="O46" s="10" t="s">
        <v>256</v>
      </c>
      <c r="P46" s="6">
        <f>$G$47*O18</f>
        <v>0</v>
      </c>
      <c r="Q46" s="10" t="s">
        <v>88</v>
      </c>
      <c r="R46" s="2"/>
      <c r="U46" s="5"/>
      <c r="V46" s="10" t="s">
        <v>256</v>
      </c>
      <c r="W46" s="6">
        <f>$G$47*V18</f>
        <v>0</v>
      </c>
      <c r="X46" s="10" t="s">
        <v>88</v>
      </c>
      <c r="Y46" s="2"/>
      <c r="AB46" s="5"/>
      <c r="AC46" s="10" t="s">
        <v>663</v>
      </c>
      <c r="AD46" s="6">
        <f>G18*AC18</f>
        <v>57.33151559386345</v>
      </c>
      <c r="AE46" s="10" t="s">
        <v>88</v>
      </c>
      <c r="AF46" s="2"/>
      <c r="AI46" s="5"/>
      <c r="AJ46" s="10" t="s">
        <v>256</v>
      </c>
      <c r="AK46" s="6">
        <f>$G$47*AJ18</f>
        <v>0</v>
      </c>
      <c r="AL46" s="10" t="s">
        <v>88</v>
      </c>
      <c r="AM46" s="2"/>
    </row>
    <row r="47" spans="2:40" ht="18">
      <c r="B47" s="324"/>
      <c r="E47" s="5"/>
      <c r="F47" s="10" t="s">
        <v>256</v>
      </c>
      <c r="G47" s="6">
        <f>+G18</f>
        <v>57.33151559386345</v>
      </c>
      <c r="H47" s="10" t="s">
        <v>88</v>
      </c>
      <c r="I47" s="2"/>
      <c r="N47" s="5"/>
      <c r="O47" s="10" t="s">
        <v>257</v>
      </c>
      <c r="P47" s="6">
        <f>+$G$48*O19</f>
        <v>21.852568504600644</v>
      </c>
      <c r="Q47" s="10" t="s">
        <v>88</v>
      </c>
      <c r="R47" s="2"/>
      <c r="U47" s="5"/>
      <c r="V47" s="10" t="s">
        <v>257</v>
      </c>
      <c r="W47" s="6">
        <f>+$G$48*V19</f>
        <v>12.48718200262894</v>
      </c>
      <c r="X47" s="10" t="s">
        <v>88</v>
      </c>
      <c r="Y47" s="2"/>
      <c r="AB47" s="5"/>
      <c r="AC47" s="10" t="s">
        <v>257</v>
      </c>
      <c r="AD47" s="6">
        <f>+$G$48*AC19</f>
        <v>6.2435910013144698</v>
      </c>
      <c r="AE47" s="10" t="s">
        <v>88</v>
      </c>
      <c r="AF47" s="2"/>
      <c r="AI47" s="5"/>
      <c r="AJ47" s="10" t="s">
        <v>257</v>
      </c>
      <c r="AK47" s="6">
        <f>+$G$48*AJ19</f>
        <v>6.2435910013144698</v>
      </c>
      <c r="AL47" s="10" t="s">
        <v>88</v>
      </c>
      <c r="AM47" s="2"/>
    </row>
    <row r="48" spans="2:40" ht="18">
      <c r="E48" s="5"/>
      <c r="F48" s="10" t="s">
        <v>257</v>
      </c>
      <c r="G48" s="6">
        <f>+G20</f>
        <v>12.48718200262894</v>
      </c>
      <c r="H48" s="10" t="s">
        <v>88</v>
      </c>
      <c r="I48" s="2"/>
      <c r="N48" s="5"/>
      <c r="O48" s="10" t="s">
        <v>287</v>
      </c>
      <c r="P48" s="6">
        <f>$G$49*O22</f>
        <v>0</v>
      </c>
      <c r="Q48" s="10" t="s">
        <v>88</v>
      </c>
      <c r="R48" s="2"/>
      <c r="U48" s="5"/>
      <c r="V48" s="10" t="s">
        <v>287</v>
      </c>
      <c r="W48" s="6">
        <f>$G$49*V22</f>
        <v>0</v>
      </c>
      <c r="X48" s="10" t="s">
        <v>88</v>
      </c>
      <c r="Y48" s="2"/>
      <c r="AB48" s="5"/>
      <c r="AC48" s="10" t="s">
        <v>287</v>
      </c>
      <c r="AD48" s="6">
        <f>$G$49*AC22</f>
        <v>0</v>
      </c>
      <c r="AE48" s="10" t="s">
        <v>88</v>
      </c>
      <c r="AF48" s="2"/>
      <c r="AI48" s="5"/>
      <c r="AJ48" s="10" t="s">
        <v>287</v>
      </c>
      <c r="AK48" s="6">
        <f>$G$49*AJ22</f>
        <v>19.2</v>
      </c>
      <c r="AL48" s="10" t="s">
        <v>88</v>
      </c>
      <c r="AM48" s="2"/>
    </row>
    <row r="49" spans="2:39" ht="18">
      <c r="E49" s="5"/>
      <c r="F49" s="10" t="s">
        <v>287</v>
      </c>
      <c r="G49" s="6">
        <f>+F23</f>
        <v>19.2</v>
      </c>
      <c r="H49" s="10" t="s">
        <v>88</v>
      </c>
      <c r="I49" s="2"/>
      <c r="N49" s="5"/>
      <c r="O49" s="10" t="s">
        <v>258</v>
      </c>
      <c r="P49" s="6">
        <f>+$G$50*O23</f>
        <v>0</v>
      </c>
      <c r="Q49" s="10" t="s">
        <v>88</v>
      </c>
      <c r="R49" s="2"/>
      <c r="U49" s="5"/>
      <c r="V49" s="10" t="s">
        <v>258</v>
      </c>
      <c r="W49" s="6">
        <f>+$G$50*V23</f>
        <v>0</v>
      </c>
      <c r="X49" s="10" t="s">
        <v>88</v>
      </c>
      <c r="Y49" s="2"/>
      <c r="AB49" s="5"/>
      <c r="AC49" s="10" t="s">
        <v>258</v>
      </c>
      <c r="AD49" s="6">
        <f>+$G$50*AC23</f>
        <v>0</v>
      </c>
      <c r="AE49" s="10" t="s">
        <v>88</v>
      </c>
      <c r="AF49" s="2"/>
      <c r="AI49" s="5"/>
      <c r="AJ49" s="10" t="s">
        <v>258</v>
      </c>
      <c r="AK49" s="6">
        <f>+$G$50*AJ23</f>
        <v>0</v>
      </c>
      <c r="AL49" s="10" t="s">
        <v>88</v>
      </c>
      <c r="AM49" s="2"/>
    </row>
    <row r="50" spans="2:39" ht="18">
      <c r="E50" s="5"/>
      <c r="F50" s="10" t="s">
        <v>258</v>
      </c>
      <c r="G50" s="6">
        <f>+G24</f>
        <v>0</v>
      </c>
      <c r="H50" s="10" t="s">
        <v>88</v>
      </c>
      <c r="I50" s="2"/>
      <c r="N50" s="5"/>
      <c r="O50" s="88" t="s">
        <v>250</v>
      </c>
      <c r="P50" s="89">
        <f>SUM(P45:P49)</f>
        <v>73.189311927080084</v>
      </c>
      <c r="Q50" s="88" t="s">
        <v>88</v>
      </c>
      <c r="R50" s="2"/>
      <c r="U50" s="5"/>
      <c r="V50" s="88" t="s">
        <v>250</v>
      </c>
      <c r="W50" s="89">
        <f>SUM(W45:W49)</f>
        <v>46.711677617615237</v>
      </c>
      <c r="X50" s="88" t="s">
        <v>88</v>
      </c>
      <c r="Y50" s="2"/>
      <c r="AB50" s="5"/>
      <c r="AC50" s="88" t="s">
        <v>250</v>
      </c>
      <c r="AD50" s="89">
        <f>SUM(AD45:AD49)</f>
        <v>63.575106595177921</v>
      </c>
      <c r="AE50" s="88" t="s">
        <v>88</v>
      </c>
      <c r="AF50" s="2"/>
      <c r="AI50" s="5"/>
      <c r="AJ50" s="88" t="s">
        <v>250</v>
      </c>
      <c r="AK50" s="89">
        <f>SUM(AK45:AK49)</f>
        <v>59.668086616300769</v>
      </c>
      <c r="AL50" s="88" t="s">
        <v>88</v>
      </c>
      <c r="AM50" s="2"/>
    </row>
    <row r="51" spans="2:39">
      <c r="E51" s="5"/>
      <c r="F51" s="88" t="s">
        <v>250</v>
      </c>
      <c r="G51" s="89">
        <f>SUM(G46:G50)</f>
        <v>123.2431932114787</v>
      </c>
      <c r="H51" s="88" t="s">
        <v>88</v>
      </c>
      <c r="I51" s="2"/>
      <c r="N51" s="5"/>
      <c r="R51" s="2"/>
      <c r="U51" s="5"/>
      <c r="Y51" s="2"/>
      <c r="AB51" s="5"/>
      <c r="AF51" s="2"/>
      <c r="AI51" s="5"/>
      <c r="AM51" s="2"/>
    </row>
    <row r="52" spans="2:39" ht="15.75" thickBot="1">
      <c r="E52" s="7"/>
      <c r="F52" s="8"/>
      <c r="G52" s="8"/>
      <c r="H52" s="8"/>
      <c r="I52" s="9"/>
      <c r="N52" s="5"/>
      <c r="O52" s="10" t="s">
        <v>453</v>
      </c>
      <c r="P52" s="131">
        <f>P30-P37</f>
        <v>235.93377272755978</v>
      </c>
      <c r="Q52" s="10" t="s">
        <v>253</v>
      </c>
      <c r="R52" s="2"/>
      <c r="U52" s="5"/>
      <c r="V52" s="10" t="s">
        <v>453</v>
      </c>
      <c r="W52" s="131">
        <f>W30-W37</f>
        <v>261.32327656913998</v>
      </c>
      <c r="X52" s="10" t="s">
        <v>253</v>
      </c>
      <c r="Y52" s="2"/>
      <c r="AB52" s="5"/>
      <c r="AC52" s="10" t="s">
        <v>453</v>
      </c>
      <c r="AD52" s="131">
        <f>AD30-AD37</f>
        <v>269.68114652331025</v>
      </c>
      <c r="AE52" s="10" t="s">
        <v>253</v>
      </c>
      <c r="AF52" s="2"/>
      <c r="AI52" s="5"/>
      <c r="AJ52" s="10" t="s">
        <v>453</v>
      </c>
      <c r="AK52" s="131">
        <f>AK30-AK37</f>
        <v>168.92513753021569</v>
      </c>
      <c r="AL52" s="10" t="s">
        <v>253</v>
      </c>
      <c r="AM52" s="2"/>
    </row>
    <row r="53" spans="2:39">
      <c r="N53" s="5"/>
      <c r="O53" s="10" t="s">
        <v>518</v>
      </c>
      <c r="P53" s="131">
        <f>P43</f>
        <v>171.21669768662917</v>
      </c>
      <c r="Q53" s="10" t="s">
        <v>88</v>
      </c>
      <c r="R53" s="2"/>
      <c r="U53" s="5"/>
      <c r="V53" s="10" t="s">
        <v>518</v>
      </c>
      <c r="W53" s="131">
        <f>W43</f>
        <v>176.85669768662916</v>
      </c>
      <c r="X53" s="10" t="s">
        <v>88</v>
      </c>
      <c r="Y53" s="2"/>
      <c r="AB53" s="5"/>
      <c r="AC53" s="10" t="s">
        <v>518</v>
      </c>
      <c r="AD53" s="131">
        <f>AD43</f>
        <v>185.2669651615349</v>
      </c>
      <c r="AE53" s="10" t="s">
        <v>88</v>
      </c>
      <c r="AF53" s="2"/>
      <c r="AI53" s="5"/>
      <c r="AJ53" s="10" t="s">
        <v>518</v>
      </c>
      <c r="AK53" s="131">
        <f>AK43</f>
        <v>176.85669768662916</v>
      </c>
      <c r="AL53" s="10" t="s">
        <v>88</v>
      </c>
      <c r="AM53" s="2"/>
    </row>
    <row r="54" spans="2:39">
      <c r="N54" s="5"/>
      <c r="O54" s="10" t="s">
        <v>349</v>
      </c>
      <c r="P54">
        <f>P52/P53</f>
        <v>1.3779834321964297</v>
      </c>
      <c r="Q54" s="10" t="s">
        <v>3</v>
      </c>
      <c r="R54" s="2"/>
      <c r="U54" s="5"/>
      <c r="V54" s="10" t="s">
        <v>349</v>
      </c>
      <c r="W54">
        <f>W52/W53</f>
        <v>1.4775989826078084</v>
      </c>
      <c r="X54" s="10" t="s">
        <v>3</v>
      </c>
      <c r="Y54" s="2"/>
      <c r="AB54" s="5"/>
      <c r="AC54" s="10" t="s">
        <v>349</v>
      </c>
      <c r="AD54">
        <f>AD52/AD53</f>
        <v>1.4556353653668064</v>
      </c>
      <c r="AE54" s="10" t="s">
        <v>3</v>
      </c>
      <c r="AF54" s="2"/>
      <c r="AI54" s="5"/>
      <c r="AJ54" s="10" t="s">
        <v>349</v>
      </c>
      <c r="AK54">
        <f>AK52/AK53</f>
        <v>0.9551526164393993</v>
      </c>
      <c r="AL54" s="10" t="s">
        <v>3</v>
      </c>
      <c r="AM54" s="2"/>
    </row>
    <row r="55" spans="2:39">
      <c r="B55" s="27" t="s">
        <v>337</v>
      </c>
      <c r="E55" s="125" t="s">
        <v>338</v>
      </c>
      <c r="F55" s="125" t="s">
        <v>339</v>
      </c>
      <c r="G55" s="125"/>
      <c r="H55" s="126"/>
      <c r="N55" s="5"/>
      <c r="O55" s="10" t="s">
        <v>365</v>
      </c>
      <c r="P55">
        <f>ABS(($D$10/2)-P54)</f>
        <v>7.2016567803570242E-2</v>
      </c>
      <c r="Q55" s="10" t="s">
        <v>3</v>
      </c>
      <c r="R55" s="2"/>
      <c r="U55" s="5"/>
      <c r="V55" s="10" t="s">
        <v>365</v>
      </c>
      <c r="W55">
        <f>ABS(($D$10/2)-W54)</f>
        <v>2.7598982607808464E-2</v>
      </c>
      <c r="X55" s="10" t="s">
        <v>3</v>
      </c>
      <c r="Y55" s="2"/>
      <c r="AB55" s="5"/>
      <c r="AC55" s="10" t="s">
        <v>365</v>
      </c>
      <c r="AD55">
        <f>ABS(($D$10/2)-AD54)</f>
        <v>5.6353653668064219E-3</v>
      </c>
      <c r="AE55" s="10" t="s">
        <v>3</v>
      </c>
      <c r="AF55" s="2"/>
      <c r="AI55" s="5"/>
      <c r="AJ55" s="10" t="s">
        <v>365</v>
      </c>
      <c r="AK55">
        <f>ABS(($D$10/2)-AK54)</f>
        <v>0.49484738356060065</v>
      </c>
      <c r="AL55" s="10" t="s">
        <v>3</v>
      </c>
      <c r="AM55" s="2"/>
    </row>
    <row r="56" spans="2:39" ht="15.75" thickBot="1">
      <c r="E56" s="125"/>
      <c r="F56" s="125" t="s">
        <v>222</v>
      </c>
      <c r="G56" s="125" t="s">
        <v>223</v>
      </c>
      <c r="H56" s="127" t="s">
        <v>344</v>
      </c>
      <c r="N56" s="7"/>
      <c r="O56" s="8"/>
      <c r="P56" s="8"/>
      <c r="Q56" s="8"/>
      <c r="R56" s="9"/>
      <c r="U56" s="7"/>
      <c r="V56" s="8"/>
      <c r="W56" s="8"/>
      <c r="X56" s="8"/>
      <c r="Y56" s="9"/>
      <c r="AB56" s="7"/>
      <c r="AC56" s="8"/>
      <c r="AD56" s="8"/>
      <c r="AE56" s="8"/>
      <c r="AF56" s="9"/>
      <c r="AI56" s="7"/>
      <c r="AJ56" s="8"/>
      <c r="AK56" s="8"/>
      <c r="AL56" s="8"/>
      <c r="AM56" s="9"/>
    </row>
    <row r="57" spans="2:39">
      <c r="E57" s="10" t="s">
        <v>340</v>
      </c>
      <c r="F57" s="6">
        <f>+P30</f>
        <v>334.06863493683693</v>
      </c>
      <c r="G57" s="6">
        <f>+P37</f>
        <v>98.134862209277145</v>
      </c>
      <c r="H57" s="115" t="str">
        <f>+IF(F57&gt;G57,"Cumple","No Cumple")</f>
        <v>Cumple</v>
      </c>
      <c r="J57" s="131"/>
    </row>
    <row r="58" spans="2:39">
      <c r="E58" s="10" t="s">
        <v>341</v>
      </c>
      <c r="F58" s="6">
        <f>+W30</f>
        <v>323.10442329122463</v>
      </c>
      <c r="G58" s="6">
        <f>+W37</f>
        <v>61.781146722084657</v>
      </c>
      <c r="H58" s="115" t="str">
        <f t="shared" ref="H58:H60" si="0">+IF(F58&gt;G58,"Cumple","No Cumple")</f>
        <v>Cumple</v>
      </c>
    </row>
    <row r="59" spans="2:39">
      <c r="E59" s="10" t="s">
        <v>342</v>
      </c>
      <c r="F59" s="6">
        <f>+AD30</f>
        <v>347.49419896845126</v>
      </c>
      <c r="G59" s="6">
        <f>+AD37</f>
        <v>77.813052445141011</v>
      </c>
      <c r="H59" s="115" t="str">
        <f t="shared" si="0"/>
        <v>Cumple</v>
      </c>
      <c r="J59" s="132"/>
    </row>
    <row r="60" spans="2:39">
      <c r="E60" s="10" t="s">
        <v>343</v>
      </c>
      <c r="F60" s="6">
        <f>+AK30</f>
        <v>286.98</v>
      </c>
      <c r="G60" s="6">
        <f>+AK37</f>
        <v>118.05486246978434</v>
      </c>
      <c r="H60" s="115" t="str">
        <f t="shared" si="0"/>
        <v>Cumple</v>
      </c>
    </row>
    <row r="61" spans="2:39">
      <c r="E61" s="1"/>
      <c r="F61" s="1"/>
      <c r="G61" s="1"/>
    </row>
    <row r="62" spans="2:39">
      <c r="E62" s="125" t="s">
        <v>338</v>
      </c>
      <c r="F62" s="125" t="s">
        <v>345</v>
      </c>
      <c r="G62" s="125"/>
      <c r="H62" s="126"/>
    </row>
    <row r="63" spans="2:39">
      <c r="E63" s="125"/>
      <c r="F63" s="125" t="s">
        <v>249</v>
      </c>
      <c r="G63" s="125" t="s">
        <v>250</v>
      </c>
      <c r="H63" s="127" t="s">
        <v>344</v>
      </c>
    </row>
    <row r="64" spans="2:39">
      <c r="E64" s="10" t="s">
        <v>340</v>
      </c>
      <c r="F64" s="6">
        <f>+P43*TAN('Capacidad de Carga'!$F$10)*0.85</f>
        <v>122.11768769820601</v>
      </c>
      <c r="G64" s="6">
        <f>+P50</f>
        <v>73.189311927080084</v>
      </c>
      <c r="H64" s="115" t="str">
        <f t="shared" ref="H64:H66" si="1">+IF(F64&gt;G64,"Cumple","No Cumple")</f>
        <v>Cumple</v>
      </c>
    </row>
    <row r="65" spans="5:8">
      <c r="E65" s="10" t="s">
        <v>341</v>
      </c>
      <c r="F65" s="6">
        <f>+W43*TAN('Capacidad de Carga'!$F$10)</f>
        <v>148.40038980008222</v>
      </c>
      <c r="G65" s="6">
        <f>+W50</f>
        <v>46.711677617615237</v>
      </c>
      <c r="H65" s="115" t="str">
        <f t="shared" si="1"/>
        <v>Cumple</v>
      </c>
    </row>
    <row r="66" spans="5:8">
      <c r="E66" s="10" t="s">
        <v>342</v>
      </c>
      <c r="F66" s="6">
        <f>+AD43*TAN('Capacidad de Carga'!$F$10)</f>
        <v>155.45744213637789</v>
      </c>
      <c r="G66" s="6">
        <f>+AD50</f>
        <v>63.575106595177921</v>
      </c>
      <c r="H66" s="115" t="str">
        <f t="shared" si="1"/>
        <v>Cumple</v>
      </c>
    </row>
    <row r="67" spans="5:8">
      <c r="E67" s="10" t="s">
        <v>343</v>
      </c>
      <c r="F67" s="6">
        <f>+AK43*TAN('Capacidad de Carga'!$F$10)</f>
        <v>148.40038980008222</v>
      </c>
      <c r="G67" s="6">
        <f>+AK50</f>
        <v>59.668086616300769</v>
      </c>
      <c r="H67" s="115" t="str">
        <f>+IF(F67&gt;G67,"Cumple","No Cumple")</f>
        <v>Cumple</v>
      </c>
    </row>
    <row r="69" spans="5:8">
      <c r="E69" s="125" t="s">
        <v>366</v>
      </c>
      <c r="F69" s="125" t="s">
        <v>365</v>
      </c>
      <c r="G69" s="125" t="s">
        <v>429</v>
      </c>
      <c r="H69" s="127" t="s">
        <v>344</v>
      </c>
    </row>
    <row r="70" spans="5:8">
      <c r="E70" s="10" t="s">
        <v>340</v>
      </c>
      <c r="F70" s="128">
        <f>P55</f>
        <v>7.2016567803570242E-2</v>
      </c>
      <c r="G70" s="6">
        <f>+$D$10/3</f>
        <v>0.96666666666666667</v>
      </c>
      <c r="H70" s="115" t="str">
        <f>IF(ABS(F70)&lt;G70,"cumple","no cumple")</f>
        <v>cumple</v>
      </c>
    </row>
    <row r="71" spans="5:8">
      <c r="E71" s="10" t="s">
        <v>341</v>
      </c>
      <c r="F71" s="128">
        <f>W55</f>
        <v>2.7598982607808464E-2</v>
      </c>
      <c r="G71" s="6">
        <f>+$D$10/3</f>
        <v>0.96666666666666667</v>
      </c>
      <c r="H71" s="115" t="str">
        <f>IF(ABS(F71)&lt;G71,"cumple","no cumple")</f>
        <v>cumple</v>
      </c>
    </row>
    <row r="72" spans="5:8">
      <c r="E72" s="10" t="s">
        <v>342</v>
      </c>
      <c r="F72" s="128">
        <f>AD55</f>
        <v>5.6353653668064219E-3</v>
      </c>
      <c r="G72" s="6">
        <f>+$D$10/3</f>
        <v>0.96666666666666667</v>
      </c>
      <c r="H72" s="115" t="str">
        <f>IF(ABS(F72)&lt;G72,"cumple","no cumple")</f>
        <v>cumple</v>
      </c>
    </row>
    <row r="73" spans="5:8">
      <c r="E73" s="10" t="s">
        <v>343</v>
      </c>
      <c r="F73" s="128">
        <f>AK55</f>
        <v>0.49484738356060065</v>
      </c>
      <c r="G73" s="6">
        <f>+$D$10/3</f>
        <v>0.96666666666666667</v>
      </c>
      <c r="H73" s="115" t="str">
        <f>IF(ABS(F73)&lt;G73,"cumple","no cumple")</f>
        <v>cumple</v>
      </c>
    </row>
  </sheetData>
  <mergeCells count="20">
    <mergeCell ref="E40:F40"/>
    <mergeCell ref="B43:B47"/>
    <mergeCell ref="AP12:AU12"/>
    <mergeCell ref="AP14:AU14"/>
    <mergeCell ref="AI14:AN14"/>
    <mergeCell ref="AI25:AM25"/>
    <mergeCell ref="AI39:AM39"/>
    <mergeCell ref="C2:H2"/>
    <mergeCell ref="C3:H3"/>
    <mergeCell ref="AB14:AG14"/>
    <mergeCell ref="AB25:AF25"/>
    <mergeCell ref="AB39:AF39"/>
    <mergeCell ref="N25:R25"/>
    <mergeCell ref="N14:S14"/>
    <mergeCell ref="N39:R39"/>
    <mergeCell ref="U14:Z14"/>
    <mergeCell ref="E14:L14"/>
    <mergeCell ref="U25:Y25"/>
    <mergeCell ref="U39:Y39"/>
    <mergeCell ref="E26:F2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525F0-A77A-4A41-8A36-B0634504EAC6}">
  <dimension ref="B1:P113"/>
  <sheetViews>
    <sheetView showGridLines="0" topLeftCell="B28" zoomScale="75" zoomScaleNormal="145" workbookViewId="0">
      <selection activeCell="H65" sqref="H65"/>
    </sheetView>
  </sheetViews>
  <sheetFormatPr baseColWidth="10" defaultColWidth="11.42578125" defaultRowHeight="15"/>
  <cols>
    <col min="1" max="1" width="11.42578125" style="1"/>
    <col min="2" max="2" width="49.85546875" style="1" customWidth="1"/>
    <col min="3" max="3" width="11.42578125" style="1"/>
    <col min="4" max="4" width="16.42578125" style="1" bestFit="1" customWidth="1"/>
    <col min="5" max="5" width="11.42578125" style="1"/>
    <col min="6" max="6" width="12.7109375" style="1" bestFit="1" customWidth="1"/>
    <col min="7" max="7" width="17.7109375" style="1" bestFit="1" customWidth="1"/>
    <col min="8" max="8" width="20.85546875" style="1" customWidth="1"/>
    <col min="9" max="11" width="22.140625" style="1" customWidth="1"/>
    <col min="12" max="15" width="19.85546875" style="1" customWidth="1"/>
    <col min="16" max="16384" width="11.42578125" style="1"/>
  </cols>
  <sheetData>
    <row r="1" spans="2:9" ht="15.75" thickBot="1"/>
    <row r="2" spans="2:9" customFormat="1">
      <c r="C2" s="251" t="s">
        <v>319</v>
      </c>
      <c r="D2" s="252"/>
      <c r="E2" s="252"/>
      <c r="F2" s="252"/>
      <c r="G2" s="252"/>
      <c r="H2" s="253"/>
    </row>
    <row r="3" spans="2:9" customFormat="1" ht="39" customHeight="1" thickBot="1">
      <c r="C3" s="280" t="s">
        <v>562</v>
      </c>
      <c r="D3" s="299"/>
      <c r="E3" s="299"/>
      <c r="F3" s="299"/>
      <c r="G3" s="299"/>
      <c r="H3" s="300"/>
    </row>
    <row r="4" spans="2:9" ht="15.75" thickBot="1"/>
    <row r="5" spans="2:9" ht="15.75" thickBot="1">
      <c r="C5" s="227" t="s">
        <v>428</v>
      </c>
      <c r="D5" s="228"/>
      <c r="E5" s="228"/>
      <c r="F5" s="228"/>
      <c r="G5" s="228"/>
      <c r="H5" s="229"/>
    </row>
    <row r="7" spans="2:9">
      <c r="C7" s="10" t="s">
        <v>7</v>
      </c>
      <c r="D7" s="6">
        <f>+Fuerzas!K7</f>
        <v>0.6</v>
      </c>
      <c r="E7" s="10" t="str">
        <f>+Fuerzas!L7</f>
        <v>[m]</v>
      </c>
    </row>
    <row r="8" spans="2:9">
      <c r="C8" s="12" t="s">
        <v>265</v>
      </c>
      <c r="D8" s="6">
        <f>+Fuerzas!R14</f>
        <v>2.9</v>
      </c>
      <c r="E8" s="12" t="str">
        <f>+Fuerzas!S14</f>
        <v>[m]</v>
      </c>
    </row>
    <row r="9" spans="2:9">
      <c r="B9" s="301"/>
      <c r="C9" s="12"/>
      <c r="D9" s="6">
        <f>Input!C107</f>
        <v>1</v>
      </c>
      <c r="E9" s="12" t="s">
        <v>6</v>
      </c>
    </row>
    <row r="10" spans="2:9">
      <c r="B10" s="301"/>
      <c r="C10" s="10"/>
      <c r="D10" s="6">
        <f>Input!C108</f>
        <v>40</v>
      </c>
      <c r="E10" s="10" t="s">
        <v>4</v>
      </c>
      <c r="F10" s="6">
        <f>RADIANS(D10)</f>
        <v>0.69813170079773179</v>
      </c>
      <c r="G10" s="10" t="s">
        <v>5</v>
      </c>
    </row>
    <row r="11" spans="2:9">
      <c r="B11" s="301"/>
      <c r="C11" s="10"/>
      <c r="D11" s="6">
        <f>Input!C109</f>
        <v>18</v>
      </c>
      <c r="E11" s="10" t="s">
        <v>9</v>
      </c>
    </row>
    <row r="12" spans="2:9" ht="15.75" thickBot="1"/>
    <row r="13" spans="2:9" ht="15.75" thickBot="1">
      <c r="B13" s="18" t="s">
        <v>17</v>
      </c>
    </row>
    <row r="14" spans="2:9" ht="15.75" thickBot="1"/>
    <row r="15" spans="2:9" ht="15.75" thickBot="1">
      <c r="D15" s="297" t="s">
        <v>347</v>
      </c>
      <c r="E15" s="298"/>
      <c r="F15" s="298"/>
      <c r="G15" s="298"/>
      <c r="H15" s="298"/>
      <c r="I15" s="298"/>
    </row>
    <row r="16" spans="2:9" ht="15.75" thickBot="1">
      <c r="D16"/>
      <c r="E16"/>
      <c r="F16"/>
      <c r="G16"/>
      <c r="H16"/>
      <c r="I16"/>
    </row>
    <row r="17" spans="2:16" ht="15.75" thickBot="1">
      <c r="D17" s="291" t="s">
        <v>328</v>
      </c>
      <c r="E17" s="292"/>
      <c r="F17" s="292"/>
      <c r="G17" s="292"/>
      <c r="H17" s="292"/>
      <c r="I17" s="293"/>
    </row>
    <row r="18" spans="2:16">
      <c r="D18" s="123" t="s">
        <v>327</v>
      </c>
      <c r="E18" s="74" t="s">
        <v>325</v>
      </c>
      <c r="F18" s="74" t="s">
        <v>329</v>
      </c>
      <c r="G18" s="74" t="s">
        <v>207</v>
      </c>
      <c r="H18" s="74" t="s">
        <v>210</v>
      </c>
      <c r="I18" s="75" t="s">
        <v>211</v>
      </c>
    </row>
    <row r="19" spans="2:16" ht="18">
      <c r="D19" s="120" t="s">
        <v>320</v>
      </c>
      <c r="E19" s="118">
        <v>1.5</v>
      </c>
      <c r="F19" s="46" t="s">
        <v>220</v>
      </c>
      <c r="G19" s="6">
        <f>LFRD!AS16</f>
        <v>54.631421261501615</v>
      </c>
      <c r="H19" s="82">
        <f>LFRD!AT16</f>
        <v>59.892867326226025</v>
      </c>
      <c r="I19" s="84">
        <f>LFRD!AU16</f>
        <v>54.18663493683691</v>
      </c>
    </row>
    <row r="20" spans="2:16" ht="18">
      <c r="D20" s="120" t="s">
        <v>320</v>
      </c>
      <c r="E20" s="118">
        <v>1.5</v>
      </c>
      <c r="F20" s="46" t="s">
        <v>219</v>
      </c>
      <c r="G20" s="6">
        <f>LFRD!AS17</f>
        <v>0</v>
      </c>
      <c r="H20" s="99">
        <f>LFRD!AT17</f>
        <v>0</v>
      </c>
      <c r="I20" s="73" t="str">
        <f>LFRD!AU17</f>
        <v>-</v>
      </c>
    </row>
    <row r="21" spans="2:16" ht="18">
      <c r="D21" s="120" t="s">
        <v>321</v>
      </c>
      <c r="E21" s="118">
        <v>0</v>
      </c>
      <c r="F21" s="46" t="s">
        <v>628</v>
      </c>
      <c r="G21" s="6">
        <f>LFRD!AS18</f>
        <v>0</v>
      </c>
      <c r="H21" s="82">
        <f>LFRD!AT18</f>
        <v>0</v>
      </c>
      <c r="I21" s="73" t="str">
        <f>LFRD!AU18</f>
        <v>-</v>
      </c>
    </row>
    <row r="22" spans="2:16">
      <c r="D22" s="120" t="s">
        <v>322</v>
      </c>
      <c r="E22" s="118">
        <v>1.75</v>
      </c>
      <c r="F22" s="46" t="s">
        <v>213</v>
      </c>
      <c r="G22" s="6">
        <f>LFRD!AS19</f>
        <v>12</v>
      </c>
      <c r="H22" s="82" t="str">
        <f>LFRD!AT19</f>
        <v>-</v>
      </c>
      <c r="I22" s="84">
        <f>G22*E22*LFRD!J19</f>
        <v>42</v>
      </c>
    </row>
    <row r="23" spans="2:16">
      <c r="D23" s="117" t="s">
        <v>625</v>
      </c>
      <c r="E23" s="118">
        <v>1.35</v>
      </c>
      <c r="F23" s="46" t="s">
        <v>624</v>
      </c>
      <c r="G23" s="6">
        <f>LFRD!AS20</f>
        <v>145.80000000000001</v>
      </c>
      <c r="H23" s="6" t="str">
        <f>LFRD!AT20</f>
        <v xml:space="preserve"> </v>
      </c>
      <c r="I23" s="84">
        <f>LFRD!AU20</f>
        <v>291.60000000000002</v>
      </c>
    </row>
    <row r="24" spans="2:16">
      <c r="D24" s="120" t="s">
        <v>621</v>
      </c>
      <c r="E24" s="118">
        <v>1.25</v>
      </c>
      <c r="F24" s="46" t="s">
        <v>237</v>
      </c>
      <c r="G24" s="6">
        <f>LFRD!AS21</f>
        <v>70.499999999999986</v>
      </c>
      <c r="H24" s="6" t="str">
        <f>LFRD!AT21</f>
        <v>-</v>
      </c>
      <c r="I24" s="84">
        <f>LFRD!AU21</f>
        <v>88.724999999999994</v>
      </c>
    </row>
    <row r="25" spans="2:16">
      <c r="D25" s="120" t="s">
        <v>326</v>
      </c>
      <c r="E25" s="118">
        <v>0</v>
      </c>
      <c r="F25" s="46" t="s">
        <v>268</v>
      </c>
      <c r="G25" s="6">
        <f>LFRD!AS22</f>
        <v>0</v>
      </c>
      <c r="H25" s="82">
        <f>LFRD!AT22</f>
        <v>0</v>
      </c>
      <c r="I25" s="73" t="str">
        <f>LFRD!AU22</f>
        <v>-</v>
      </c>
    </row>
    <row r="26" spans="2:16" ht="15.75" thickBot="1">
      <c r="D26" s="121" t="s">
        <v>323</v>
      </c>
      <c r="E26" s="124">
        <v>1</v>
      </c>
      <c r="F26" s="122" t="s">
        <v>214</v>
      </c>
      <c r="G26" s="79">
        <f>LFRD!AS23</f>
        <v>0</v>
      </c>
      <c r="H26" s="83">
        <f>LFRD!AT23</f>
        <v>0</v>
      </c>
      <c r="I26" s="80" t="str">
        <f>LFRD!AU23</f>
        <v>-</v>
      </c>
    </row>
    <row r="28" spans="2:16" ht="16.5" thickBot="1">
      <c r="M28" s="209" t="s">
        <v>647</v>
      </c>
    </row>
    <row r="29" spans="2:16" ht="30">
      <c r="B29" s="53" t="s">
        <v>401</v>
      </c>
      <c r="D29" s="258" t="s">
        <v>357</v>
      </c>
      <c r="E29" s="259"/>
      <c r="F29" s="259"/>
      <c r="G29" s="259"/>
      <c r="H29" s="260"/>
      <c r="M29" s="129" t="s">
        <v>359</v>
      </c>
      <c r="N29" s="129"/>
      <c r="O29" s="129"/>
      <c r="P29" s="129"/>
    </row>
    <row r="30" spans="2:16">
      <c r="D30" s="5"/>
      <c r="H30" s="2"/>
      <c r="M30" s="207" t="s">
        <v>352</v>
      </c>
      <c r="N30" s="207" t="s">
        <v>360</v>
      </c>
      <c r="O30" s="207" t="s">
        <v>361</v>
      </c>
      <c r="P30" s="207" t="s">
        <v>362</v>
      </c>
    </row>
    <row r="31" spans="2:16">
      <c r="D31" s="5"/>
      <c r="H31" s="2"/>
      <c r="M31" s="208">
        <v>0</v>
      </c>
      <c r="N31" s="6">
        <v>5.14</v>
      </c>
      <c r="O31" s="6">
        <v>1</v>
      </c>
      <c r="P31" s="6">
        <v>0</v>
      </c>
    </row>
    <row r="32" spans="2:16">
      <c r="D32" s="5"/>
      <c r="H32" s="2"/>
      <c r="M32" s="208">
        <v>1</v>
      </c>
      <c r="N32" s="6">
        <v>5.38</v>
      </c>
      <c r="O32" s="6">
        <v>1.0900000000000001</v>
      </c>
      <c r="P32" s="6">
        <v>7.0000000000000007E-2</v>
      </c>
    </row>
    <row r="33" spans="2:16">
      <c r="D33" s="5"/>
      <c r="H33" s="2"/>
      <c r="M33" s="208">
        <v>2</v>
      </c>
      <c r="N33" s="6">
        <v>5.63</v>
      </c>
      <c r="O33" s="6">
        <v>1.2</v>
      </c>
      <c r="P33" s="6">
        <v>0.15</v>
      </c>
    </row>
    <row r="34" spans="2:16">
      <c r="D34" s="5"/>
      <c r="H34" s="2"/>
      <c r="M34" s="208">
        <v>3</v>
      </c>
      <c r="N34" s="6">
        <v>5.9</v>
      </c>
      <c r="O34" s="6">
        <v>1.31</v>
      </c>
      <c r="P34" s="6">
        <v>0.24</v>
      </c>
    </row>
    <row r="35" spans="2:16">
      <c r="D35" s="5"/>
      <c r="E35" s="10" t="s">
        <v>348</v>
      </c>
      <c r="F35" s="6">
        <f>I22+I19+I23+I24-H19</f>
        <v>416.61876761061092</v>
      </c>
      <c r="G35" s="10" t="s">
        <v>153</v>
      </c>
      <c r="H35" s="2"/>
      <c r="M35" s="208"/>
      <c r="N35" s="6"/>
      <c r="O35" s="6"/>
      <c r="P35" s="6"/>
    </row>
    <row r="36" spans="2:16">
      <c r="D36" s="5"/>
      <c r="E36" s="10" t="s">
        <v>633</v>
      </c>
      <c r="F36" s="6">
        <f>G19*SIN(LFRD!D5+LFRD!D6)+G23+G22+G24</f>
        <v>246.98504652994376</v>
      </c>
      <c r="G36" s="10" t="s">
        <v>88</v>
      </c>
      <c r="H36" s="2"/>
      <c r="M36" s="208">
        <v>4</v>
      </c>
      <c r="N36" s="6">
        <v>6.19</v>
      </c>
      <c r="O36" s="6">
        <v>1.43</v>
      </c>
      <c r="P36" s="6">
        <v>0.34</v>
      </c>
    </row>
    <row r="37" spans="2:16">
      <c r="B37" s="15"/>
      <c r="D37" s="5"/>
      <c r="E37" s="10" t="s">
        <v>350</v>
      </c>
      <c r="F37" s="6">
        <f>F39/2-F38</f>
        <v>-0.23681777890590339</v>
      </c>
      <c r="G37" s="10" t="s">
        <v>3</v>
      </c>
      <c r="H37" s="2"/>
      <c r="M37" s="208">
        <v>5</v>
      </c>
      <c r="N37" s="6">
        <v>6.49</v>
      </c>
      <c r="O37" s="6">
        <v>1.57</v>
      </c>
      <c r="P37" s="6">
        <v>0.45</v>
      </c>
    </row>
    <row r="38" spans="2:16">
      <c r="B38" s="15"/>
      <c r="D38" s="5"/>
      <c r="E38" s="10" t="s">
        <v>349</v>
      </c>
      <c r="F38" s="6">
        <f>F35/F36</f>
        <v>1.6868177789059033</v>
      </c>
      <c r="G38" s="10"/>
      <c r="H38" s="2"/>
      <c r="M38" s="208"/>
      <c r="N38" s="6"/>
      <c r="O38" s="6"/>
      <c r="P38" s="6"/>
    </row>
    <row r="39" spans="2:16">
      <c r="B39" s="15"/>
      <c r="D39" s="5"/>
      <c r="E39" s="10" t="s">
        <v>265</v>
      </c>
      <c r="F39" s="6">
        <f>LFRD!D10</f>
        <v>2.9</v>
      </c>
      <c r="G39" s="10" t="s">
        <v>3</v>
      </c>
      <c r="H39" s="2"/>
      <c r="M39" s="208">
        <v>6</v>
      </c>
      <c r="N39" s="6">
        <v>6.81</v>
      </c>
      <c r="O39" s="6">
        <v>1.72</v>
      </c>
      <c r="P39" s="6">
        <v>0.56999999999999995</v>
      </c>
    </row>
    <row r="40" spans="2:16">
      <c r="B40" s="14"/>
      <c r="D40" s="5"/>
      <c r="E40" s="10" t="s">
        <v>635</v>
      </c>
      <c r="F40" s="6">
        <f>F36/(F39-(2*F37))</f>
        <v>73.210351947482479</v>
      </c>
      <c r="G40" s="10" t="s">
        <v>671</v>
      </c>
      <c r="H40" s="2"/>
      <c r="M40" s="208">
        <v>7</v>
      </c>
      <c r="N40" s="6">
        <v>7.16</v>
      </c>
      <c r="O40" s="6">
        <v>1.88</v>
      </c>
      <c r="P40" s="6">
        <v>0.71</v>
      </c>
    </row>
    <row r="41" spans="2:16">
      <c r="B41" s="53"/>
      <c r="D41" s="5"/>
      <c r="H41" s="2"/>
      <c r="M41" s="208">
        <v>8</v>
      </c>
      <c r="N41" s="6">
        <v>7.53</v>
      </c>
      <c r="O41" s="6">
        <v>2.06</v>
      </c>
      <c r="P41" s="6">
        <v>0.86</v>
      </c>
    </row>
    <row r="42" spans="2:16">
      <c r="B42" s="14"/>
      <c r="D42" s="5"/>
      <c r="E42" s="303" t="s">
        <v>634</v>
      </c>
      <c r="F42" s="303"/>
      <c r="G42" s="303"/>
      <c r="H42" s="2"/>
      <c r="M42" s="208">
        <v>9</v>
      </c>
      <c r="N42" s="6">
        <v>7.92</v>
      </c>
      <c r="O42" s="6">
        <v>2.25</v>
      </c>
      <c r="P42" s="6">
        <v>1.03</v>
      </c>
    </row>
    <row r="43" spans="2:16">
      <c r="B43" s="14"/>
      <c r="D43" s="5"/>
      <c r="E43" s="10" t="s">
        <v>358</v>
      </c>
      <c r="F43" s="6">
        <f>LFRD!F22+LFRD!F21+LFRD!H16</f>
        <v>176.85669768662916</v>
      </c>
      <c r="G43" s="10" t="s">
        <v>88</v>
      </c>
      <c r="H43" s="2"/>
      <c r="M43" s="208">
        <v>10</v>
      </c>
      <c r="N43" s="6">
        <v>8.35</v>
      </c>
      <c r="O43" s="6">
        <v>2.4700000000000002</v>
      </c>
      <c r="P43" s="6">
        <v>1.22</v>
      </c>
    </row>
    <row r="44" spans="2:16">
      <c r="B44" s="14"/>
      <c r="D44" s="5"/>
      <c r="E44" s="10" t="s">
        <v>348</v>
      </c>
      <c r="F44" s="6">
        <f>LFRD!G31-LFRD!G33-LFRD!G35</f>
        <v>261.32327656913998</v>
      </c>
      <c r="G44" s="10" t="s">
        <v>153</v>
      </c>
      <c r="H44" s="2"/>
      <c r="M44" s="208">
        <v>11</v>
      </c>
      <c r="N44" s="6">
        <v>8.8000000000000007</v>
      </c>
      <c r="O44" s="6">
        <v>2.71</v>
      </c>
      <c r="P44" s="6">
        <v>1.44</v>
      </c>
    </row>
    <row r="45" spans="2:16">
      <c r="B45" s="14"/>
      <c r="D45" s="5"/>
      <c r="E45" s="10" t="s">
        <v>349</v>
      </c>
      <c r="F45" s="6">
        <f>+F44/F43</f>
        <v>1.4775989826078084</v>
      </c>
      <c r="G45" s="10" t="s">
        <v>3</v>
      </c>
      <c r="H45" s="2"/>
      <c r="M45" s="208">
        <v>12</v>
      </c>
      <c r="N45" s="6">
        <v>9.2799999999999994</v>
      </c>
      <c r="O45" s="6">
        <v>2.97</v>
      </c>
      <c r="P45" s="6">
        <v>1.69</v>
      </c>
    </row>
    <row r="46" spans="2:16">
      <c r="B46" s="14"/>
      <c r="D46" s="5"/>
      <c r="E46" s="10" t="s">
        <v>350</v>
      </c>
      <c r="F46" s="6">
        <f>ABS($D$8/2-F45)</f>
        <v>2.7598982607808464E-2</v>
      </c>
      <c r="G46" s="10" t="s">
        <v>3</v>
      </c>
      <c r="H46" s="2"/>
      <c r="M46" s="208">
        <v>13</v>
      </c>
      <c r="N46" s="6">
        <v>9.81</v>
      </c>
      <c r="O46" s="6">
        <v>3.26</v>
      </c>
      <c r="P46" s="6">
        <v>1.97</v>
      </c>
    </row>
    <row r="47" spans="2:16">
      <c r="B47" s="14"/>
      <c r="D47" s="5"/>
      <c r="E47" s="10" t="s">
        <v>351</v>
      </c>
      <c r="F47" s="6">
        <f>+$D$8/3</f>
        <v>0.96666666666666667</v>
      </c>
      <c r="G47" s="10"/>
      <c r="H47" s="2"/>
      <c r="M47" s="208">
        <v>14</v>
      </c>
      <c r="N47" s="6">
        <v>10.37</v>
      </c>
      <c r="O47" s="6">
        <v>3.59</v>
      </c>
      <c r="P47" s="6">
        <v>2.29</v>
      </c>
    </row>
    <row r="48" spans="2:16">
      <c r="B48" s="53"/>
      <c r="D48" s="5"/>
      <c r="H48" s="2"/>
      <c r="M48" s="208">
        <v>15</v>
      </c>
      <c r="N48" s="6">
        <v>10.98</v>
      </c>
      <c r="O48" s="6">
        <v>3.94</v>
      </c>
      <c r="P48" s="6">
        <v>2.65</v>
      </c>
    </row>
    <row r="49" spans="2:16">
      <c r="B49" s="53"/>
      <c r="D49" s="5"/>
      <c r="H49" s="2"/>
      <c r="M49" s="208">
        <v>16</v>
      </c>
      <c r="N49" s="6">
        <v>11.63</v>
      </c>
      <c r="O49" s="6">
        <v>4.34</v>
      </c>
      <c r="P49" s="6">
        <v>3.06</v>
      </c>
    </row>
    <row r="50" spans="2:16">
      <c r="B50" s="14"/>
      <c r="D50" s="5"/>
      <c r="H50" s="2"/>
      <c r="M50" s="208">
        <v>17</v>
      </c>
      <c r="N50" s="6">
        <v>12.34</v>
      </c>
      <c r="O50" s="6">
        <v>4.7699999999999996</v>
      </c>
      <c r="P50" s="6">
        <v>3.53</v>
      </c>
    </row>
    <row r="51" spans="2:16">
      <c r="D51" s="5"/>
      <c r="E51" s="10" t="s">
        <v>352</v>
      </c>
      <c r="F51" s="6">
        <f>Input!C108</f>
        <v>40</v>
      </c>
      <c r="G51" s="10" t="s">
        <v>4</v>
      </c>
      <c r="H51" s="2"/>
      <c r="M51" s="208">
        <v>18</v>
      </c>
      <c r="N51" s="4">
        <v>13.1</v>
      </c>
      <c r="O51" s="6">
        <v>5.26</v>
      </c>
      <c r="P51" s="6">
        <v>4.07</v>
      </c>
    </row>
    <row r="52" spans="2:16">
      <c r="D52" s="5"/>
      <c r="E52" s="10" t="s">
        <v>409</v>
      </c>
      <c r="F52" s="6">
        <f>Input!C107</f>
        <v>1</v>
      </c>
      <c r="G52" s="10" t="s">
        <v>6</v>
      </c>
      <c r="H52" s="2"/>
      <c r="M52" s="208">
        <v>19</v>
      </c>
      <c r="N52" s="4">
        <v>13.93</v>
      </c>
      <c r="O52" s="6">
        <v>5.8</v>
      </c>
      <c r="P52" s="6">
        <v>4.68</v>
      </c>
    </row>
    <row r="53" spans="2:16">
      <c r="D53" s="5"/>
      <c r="E53" s="10" t="s">
        <v>644</v>
      </c>
      <c r="F53" s="6">
        <f>Input!C109</f>
        <v>18</v>
      </c>
      <c r="G53" s="10" t="s">
        <v>654</v>
      </c>
      <c r="H53" s="2"/>
      <c r="I53" s="13" t="s">
        <v>649</v>
      </c>
      <c r="M53" s="208">
        <v>20</v>
      </c>
      <c r="N53" s="6">
        <v>14.83</v>
      </c>
      <c r="O53" s="6">
        <v>6.4</v>
      </c>
      <c r="P53" s="6">
        <v>5.39</v>
      </c>
    </row>
    <row r="54" spans="2:16">
      <c r="D54" s="5"/>
      <c r="E54" s="10" t="s">
        <v>565</v>
      </c>
      <c r="F54" s="6">
        <f>D7</f>
        <v>0.6</v>
      </c>
      <c r="G54" s="10" t="s">
        <v>3</v>
      </c>
      <c r="H54" s="2"/>
      <c r="M54" s="208">
        <v>21</v>
      </c>
      <c r="N54" s="6">
        <v>15.82</v>
      </c>
      <c r="O54" s="6">
        <v>7.07</v>
      </c>
      <c r="P54" s="6">
        <v>6.2</v>
      </c>
    </row>
    <row r="55" spans="2:16">
      <c r="D55" s="5"/>
      <c r="E55" s="10" t="s">
        <v>646</v>
      </c>
      <c r="F55" s="6">
        <f>(D8/2)-2*F46</f>
        <v>1.394802034784383</v>
      </c>
      <c r="G55" s="10" t="s">
        <v>3</v>
      </c>
      <c r="H55" s="2"/>
      <c r="M55" s="208">
        <v>22</v>
      </c>
      <c r="N55" s="6">
        <v>16.88</v>
      </c>
      <c r="O55" s="6">
        <v>7.82</v>
      </c>
      <c r="P55" s="6">
        <v>7.13</v>
      </c>
    </row>
    <row r="56" spans="2:16">
      <c r="D56" s="5"/>
      <c r="E56" s="10" t="s">
        <v>355</v>
      </c>
      <c r="F56" s="6">
        <f>+$D$8-2*F46</f>
        <v>2.844802034784383</v>
      </c>
      <c r="G56" s="10" t="s">
        <v>3</v>
      </c>
      <c r="H56" s="2"/>
      <c r="M56" s="208">
        <v>23</v>
      </c>
      <c r="N56" s="6">
        <v>18.05</v>
      </c>
      <c r="O56" s="6">
        <v>8.66</v>
      </c>
      <c r="P56" s="6">
        <v>8.1999999999999993</v>
      </c>
    </row>
    <row r="57" spans="2:16">
      <c r="D57" s="5"/>
      <c r="E57" s="10" t="s">
        <v>353</v>
      </c>
      <c r="F57" s="6">
        <f>VLOOKUP(F51,$M$30:$P$78,2,FALSE)</f>
        <v>75.31</v>
      </c>
      <c r="G57" s="10"/>
      <c r="H57" s="2"/>
      <c r="M57" s="208">
        <v>24</v>
      </c>
      <c r="N57" s="6">
        <v>19.32</v>
      </c>
      <c r="O57" s="6">
        <v>9.6</v>
      </c>
      <c r="P57" s="6">
        <v>9.44</v>
      </c>
    </row>
    <row r="58" spans="2:16">
      <c r="D58" s="5"/>
      <c r="E58" s="10" t="s">
        <v>354</v>
      </c>
      <c r="F58" s="6">
        <f>VLOOKUP(F51,$M$30:$P$78,3,FALSE)</f>
        <v>64.2</v>
      </c>
      <c r="G58" s="10"/>
      <c r="H58" s="2"/>
      <c r="M58" s="208">
        <v>25</v>
      </c>
      <c r="N58" s="6">
        <v>20.72</v>
      </c>
      <c r="O58" s="6">
        <v>10.66</v>
      </c>
      <c r="P58" s="6">
        <v>10.88</v>
      </c>
    </row>
    <row r="59" spans="2:16">
      <c r="D59" s="5"/>
      <c r="E59" s="10" t="s">
        <v>653</v>
      </c>
      <c r="F59" s="6">
        <f>VLOOKUP(F51,$M$30:$P$78,4,FALSE)</f>
        <v>109.41</v>
      </c>
      <c r="G59" s="10"/>
      <c r="H59" s="2"/>
      <c r="M59" s="208">
        <v>26</v>
      </c>
      <c r="N59" s="6">
        <v>22.25</v>
      </c>
      <c r="O59" s="6">
        <v>11.85</v>
      </c>
      <c r="P59" s="6">
        <v>12.54</v>
      </c>
    </row>
    <row r="60" spans="2:16">
      <c r="D60" s="5"/>
      <c r="E60" s="10" t="s">
        <v>636</v>
      </c>
      <c r="F60" s="6">
        <f>1+(F56/F55)*(F58/F57)</f>
        <v>2.7386888062480028</v>
      </c>
      <c r="G60" s="10"/>
      <c r="H60" s="2"/>
      <c r="M60" s="208">
        <v>27</v>
      </c>
      <c r="N60" s="6">
        <v>23.94</v>
      </c>
      <c r="O60" s="6">
        <v>13.2</v>
      </c>
      <c r="P60" s="6">
        <v>14.47</v>
      </c>
    </row>
    <row r="61" spans="2:16">
      <c r="D61" s="5"/>
      <c r="E61" s="10" t="s">
        <v>637</v>
      </c>
      <c r="F61" s="6">
        <f>1-0.4*(F56/F55)</f>
        <v>0.18417038007141995</v>
      </c>
      <c r="G61" s="10"/>
      <c r="H61" s="2"/>
      <c r="M61" s="208">
        <v>28</v>
      </c>
      <c r="N61" s="6">
        <v>25.8</v>
      </c>
      <c r="O61" s="6">
        <v>14.72</v>
      </c>
      <c r="P61" s="6">
        <v>16.72</v>
      </c>
    </row>
    <row r="62" spans="2:16">
      <c r="D62" s="5"/>
      <c r="E62" s="10" t="s">
        <v>638</v>
      </c>
      <c r="F62" s="6">
        <f>1+((F56/F55)*TAN(RADIANS(F51)))</f>
        <v>2.7114058329639299</v>
      </c>
      <c r="G62" s="10"/>
      <c r="H62" s="2"/>
      <c r="M62" s="208">
        <v>29</v>
      </c>
      <c r="N62" s="6">
        <v>27.86</v>
      </c>
      <c r="O62" s="6">
        <v>16.440000000000001</v>
      </c>
      <c r="P62" s="6">
        <v>19.34</v>
      </c>
    </row>
    <row r="63" spans="2:16">
      <c r="D63" s="5"/>
      <c r="E63" s="10" t="s">
        <v>639</v>
      </c>
      <c r="F63" s="45">
        <v>1</v>
      </c>
      <c r="G63" s="10"/>
      <c r="H63" s="2"/>
      <c r="M63" s="208">
        <v>30</v>
      </c>
      <c r="N63" s="6">
        <v>30.14</v>
      </c>
      <c r="O63" s="6">
        <v>18.399999999999999</v>
      </c>
      <c r="P63" s="6">
        <v>22.4</v>
      </c>
    </row>
    <row r="64" spans="2:16">
      <c r="D64" s="5"/>
      <c r="E64" s="10" t="s">
        <v>640</v>
      </c>
      <c r="F64" s="45">
        <v>1</v>
      </c>
      <c r="G64" s="10"/>
      <c r="H64" s="2"/>
      <c r="I64" s="13" t="s">
        <v>648</v>
      </c>
      <c r="M64" s="208">
        <v>31</v>
      </c>
      <c r="N64" s="6">
        <v>32.67</v>
      </c>
      <c r="O64" s="6">
        <v>20.63</v>
      </c>
      <c r="P64" s="6">
        <v>25.99</v>
      </c>
    </row>
    <row r="65" spans="2:16">
      <c r="D65" s="5"/>
      <c r="E65" s="10" t="s">
        <v>641</v>
      </c>
      <c r="F65" s="6">
        <f>F67-((1-F67)/(F58-1))</f>
        <v>0.80947243310317052</v>
      </c>
      <c r="G65" s="10"/>
      <c r="H65" s="2"/>
      <c r="M65" s="208">
        <v>32</v>
      </c>
      <c r="N65" s="6">
        <v>35.49</v>
      </c>
      <c r="O65" s="6">
        <v>23.18</v>
      </c>
      <c r="P65" s="6">
        <v>30.22</v>
      </c>
    </row>
    <row r="66" spans="2:16">
      <c r="D66" s="5"/>
      <c r="E66" s="10" t="s">
        <v>642</v>
      </c>
      <c r="F66" s="6">
        <f>(1-((G19/E19)/(F36+F52*F56*F55*_xlfn.COT(RADIANS(F51)))))^(F68+1)</f>
        <v>0.6948866669431123</v>
      </c>
      <c r="G66" s="10"/>
      <c r="H66" s="2"/>
      <c r="M66" s="208">
        <v>33</v>
      </c>
      <c r="N66" s="6">
        <v>38.64</v>
      </c>
      <c r="O66" s="6">
        <v>26.09</v>
      </c>
      <c r="P66" s="6">
        <v>35.19</v>
      </c>
    </row>
    <row r="67" spans="2:16">
      <c r="D67" s="5"/>
      <c r="E67" s="10" t="s">
        <v>643</v>
      </c>
      <c r="F67" s="6">
        <f>(1-((G19/E19)/(F36+F52*F56*F55*_xlfn.COT(RADIANS(F51)))))^(F68)</f>
        <v>0.81244015221371302</v>
      </c>
      <c r="G67" s="10"/>
      <c r="H67" s="2"/>
      <c r="M67" s="208">
        <v>34</v>
      </c>
      <c r="N67" s="6">
        <v>42.16</v>
      </c>
      <c r="O67" s="6">
        <v>29.44</v>
      </c>
      <c r="P67" s="6">
        <v>41.06</v>
      </c>
    </row>
    <row r="68" spans="2:16">
      <c r="D68" s="5"/>
      <c r="E68" s="10" t="s">
        <v>650</v>
      </c>
      <c r="F68" s="6">
        <f>((2+F55/F56)/(1+F55/F56))*COS(RADIANS(90))^2+((2+F56/F55)/(1+F56/F55))*SIN(RADIANS(90))^2</f>
        <v>1.3289934654030691</v>
      </c>
      <c r="G68" s="10"/>
      <c r="H68" s="2"/>
      <c r="M68" s="208">
        <v>35</v>
      </c>
      <c r="N68" s="6">
        <v>46.12</v>
      </c>
      <c r="O68" s="6">
        <v>33.299999999999997</v>
      </c>
      <c r="P68" s="6">
        <v>48.03</v>
      </c>
    </row>
    <row r="69" spans="2:16">
      <c r="D69" s="5"/>
      <c r="E69" s="10" t="s">
        <v>651</v>
      </c>
      <c r="F69" s="6">
        <v>1</v>
      </c>
      <c r="G69" s="10"/>
      <c r="H69" s="2"/>
      <c r="M69" s="208">
        <v>36</v>
      </c>
      <c r="N69" s="6">
        <v>50.59</v>
      </c>
      <c r="O69" s="6">
        <v>37.75</v>
      </c>
      <c r="P69" s="6">
        <v>56.31</v>
      </c>
    </row>
    <row r="70" spans="2:16">
      <c r="B70" s="1" t="s">
        <v>652</v>
      </c>
      <c r="D70" s="5"/>
      <c r="E70" s="10" t="s">
        <v>645</v>
      </c>
      <c r="F70" s="6">
        <f>F52*F57*F60*F65+F53*F54*F58*F61*F69*F67*F63+0.5*F53*F56*F59*F62*F66*F64</f>
        <v>5548.5868137638754</v>
      </c>
      <c r="G70" s="10" t="s">
        <v>6</v>
      </c>
      <c r="H70" s="2"/>
      <c r="M70" s="208">
        <v>37</v>
      </c>
      <c r="N70" s="6">
        <v>55.63</v>
      </c>
      <c r="O70" s="6">
        <v>42.92</v>
      </c>
      <c r="P70" s="6">
        <v>66.19</v>
      </c>
    </row>
    <row r="71" spans="2:16">
      <c r="D71" s="5"/>
      <c r="H71" s="2"/>
      <c r="M71" s="208">
        <v>38</v>
      </c>
      <c r="N71" s="6">
        <v>61.35</v>
      </c>
      <c r="O71" s="6">
        <v>48.93</v>
      </c>
      <c r="P71" s="6">
        <v>78.03</v>
      </c>
    </row>
    <row r="72" spans="2:16">
      <c r="D72" s="5"/>
      <c r="H72" s="2"/>
      <c r="M72" s="208">
        <v>39</v>
      </c>
      <c r="N72" s="6">
        <v>67.87</v>
      </c>
      <c r="O72" s="6">
        <v>55.96</v>
      </c>
      <c r="P72" s="6">
        <v>92.25</v>
      </c>
    </row>
    <row r="73" spans="2:16">
      <c r="D73" s="5"/>
      <c r="H73" s="2"/>
      <c r="M73" s="208">
        <v>40</v>
      </c>
      <c r="N73" s="6">
        <v>75.31</v>
      </c>
      <c r="O73" s="6">
        <v>64.2</v>
      </c>
      <c r="P73" s="6">
        <v>109.41</v>
      </c>
    </row>
    <row r="74" spans="2:16">
      <c r="D74" s="5"/>
      <c r="H74" s="2"/>
      <c r="M74" s="208">
        <v>41</v>
      </c>
      <c r="N74" s="6">
        <v>83.86</v>
      </c>
      <c r="O74" s="6">
        <v>73.900000000000006</v>
      </c>
      <c r="P74" s="6">
        <v>130.22</v>
      </c>
    </row>
    <row r="75" spans="2:16">
      <c r="D75" s="5"/>
      <c r="E75" s="125" t="s">
        <v>356</v>
      </c>
      <c r="F75" s="125" t="s">
        <v>364</v>
      </c>
      <c r="G75" s="125" t="s">
        <v>344</v>
      </c>
      <c r="H75" s="2"/>
      <c r="M75" s="208">
        <v>42</v>
      </c>
      <c r="N75" s="6">
        <v>93.71</v>
      </c>
      <c r="O75" s="6">
        <v>85.38</v>
      </c>
      <c r="P75" s="6">
        <v>155.55000000000001</v>
      </c>
    </row>
    <row r="76" spans="2:16" ht="30">
      <c r="B76" s="53" t="s">
        <v>519</v>
      </c>
      <c r="D76" s="5"/>
      <c r="E76" s="6">
        <f>+F70*0.45</f>
        <v>2496.8640661937438</v>
      </c>
      <c r="F76" s="6">
        <f>F40</f>
        <v>73.210351947482479</v>
      </c>
      <c r="G76" s="4" t="str">
        <f>+IF(E76&gt;F76,"Cumple","No Cumple")</f>
        <v>Cumple</v>
      </c>
      <c r="H76" s="2"/>
      <c r="M76" s="208">
        <v>43</v>
      </c>
      <c r="N76" s="6">
        <v>105.11</v>
      </c>
      <c r="O76" s="6">
        <v>99.02</v>
      </c>
      <c r="P76" s="6">
        <v>186.54</v>
      </c>
    </row>
    <row r="77" spans="2:16">
      <c r="D77" s="5"/>
      <c r="H77" s="2"/>
      <c r="M77" s="208">
        <v>44</v>
      </c>
      <c r="N77" s="6">
        <v>118.37</v>
      </c>
      <c r="O77" s="6">
        <v>115.31</v>
      </c>
      <c r="P77" s="6">
        <v>224.64</v>
      </c>
    </row>
    <row r="78" spans="2:16" ht="15.75" thickBot="1">
      <c r="D78" s="7"/>
      <c r="E78" s="8"/>
      <c r="F78" s="8"/>
      <c r="G78" s="8"/>
      <c r="H78" s="9"/>
      <c r="M78" s="208">
        <v>45</v>
      </c>
      <c r="N78" s="6">
        <v>133.88</v>
      </c>
      <c r="O78" s="6">
        <v>134.88</v>
      </c>
      <c r="P78" s="6">
        <v>271.76</v>
      </c>
    </row>
    <row r="79" spans="2:16" ht="15.75" thickBot="1"/>
    <row r="80" spans="2:16" ht="15.75" thickBot="1">
      <c r="D80" s="236" t="s">
        <v>408</v>
      </c>
      <c r="E80" s="237"/>
      <c r="F80" s="237"/>
      <c r="G80" s="237"/>
      <c r="H80" s="238"/>
    </row>
    <row r="81" spans="2:6">
      <c r="B81" s="15" t="s">
        <v>414</v>
      </c>
      <c r="D81" s="136" t="s">
        <v>399</v>
      </c>
      <c r="E81" s="44">
        <f>+Input!D102</f>
        <v>5.8</v>
      </c>
      <c r="F81" s="136" t="s">
        <v>3</v>
      </c>
    </row>
    <row r="82" spans="2:6">
      <c r="B82" s="15" t="s">
        <v>415</v>
      </c>
      <c r="D82" s="137" t="s">
        <v>409</v>
      </c>
      <c r="E82" s="6">
        <f>+D9</f>
        <v>1</v>
      </c>
      <c r="F82" s="136" t="s">
        <v>6</v>
      </c>
    </row>
    <row r="83" spans="2:6">
      <c r="B83" s="15" t="s">
        <v>416</v>
      </c>
      <c r="D83" s="138" t="s">
        <v>410</v>
      </c>
      <c r="E83" s="6">
        <f>+D11</f>
        <v>18</v>
      </c>
      <c r="F83" s="136" t="s">
        <v>9</v>
      </c>
    </row>
    <row r="85" spans="2:6">
      <c r="B85" s="15" t="s">
        <v>417</v>
      </c>
      <c r="D85" s="137" t="s">
        <v>407</v>
      </c>
      <c r="E85" s="6">
        <f>+E83*E81/E82</f>
        <v>104.39999999999999</v>
      </c>
    </row>
    <row r="86" spans="2:6">
      <c r="B86" s="15" t="s">
        <v>418</v>
      </c>
      <c r="D86" s="137" t="s">
        <v>411</v>
      </c>
      <c r="E86" s="6">
        <f>+D10</f>
        <v>40</v>
      </c>
      <c r="F86" s="137" t="s">
        <v>4</v>
      </c>
    </row>
    <row r="87" spans="2:6">
      <c r="B87" s="15" t="s">
        <v>419</v>
      </c>
      <c r="D87" s="137" t="s">
        <v>412</v>
      </c>
      <c r="E87" s="6">
        <f>+Input!D14/'Capacidad de Carga'!D8</f>
        <v>1.2068965517241379</v>
      </c>
    </row>
    <row r="88" spans="2:6">
      <c r="B88" s="15" t="s">
        <v>420</v>
      </c>
      <c r="D88" s="137" t="s">
        <v>409</v>
      </c>
      <c r="E88" s="6">
        <f>E82</f>
        <v>1</v>
      </c>
      <c r="F88" s="137" t="s">
        <v>6</v>
      </c>
    </row>
    <row r="89" spans="2:6">
      <c r="B89" s="15" t="s">
        <v>421</v>
      </c>
      <c r="D89" s="137" t="s">
        <v>413</v>
      </c>
      <c r="E89" s="6">
        <v>40</v>
      </c>
      <c r="F89" s="137" t="s">
        <v>4</v>
      </c>
    </row>
    <row r="90" spans="2:6">
      <c r="B90" s="13"/>
    </row>
    <row r="91" spans="2:6">
      <c r="B91" s="13"/>
    </row>
    <row r="92" spans="2:6">
      <c r="B92" s="13"/>
    </row>
    <row r="93" spans="2:6">
      <c r="B93" s="13"/>
    </row>
    <row r="94" spans="2:6">
      <c r="B94" s="13"/>
    </row>
    <row r="95" spans="2:6">
      <c r="B95" s="13"/>
    </row>
    <row r="96" spans="2:6">
      <c r="B96" s="13"/>
    </row>
    <row r="97" spans="2:10">
      <c r="B97" s="13"/>
    </row>
    <row r="98" spans="2:10">
      <c r="B98" s="13"/>
    </row>
    <row r="99" spans="2:10">
      <c r="B99" s="13"/>
    </row>
    <row r="100" spans="2:10">
      <c r="B100" s="13"/>
    </row>
    <row r="101" spans="2:10">
      <c r="B101" s="13"/>
    </row>
    <row r="102" spans="2:10">
      <c r="B102" s="13"/>
    </row>
    <row r="103" spans="2:10">
      <c r="B103" s="13"/>
    </row>
    <row r="104" spans="2:10">
      <c r="B104" s="13"/>
    </row>
    <row r="105" spans="2:10">
      <c r="B105" s="13"/>
    </row>
    <row r="109" spans="2:10">
      <c r="D109" s="125" t="s">
        <v>425</v>
      </c>
      <c r="E109" s="26">
        <v>0.27</v>
      </c>
    </row>
    <row r="110" spans="2:10">
      <c r="G110" s="302" t="s">
        <v>655</v>
      </c>
      <c r="H110" s="302"/>
      <c r="I110" s="302"/>
      <c r="J110" s="302"/>
    </row>
    <row r="111" spans="2:10" ht="75">
      <c r="B111" s="53" t="s">
        <v>424</v>
      </c>
      <c r="D111" s="125" t="s">
        <v>406</v>
      </c>
      <c r="E111" s="4">
        <f>IF(E89=0,1,E109)</f>
        <v>0.27</v>
      </c>
      <c r="G111" s="125" t="s">
        <v>402</v>
      </c>
      <c r="H111" s="125" t="s">
        <v>422</v>
      </c>
      <c r="I111" s="125" t="s">
        <v>423</v>
      </c>
      <c r="J111" s="125" t="s">
        <v>344</v>
      </c>
    </row>
    <row r="112" spans="2:10">
      <c r="G112" s="135" t="s">
        <v>403</v>
      </c>
      <c r="H112" s="6">
        <f>+E76*E111</f>
        <v>674.15329787231087</v>
      </c>
      <c r="I112" s="6">
        <f>+F76</f>
        <v>73.210351947482479</v>
      </c>
      <c r="J112" s="4" t="str">
        <f>+IF(H112&gt;I112,"Cumple","No Cumple")</f>
        <v>Cumple</v>
      </c>
    </row>
    <row r="113" spans="2:2">
      <c r="B113" s="15" t="s">
        <v>427</v>
      </c>
    </row>
  </sheetData>
  <mergeCells count="10">
    <mergeCell ref="B9:B11"/>
    <mergeCell ref="G110:J110"/>
    <mergeCell ref="C5:H5"/>
    <mergeCell ref="E42:G42"/>
    <mergeCell ref="D80:H80"/>
    <mergeCell ref="C2:H2"/>
    <mergeCell ref="C3:H3"/>
    <mergeCell ref="D29:H29"/>
    <mergeCell ref="D15:I15"/>
    <mergeCell ref="D17:I17"/>
  </mergeCells>
  <pageMargins left="0.7" right="0.7" top="0.75" bottom="0.75" header="0.3" footer="0.3"/>
  <pageSetup paperSize="9" orientation="portrait" horizontalDpi="200" verticalDpi="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673b96c-d264-48a1-95ca-4ec3b7e078f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44683A5758B4B458EFE0FCB0DEB9BD2" ma:contentTypeVersion="15" ma:contentTypeDescription="Crear nuevo documento." ma:contentTypeScope="" ma:versionID="7315838647caac2e282df524bd7bf6f6">
  <xsd:schema xmlns:xsd="http://www.w3.org/2001/XMLSchema" xmlns:xs="http://www.w3.org/2001/XMLSchema" xmlns:p="http://schemas.microsoft.com/office/2006/metadata/properties" xmlns:ns3="9673b96c-d264-48a1-95ca-4ec3b7e078f3" xmlns:ns4="a7c9a2df-d303-4884-a97c-e5ab61123a11" targetNamespace="http://schemas.microsoft.com/office/2006/metadata/properties" ma:root="true" ma:fieldsID="8d264f8a44e8739e6997be646c75af53" ns3:_="" ns4:_="">
    <xsd:import namespace="9673b96c-d264-48a1-95ca-4ec3b7e078f3"/>
    <xsd:import namespace="a7c9a2df-d303-4884-a97c-e5ab61123a1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73b96c-d264-48a1-95ca-4ec3b7e078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c9a2df-d303-4884-a97c-e5ab61123a11"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CDBB59-F3CF-4C05-A96A-33BC0DB4FC0E}">
  <ds:schemaRefs>
    <ds:schemaRef ds:uri="http://purl.org/dc/dcmitype/"/>
    <ds:schemaRef ds:uri="http://schemas.microsoft.com/office/2006/documentManagement/types"/>
    <ds:schemaRef ds:uri="http://purl.org/dc/elements/1.1/"/>
    <ds:schemaRef ds:uri="9673b96c-d264-48a1-95ca-4ec3b7e078f3"/>
    <ds:schemaRef ds:uri="http://schemas.microsoft.com/office/infopath/2007/PartnerControls"/>
    <ds:schemaRef ds:uri="http://www.w3.org/XML/1998/namespace"/>
    <ds:schemaRef ds:uri="http://purl.org/dc/terms/"/>
    <ds:schemaRef ds:uri="http://schemas.openxmlformats.org/package/2006/metadata/core-properties"/>
    <ds:schemaRef ds:uri="a7c9a2df-d303-4884-a97c-e5ab61123a11"/>
    <ds:schemaRef ds:uri="http://schemas.microsoft.com/office/2006/metadata/properties"/>
  </ds:schemaRefs>
</ds:datastoreItem>
</file>

<file path=customXml/itemProps2.xml><?xml version="1.0" encoding="utf-8"?>
<ds:datastoreItem xmlns:ds="http://schemas.openxmlformats.org/officeDocument/2006/customXml" ds:itemID="{BA4871F5-19BC-4A7B-9806-BED2B37C34E9}">
  <ds:schemaRefs>
    <ds:schemaRef ds:uri="http://schemas.microsoft.com/sharepoint/v3/contenttype/forms"/>
  </ds:schemaRefs>
</ds:datastoreItem>
</file>

<file path=customXml/itemProps3.xml><?xml version="1.0" encoding="utf-8"?>
<ds:datastoreItem xmlns:ds="http://schemas.openxmlformats.org/officeDocument/2006/customXml" ds:itemID="{318BBAB1-AC75-4DDA-A02F-914EB5CE7E9E}">
  <ds:schemaRefs>
    <ds:schemaRef ds:uri="http://schemas.microsoft.com/office/2006/metadata/contentType"/>
    <ds:schemaRef ds:uri="http://schemas.microsoft.com/office/2006/metadata/properties/metaAttributes"/>
    <ds:schemaRef ds:uri="http://www.w3.org/2000/xmlns/"/>
    <ds:schemaRef ds:uri="http://www.w3.org/2001/XMLSchema"/>
    <ds:schemaRef ds:uri="9673b96c-d264-48a1-95ca-4ec3b7e078f3"/>
    <ds:schemaRef ds:uri="a7c9a2df-d303-4884-a97c-e5ab61123a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INDICE</vt:lpstr>
      <vt:lpstr>Nomenclatura</vt:lpstr>
      <vt:lpstr>Input</vt:lpstr>
      <vt:lpstr>Dimensiones Muro</vt:lpstr>
      <vt:lpstr>Cálculo de Pa y Pp</vt:lpstr>
      <vt:lpstr>Fuerzas</vt:lpstr>
      <vt:lpstr>Tabla resumen de fuerzas</vt:lpstr>
      <vt:lpstr>LFRD</vt:lpstr>
      <vt:lpstr>Capacidad de Carga</vt:lpstr>
      <vt:lpstr>Verificación de resultados</vt:lpstr>
      <vt:lpstr>Diseño de acero</vt:lpstr>
      <vt:lpstr>Resumen de refuerzo</vt:lpstr>
      <vt:lpstr>Diseño Final de muro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Samanta Rios</cp:lastModifiedBy>
  <dcterms:created xsi:type="dcterms:W3CDTF">2023-06-15T12:19:26Z</dcterms:created>
  <dcterms:modified xsi:type="dcterms:W3CDTF">2024-01-19T22:34:55Z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0x010100844683A5758B4B458EFE0FCB0DEB9BD2</vt:lpwstr>
  </property>
</Properties>
</file>