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6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8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9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0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1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12.xml" ContentType="application/vnd.openxmlformats-officedocument.drawing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13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E7C79326-B19D-4CA4-B6A5-9DDDE86D12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ratos de mantenimiento vial" sheetId="3" r:id="rId1"/>
    <sheet name="2012" sheetId="4" r:id="rId2"/>
    <sheet name="2013" sheetId="5" r:id="rId3"/>
    <sheet name="2014" sheetId="15" r:id="rId4"/>
    <sheet name="2015" sheetId="16" r:id="rId5"/>
    <sheet name="2016" sheetId="17" r:id="rId6"/>
    <sheet name="2017" sheetId="18" r:id="rId7"/>
    <sheet name="2018" sheetId="19" r:id="rId8"/>
    <sheet name="2019" sheetId="20" r:id="rId9"/>
    <sheet name="2020" sheetId="21" r:id="rId10"/>
    <sheet name="2021" sheetId="22" r:id="rId11"/>
    <sheet name="2022" sheetId="23" r:id="rId12"/>
    <sheet name="General" sheetId="24" r:id="rId13"/>
    <sheet name="Resumen" sheetId="25" r:id="rId14"/>
    <sheet name="Total 53 contratos" sheetId="26" state="hidden" r:id="rId15"/>
    <sheet name="Administración 2012-2015" sheetId="28" r:id="rId16"/>
    <sheet name="Administración 2016-2019" sheetId="29" r:id="rId17"/>
    <sheet name="Administración 2020-2023" sheetId="30" r:id="rId18"/>
    <sheet name="Comparación administraciones" sheetId="31" r:id="rId19"/>
  </sheets>
  <definedNames>
    <definedName name="_xlnm._FilterDatabase" localSheetId="17" hidden="1">'Administración 2020-2023'!$I$3:$I$15</definedName>
    <definedName name="_xlnm._FilterDatabase" localSheetId="12" hidden="1">General!$B$2:$AC$58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31" l="1"/>
  <c r="F8" i="31"/>
  <c r="G8" i="31"/>
  <c r="H8" i="31"/>
  <c r="I8" i="31"/>
  <c r="J8" i="31"/>
  <c r="K8" i="31"/>
  <c r="L8" i="31"/>
  <c r="M8" i="31"/>
  <c r="N8" i="31"/>
  <c r="O8" i="31"/>
  <c r="P8" i="31"/>
  <c r="Q8" i="31"/>
  <c r="R8" i="31"/>
  <c r="S8" i="31"/>
  <c r="T8" i="31"/>
  <c r="U8" i="31"/>
  <c r="V8" i="31"/>
  <c r="W8" i="31"/>
  <c r="X8" i="31"/>
  <c r="D7" i="31"/>
  <c r="C7" i="31"/>
  <c r="D6" i="31"/>
  <c r="C6" i="31"/>
  <c r="D5" i="31"/>
  <c r="G16" i="30"/>
  <c r="G29" i="29"/>
  <c r="G23" i="28"/>
  <c r="G58" i="24"/>
  <c r="C5" i="31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J16" i="30"/>
  <c r="F16" i="30"/>
  <c r="W12" i="30"/>
  <c r="W11" i="30"/>
  <c r="W10" i="30"/>
  <c r="V10" i="30"/>
  <c r="J10" i="30"/>
  <c r="W8" i="30"/>
  <c r="V8" i="30"/>
  <c r="W7" i="30"/>
  <c r="V6" i="30"/>
  <c r="O6" i="30"/>
  <c r="V5" i="30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J29" i="29"/>
  <c r="F29" i="29"/>
  <c r="V28" i="29"/>
  <c r="W27" i="29"/>
  <c r="V27" i="29"/>
  <c r="W26" i="29"/>
  <c r="V26" i="29"/>
  <c r="V25" i="29"/>
  <c r="W24" i="29"/>
  <c r="V23" i="29"/>
  <c r="W22" i="29"/>
  <c r="W21" i="29"/>
  <c r="V21" i="29"/>
  <c r="W20" i="29"/>
  <c r="V20" i="29"/>
  <c r="W19" i="29"/>
  <c r="V19" i="29"/>
  <c r="V18" i="29"/>
  <c r="K18" i="29"/>
  <c r="W17" i="29"/>
  <c r="W15" i="29"/>
  <c r="V15" i="29"/>
  <c r="W14" i="29"/>
  <c r="V14" i="29"/>
  <c r="W13" i="29"/>
  <c r="W12" i="29"/>
  <c r="W11" i="29"/>
  <c r="W10" i="29"/>
  <c r="K10" i="29"/>
  <c r="W9" i="29"/>
  <c r="W8" i="29"/>
  <c r="V7" i="29"/>
  <c r="W6" i="29"/>
  <c r="V6" i="29"/>
  <c r="V5" i="29"/>
  <c r="K5" i="29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J23" i="28"/>
  <c r="F23" i="28"/>
  <c r="W22" i="28"/>
  <c r="K22" i="28"/>
  <c r="W21" i="28"/>
  <c r="N21" i="28"/>
  <c r="W20" i="28"/>
  <c r="V20" i="28"/>
  <c r="W19" i="28"/>
  <c r="V19" i="28"/>
  <c r="W18" i="28"/>
  <c r="V18" i="28"/>
  <c r="K17" i="28"/>
  <c r="AA15" i="28"/>
  <c r="W15" i="28"/>
  <c r="V15" i="28"/>
  <c r="K15" i="28"/>
  <c r="W14" i="28"/>
  <c r="V14" i="28"/>
  <c r="N14" i="28"/>
  <c r="K14" i="28"/>
  <c r="AA13" i="28"/>
  <c r="W13" i="28"/>
  <c r="V13" i="28"/>
  <c r="K13" i="28"/>
  <c r="W12" i="28"/>
  <c r="V12" i="28"/>
  <c r="W11" i="28"/>
  <c r="V11" i="28"/>
  <c r="N11" i="28"/>
  <c r="M11" i="28"/>
  <c r="L11" i="28"/>
  <c r="J11" i="28"/>
  <c r="N9" i="28"/>
  <c r="W7" i="28"/>
  <c r="N6" i="28"/>
  <c r="N5" i="28"/>
  <c r="G20" i="23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J56" i="26"/>
  <c r="F56" i="26"/>
  <c r="U16" i="25"/>
  <c r="O16" i="25"/>
  <c r="N16" i="25"/>
  <c r="M16" i="25"/>
  <c r="L16" i="25"/>
  <c r="I16" i="25"/>
  <c r="P58" i="24"/>
  <c r="Q58" i="24"/>
  <c r="R58" i="24"/>
  <c r="S58" i="24"/>
  <c r="T58" i="24"/>
  <c r="U58" i="24"/>
  <c r="X58" i="24"/>
  <c r="Y58" i="24"/>
  <c r="Z58" i="24"/>
  <c r="AB58" i="24"/>
  <c r="AC58" i="24"/>
  <c r="V7" i="23"/>
  <c r="U7" i="23"/>
  <c r="V6" i="23"/>
  <c r="W6" i="23"/>
  <c r="V5" i="23"/>
  <c r="U5" i="23"/>
  <c r="E16" i="25"/>
  <c r="F16" i="25"/>
  <c r="G16" i="25"/>
  <c r="H16" i="25"/>
  <c r="J16" i="25"/>
  <c r="K16" i="25"/>
  <c r="P16" i="25"/>
  <c r="Q16" i="25"/>
  <c r="R16" i="25"/>
  <c r="S16" i="25"/>
  <c r="T16" i="25"/>
  <c r="V16" i="25"/>
  <c r="W16" i="25"/>
  <c r="X16" i="25"/>
  <c r="F58" i="24"/>
  <c r="C8" i="31" l="1"/>
  <c r="D8" i="31"/>
  <c r="W54" i="24"/>
  <c r="W53" i="24"/>
  <c r="W52" i="24"/>
  <c r="V52" i="24"/>
  <c r="J52" i="24"/>
  <c r="W50" i="24"/>
  <c r="V50" i="24"/>
  <c r="W49" i="24"/>
  <c r="V48" i="24"/>
  <c r="O48" i="24"/>
  <c r="O58" i="24" s="1"/>
  <c r="V47" i="24"/>
  <c r="V46" i="24"/>
  <c r="W45" i="24"/>
  <c r="V45" i="24"/>
  <c r="W44" i="24"/>
  <c r="V44" i="24"/>
  <c r="V43" i="24"/>
  <c r="W42" i="24"/>
  <c r="V41" i="24"/>
  <c r="W40" i="24"/>
  <c r="W39" i="24"/>
  <c r="V39" i="24"/>
  <c r="W38" i="24"/>
  <c r="V38" i="24"/>
  <c r="W37" i="24"/>
  <c r="V37" i="24"/>
  <c r="V36" i="24"/>
  <c r="K36" i="24"/>
  <c r="W35" i="24"/>
  <c r="W33" i="24"/>
  <c r="V33" i="24"/>
  <c r="W32" i="24"/>
  <c r="V32" i="24"/>
  <c r="W31" i="24"/>
  <c r="W30" i="24"/>
  <c r="W29" i="24"/>
  <c r="W28" i="24"/>
  <c r="K28" i="24"/>
  <c r="W27" i="24"/>
  <c r="W26" i="24"/>
  <c r="V25" i="24"/>
  <c r="W24" i="24"/>
  <c r="V24" i="24"/>
  <c r="V23" i="24"/>
  <c r="K23" i="24"/>
  <c r="W22" i="24"/>
  <c r="K22" i="24"/>
  <c r="W21" i="24"/>
  <c r="N21" i="24"/>
  <c r="W20" i="24"/>
  <c r="V20" i="24"/>
  <c r="W19" i="24"/>
  <c r="V19" i="24"/>
  <c r="W18" i="24"/>
  <c r="V18" i="24"/>
  <c r="K17" i="24"/>
  <c r="AA15" i="24"/>
  <c r="W15" i="24"/>
  <c r="V15" i="24"/>
  <c r="K15" i="24"/>
  <c r="W14" i="24"/>
  <c r="V14" i="24"/>
  <c r="N14" i="24"/>
  <c r="K14" i="24"/>
  <c r="AA13" i="24"/>
  <c r="W13" i="24"/>
  <c r="V13" i="24"/>
  <c r="K13" i="24"/>
  <c r="W12" i="24"/>
  <c r="V12" i="24"/>
  <c r="W11" i="24"/>
  <c r="V11" i="24"/>
  <c r="N11" i="24"/>
  <c r="M11" i="24"/>
  <c r="M58" i="24" s="1"/>
  <c r="L11" i="24"/>
  <c r="L58" i="24" s="1"/>
  <c r="J11" i="24"/>
  <c r="N9" i="24"/>
  <c r="W7" i="24"/>
  <c r="N6" i="24"/>
  <c r="N5" i="24"/>
  <c r="AB8" i="23"/>
  <c r="AA8" i="23"/>
  <c r="Z8" i="23"/>
  <c r="Y8" i="23"/>
  <c r="X8" i="23"/>
  <c r="W8" i="23"/>
  <c r="T8" i="23"/>
  <c r="S8" i="23"/>
  <c r="R8" i="23"/>
  <c r="Q8" i="23"/>
  <c r="P8" i="23"/>
  <c r="O8" i="23"/>
  <c r="L8" i="23"/>
  <c r="K8" i="23"/>
  <c r="J8" i="23"/>
  <c r="I8" i="23"/>
  <c r="E8" i="23"/>
  <c r="C15" i="25" s="1"/>
  <c r="N8" i="23"/>
  <c r="F7" i="23"/>
  <c r="F6" i="23"/>
  <c r="V8" i="23"/>
  <c r="U8" i="23"/>
  <c r="M5" i="23"/>
  <c r="M8" i="23" s="1"/>
  <c r="F5" i="23"/>
  <c r="F8" i="23" s="1"/>
  <c r="D15" i="25" s="1"/>
  <c r="AB8" i="22"/>
  <c r="AA8" i="22"/>
  <c r="Z8" i="22"/>
  <c r="Y8" i="22"/>
  <c r="X8" i="22"/>
  <c r="W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E8" i="22"/>
  <c r="C14" i="25" s="1"/>
  <c r="V7" i="22"/>
  <c r="F7" i="22"/>
  <c r="V6" i="22"/>
  <c r="F6" i="22"/>
  <c r="V5" i="22"/>
  <c r="U5" i="22"/>
  <c r="I5" i="22"/>
  <c r="F5" i="22"/>
  <c r="F8" i="22" s="1"/>
  <c r="D14" i="25" s="1"/>
  <c r="AB10" i="21"/>
  <c r="AA10" i="21"/>
  <c r="Z10" i="21"/>
  <c r="Y10" i="21"/>
  <c r="X10" i="21"/>
  <c r="W10" i="21"/>
  <c r="T10" i="21"/>
  <c r="S10" i="21"/>
  <c r="R10" i="21"/>
  <c r="Q10" i="21"/>
  <c r="P10" i="21"/>
  <c r="O10" i="21"/>
  <c r="M10" i="21"/>
  <c r="L10" i="21"/>
  <c r="K10" i="21"/>
  <c r="J10" i="21"/>
  <c r="I10" i="21"/>
  <c r="E10" i="21"/>
  <c r="C13" i="25" s="1"/>
  <c r="F9" i="21"/>
  <c r="V8" i="21"/>
  <c r="U8" i="21"/>
  <c r="F8" i="21"/>
  <c r="V7" i="21"/>
  <c r="V10" i="21" s="1"/>
  <c r="F7" i="21"/>
  <c r="U6" i="21"/>
  <c r="N6" i="21"/>
  <c r="N10" i="21" s="1"/>
  <c r="F6" i="21"/>
  <c r="U5" i="21"/>
  <c r="F5" i="21"/>
  <c r="F10" i="21" s="1"/>
  <c r="D13" i="25" s="1"/>
  <c r="AB11" i="20"/>
  <c r="AA11" i="20"/>
  <c r="Z11" i="20"/>
  <c r="Y11" i="20"/>
  <c r="X11" i="20"/>
  <c r="W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E11" i="20"/>
  <c r="C12" i="25" s="1"/>
  <c r="U10" i="20"/>
  <c r="F10" i="20"/>
  <c r="V9" i="20"/>
  <c r="U9" i="20"/>
  <c r="F9" i="20"/>
  <c r="V8" i="20"/>
  <c r="U8" i="20"/>
  <c r="F8" i="20"/>
  <c r="U7" i="20"/>
  <c r="F7" i="20"/>
  <c r="V6" i="20"/>
  <c r="V11" i="20" s="1"/>
  <c r="F6" i="20"/>
  <c r="U5" i="20"/>
  <c r="F5" i="20"/>
  <c r="AB11" i="19"/>
  <c r="AA11" i="19"/>
  <c r="Z11" i="19"/>
  <c r="Y11" i="19"/>
  <c r="X11" i="19"/>
  <c r="W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E11" i="19"/>
  <c r="C11" i="25" s="1"/>
  <c r="V10" i="19"/>
  <c r="F10" i="19"/>
  <c r="V9" i="19"/>
  <c r="U9" i="19"/>
  <c r="F9" i="19"/>
  <c r="V8" i="19"/>
  <c r="U8" i="19"/>
  <c r="F8" i="19"/>
  <c r="V7" i="19"/>
  <c r="U7" i="19"/>
  <c r="F7" i="19"/>
  <c r="U6" i="19"/>
  <c r="J6" i="19"/>
  <c r="F6" i="19"/>
  <c r="V5" i="19"/>
  <c r="F5" i="19"/>
  <c r="AB11" i="18"/>
  <c r="AA11" i="18"/>
  <c r="Z11" i="18"/>
  <c r="Y11" i="18"/>
  <c r="X11" i="18"/>
  <c r="W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E11" i="18"/>
  <c r="C10" i="25" s="1"/>
  <c r="F10" i="18"/>
  <c r="V9" i="18"/>
  <c r="U9" i="18"/>
  <c r="F9" i="18"/>
  <c r="V8" i="18"/>
  <c r="U8" i="18"/>
  <c r="F8" i="18"/>
  <c r="V7" i="18"/>
  <c r="F7" i="18"/>
  <c r="V6" i="18"/>
  <c r="F6" i="18"/>
  <c r="F11" i="18" s="1"/>
  <c r="D10" i="25" s="1"/>
  <c r="V5" i="18"/>
  <c r="V11" i="18" s="1"/>
  <c r="F5" i="18"/>
  <c r="AB11" i="17"/>
  <c r="AA11" i="17"/>
  <c r="Z11" i="17"/>
  <c r="Y11" i="17"/>
  <c r="X11" i="17"/>
  <c r="W11" i="17"/>
  <c r="T11" i="17"/>
  <c r="S11" i="17"/>
  <c r="R11" i="17"/>
  <c r="Q11" i="17"/>
  <c r="P11" i="17"/>
  <c r="O11" i="17"/>
  <c r="N11" i="17"/>
  <c r="M11" i="17"/>
  <c r="L11" i="17"/>
  <c r="K11" i="17"/>
  <c r="I11" i="17"/>
  <c r="E11" i="17"/>
  <c r="C9" i="25" s="1"/>
  <c r="V10" i="17"/>
  <c r="J10" i="17"/>
  <c r="F10" i="17"/>
  <c r="V9" i="17"/>
  <c r="F9" i="17"/>
  <c r="V8" i="17"/>
  <c r="F8" i="17"/>
  <c r="U7" i="17"/>
  <c r="F7" i="17"/>
  <c r="V6" i="17"/>
  <c r="U6" i="17"/>
  <c r="F6" i="17"/>
  <c r="U5" i="17"/>
  <c r="U11" i="17" s="1"/>
  <c r="J5" i="17"/>
  <c r="J11" i="17" s="1"/>
  <c r="F5" i="17"/>
  <c r="AB9" i="16"/>
  <c r="AA9" i="16"/>
  <c r="Z9" i="16"/>
  <c r="Y9" i="16"/>
  <c r="X9" i="16"/>
  <c r="W9" i="16"/>
  <c r="T9" i="16"/>
  <c r="S9" i="16"/>
  <c r="R9" i="16"/>
  <c r="Q9" i="16"/>
  <c r="P9" i="16"/>
  <c r="O9" i="16"/>
  <c r="N9" i="16"/>
  <c r="L9" i="16"/>
  <c r="K9" i="16"/>
  <c r="I9" i="16"/>
  <c r="E9" i="16"/>
  <c r="C8" i="25" s="1"/>
  <c r="V8" i="16"/>
  <c r="J8" i="16"/>
  <c r="J9" i="16" s="1"/>
  <c r="F8" i="16"/>
  <c r="V7" i="16"/>
  <c r="M7" i="16"/>
  <c r="M9" i="16" s="1"/>
  <c r="F7" i="16"/>
  <c r="V6" i="16"/>
  <c r="U6" i="16"/>
  <c r="F6" i="16"/>
  <c r="V5" i="16"/>
  <c r="U5" i="16"/>
  <c r="F5" i="16"/>
  <c r="AB7" i="15"/>
  <c r="AA7" i="15"/>
  <c r="Z7" i="15"/>
  <c r="Y7" i="15"/>
  <c r="X7" i="15"/>
  <c r="W7" i="15"/>
  <c r="T7" i="15"/>
  <c r="S7" i="15"/>
  <c r="R7" i="15"/>
  <c r="Q7" i="15"/>
  <c r="P7" i="15"/>
  <c r="O7" i="15"/>
  <c r="N7" i="15"/>
  <c r="M7" i="15"/>
  <c r="L7" i="15"/>
  <c r="K7" i="15"/>
  <c r="J7" i="15"/>
  <c r="I7" i="15"/>
  <c r="E7" i="15"/>
  <c r="C7" i="25" s="1"/>
  <c r="V6" i="15"/>
  <c r="V7" i="15" s="1"/>
  <c r="U6" i="15"/>
  <c r="U7" i="15" s="1"/>
  <c r="F6" i="15"/>
  <c r="J5" i="15"/>
  <c r="F5" i="15"/>
  <c r="F7" i="15" s="1"/>
  <c r="D7" i="25" s="1"/>
  <c r="AB11" i="5"/>
  <c r="AA11" i="5"/>
  <c r="Y11" i="5"/>
  <c r="X11" i="5"/>
  <c r="W11" i="5"/>
  <c r="T11" i="5"/>
  <c r="S11" i="5"/>
  <c r="R11" i="5"/>
  <c r="Q11" i="5"/>
  <c r="P11" i="5"/>
  <c r="O11" i="5"/>
  <c r="N11" i="5"/>
  <c r="I11" i="5"/>
  <c r="E11" i="5"/>
  <c r="C6" i="25" s="1"/>
  <c r="F10" i="5"/>
  <c r="Z9" i="5"/>
  <c r="V9" i="5"/>
  <c r="U9" i="5"/>
  <c r="J9" i="5"/>
  <c r="F9" i="5"/>
  <c r="V8" i="5"/>
  <c r="U8" i="5"/>
  <c r="M8" i="5"/>
  <c r="J8" i="5"/>
  <c r="F8" i="5"/>
  <c r="F11" i="5" s="1"/>
  <c r="D6" i="25" s="1"/>
  <c r="Z7" i="5"/>
  <c r="Z11" i="5" s="1"/>
  <c r="V7" i="5"/>
  <c r="U7" i="5"/>
  <c r="J7" i="5"/>
  <c r="F7" i="5"/>
  <c r="V6" i="5"/>
  <c r="U6" i="5"/>
  <c r="F6" i="5"/>
  <c r="V5" i="5"/>
  <c r="U5" i="5"/>
  <c r="M5" i="5"/>
  <c r="M11" i="5" s="1"/>
  <c r="L5" i="5"/>
  <c r="L11" i="5" s="1"/>
  <c r="K5" i="5"/>
  <c r="K11" i="5" s="1"/>
  <c r="I5" i="5"/>
  <c r="F5" i="5"/>
  <c r="AB11" i="4"/>
  <c r="AA11" i="4"/>
  <c r="Z11" i="4"/>
  <c r="Y11" i="4"/>
  <c r="X11" i="4"/>
  <c r="W11" i="4"/>
  <c r="U11" i="4"/>
  <c r="T11" i="4"/>
  <c r="S11" i="4"/>
  <c r="R11" i="4"/>
  <c r="Q11" i="4"/>
  <c r="P11" i="4"/>
  <c r="O11" i="4"/>
  <c r="N11" i="4"/>
  <c r="L11" i="4"/>
  <c r="K11" i="4"/>
  <c r="J11" i="4"/>
  <c r="I11" i="4"/>
  <c r="E11" i="4"/>
  <c r="C5" i="25" s="1"/>
  <c r="F10" i="4"/>
  <c r="M9" i="4"/>
  <c r="F9" i="4"/>
  <c r="F8" i="4"/>
  <c r="V7" i="4"/>
  <c r="V11" i="4" s="1"/>
  <c r="F7" i="4"/>
  <c r="M6" i="4"/>
  <c r="F6" i="4"/>
  <c r="M5" i="4"/>
  <c r="M11" i="4" s="1"/>
  <c r="F5" i="4"/>
  <c r="K58" i="24" l="1"/>
  <c r="N58" i="24"/>
  <c r="J58" i="24"/>
  <c r="V58" i="24"/>
  <c r="V8" i="22"/>
  <c r="V11" i="19"/>
  <c r="U10" i="21"/>
  <c r="F11" i="17"/>
  <c r="D9" i="25" s="1"/>
  <c r="U11" i="5"/>
  <c r="F9" i="16"/>
  <c r="D8" i="25" s="1"/>
  <c r="D16" i="25" s="1"/>
  <c r="U11" i="18"/>
  <c r="F11" i="20"/>
  <c r="D12" i="25" s="1"/>
  <c r="W58" i="24"/>
  <c r="J11" i="5"/>
  <c r="V11" i="5"/>
  <c r="U9" i="16"/>
  <c r="AA58" i="24"/>
  <c r="F11" i="4"/>
  <c r="D5" i="25" s="1"/>
  <c r="V9" i="16"/>
  <c r="F11" i="19"/>
  <c r="D11" i="25" s="1"/>
  <c r="V11" i="17"/>
  <c r="U11" i="19"/>
  <c r="U11" i="20"/>
  <c r="C16" i="25"/>
</calcChain>
</file>

<file path=xl/sharedStrings.xml><?xml version="1.0" encoding="utf-8"?>
<sst xmlns="http://schemas.openxmlformats.org/spreadsheetml/2006/main" count="1468" uniqueCount="209">
  <si>
    <t>#</t>
  </si>
  <si>
    <t>Año</t>
  </si>
  <si>
    <t>Contrato obra</t>
  </si>
  <si>
    <t>Objeto</t>
  </si>
  <si>
    <t>CONSERVACIÓN, MANTENIMIENTO, REHABILITACIÓN Y MEJORAMIENTO DE LAS VÍAS EN LAS SUBREGIONES SUROESTE, OCCIDENTE Y URABÁ EN EL DEPARTAMENTO DE ANTIOQUIA.</t>
  </si>
  <si>
    <t>CONSERVACIÓN, MANTENIMIENTO, REHABILITACIÓN Y MEJORAMIENTO DE LAS VÍAS EN LAS SUBREGIONES NORDESTE, NORTE, BAJO CAUCA Y VÍAS ESPECÍFICAS DEL PEAJE PAJARITO EN EL NORTE DEL DEPARTAMENTO DE ANTIOQUIA.</t>
  </si>
  <si>
    <t>CONSERVACIÓN, MANTENIMIENTO, REHABILITACIÓN Y MEJORAMIENTO DE LAS VÍAS EN LAS SUBREGIONES ORIENTE Y MAGDALENA MEDIO EN EL DEPARTAMENTO DE ANTIOQUIA.</t>
  </si>
  <si>
    <t>CONSERVACIÓN, MANTENIMIENTO Y REHABILITACIÓN DE LAS VÍAS A CARGO DEL DEPARTAMENTO DE ANTIOQUIA EN LA SUBREGIÓN NORDESTE Y MAGDALENA MEDIO</t>
  </si>
  <si>
    <t>CONSERVACIÓN, MANTENIMIENTO Y REHABILITACIÓN DE LAS VÍAS A CARGO DEL DEPARTAMENTO DE ANTIOQUIA EN LAS SUBREGIONES DE OCCIDENTE Y URABÁ</t>
  </si>
  <si>
    <t>CONSERVACION, MANTENIMIENTO Y REHABILITACION DE LAS VÍAS A CARGO DEL DEPARTAMENTO DE ANTIOQUIA EN LA SUBREGION ORIENTE.</t>
  </si>
  <si>
    <t>CONSERVACIÓN, MANTENIMIENTO Y REHABILITACIÓN DE LAS VÍAS A CARGO DEL DEPARTAMENTO DE ANTIOQUIA EN LA SUBREGIÓN VÍAS INFLUENCIA PEAJE PAJARITO</t>
  </si>
  <si>
    <t>CONSERVACIÓN, MANTENIMIENTO Y REHABILITACIÓN DE LAS VIAS A CARGO DEL DEPARTAMENTO DE ANTIOQUIA EN LAS SUBREGIONES NORTE Y BAJO CAUCA. SE EXCLUYEN LAS VIAS DE INFLUENCIA DEL PEAJE PAJARITO EN LA SUBREGION NORTE</t>
  </si>
  <si>
    <t>2019-OO-20-0001</t>
  </si>
  <si>
    <t>2019-SS-20-0001</t>
  </si>
  <si>
    <t>MEJORAMIENTO, REHABILITACIÓN Y MANTENIMIENTO DE LAS VIAS DE LAS SUBREGIONES DE OCCIDENTE Y URABÁ EN EL DEPARTAMENTO DE ANTIOQUIA</t>
  </si>
  <si>
    <t>2019-OO-20-0002</t>
  </si>
  <si>
    <t>2019-SS-20-0002</t>
  </si>
  <si>
    <t>MEJORAMIENTO, REHABILITACIÓN Y MANTENIMIENTO DE LAS VIAS DE LAS SUBREGIONES NORDESTE Y MAGDALENA MEDIO DEL DEPARTAMENTO DE ANTIOQUIA</t>
  </si>
  <si>
    <t>2019-OO-20-0003</t>
  </si>
  <si>
    <t>2019-SS-20-0003</t>
  </si>
  <si>
    <t>MEJORAMIENTO, REHABILITACIÓN Y MANTENIMIENTO DE LAS VIAS DE LA SUBREGION SUROESTE DEL DEPARTAMENTO DE ANTIOQUIA</t>
  </si>
  <si>
    <t>2019-OO-20-0004</t>
  </si>
  <si>
    <t>2019-SS-20-0004</t>
  </si>
  <si>
    <t>MEJORAMIENTO, REHABILITACIÓN Y MANTENIMIENTO DE LAS VIAS DE LA SUBREGION ORIENTE DEL DEPARTAMENTO DE ANTIOQUIA</t>
  </si>
  <si>
    <t>2019-OO-20-0005</t>
  </si>
  <si>
    <t>2019-SS-20-0005</t>
  </si>
  <si>
    <t>MEJORAMIENTO, REHABILITACIÓN Y MANTENIMIENTO DE LAS VIAS DE LAS SUBREGIONES NORTE Y BAJO CAUCA DEL DEPARTAMENTO DE ANTIOQUIA. SE EXCLUYEN LAS VIAS DE INFLUENCIA DEL PEAJE DE PAJARITO EN LA SUBREGION NORTE DEL DEPARTAMENTO DE ANTIOQUIA</t>
  </si>
  <si>
    <t>MEJORAMIENTO, REHABILITACIÓN Y MANTENIMIENTO DE LAS VÍAS DE INFLUENCIA DEL PEAJE PAJARITO EN LA SUBREGIÓN NORTE DEL DEPARTAMENTO DE ANTIOQUIA</t>
  </si>
  <si>
    <t>2018-OO-20-0001</t>
  </si>
  <si>
    <t>2018-SS-20-0003</t>
  </si>
  <si>
    <t>MEJORAMIENTO, REHABILITACION Y MANTENIMIENTO DE LAS VIAS DE LA SUBREGION DEL SUROESTE DEL DEPARTAMENTO DE ANTIOQUIA</t>
  </si>
  <si>
    <t>2018-OO-20-0002</t>
  </si>
  <si>
    <t>2018-SS-20-0005</t>
  </si>
  <si>
    <t>MEJORAMIENTO, REHABILITACION Y MANTENIMIENTO DE LAS VIAS DE LAS SUBREGIONES NORTE Y BAJO CAUCA DEL DEPARTAMENTO DE ANTIOQUIA, SE EXCLUYEN LAS VÍAS INFLUENCIA DEL PEAJE PAJARITO EN LA SUBREGIÓN NORTE</t>
  </si>
  <si>
    <t>2018-OO-20-0003</t>
  </si>
  <si>
    <t>2018-SS-20-0006</t>
  </si>
  <si>
    <t>MEJORAMIENTO, REHABILITACION Y MANTENIMIENTO DE LAS VIAS DE INFLUENCIA DEL PEAJE PAJARITO DE LA SUBREGIÓN NORTE DEL DEPARTAMENTO DE ANTIOQUIA</t>
  </si>
  <si>
    <t>2018-OO-20-0004</t>
  </si>
  <si>
    <t>2018-SS-20-0004</t>
  </si>
  <si>
    <t>MEJORAMIENTO, REHABILITACION Y MANTENIMIENTO DE LAS VIAS DE LA SUBREGION DE ORIENTE DEL DEPARTAMENTO DE ANTIOQUIA</t>
  </si>
  <si>
    <t>2018-OO-20-0005</t>
  </si>
  <si>
    <t>2018-SS-20-0007</t>
  </si>
  <si>
    <t>MEJORAMIENTO, REHABILITACION Y MANTENIMIENTO DE LAS VIAS DE LAS SUBREGIONES DE OCCIDENTE Y URABA DEL DEPARTAMENTO DE ANTIOQUIA</t>
  </si>
  <si>
    <t>2018-OO-20-0006</t>
  </si>
  <si>
    <t>2018-SS-20-0008</t>
  </si>
  <si>
    <t>MEJORAMIENTO, REHABILITACION Y MANTENIMIENTO DE LAS VIAS DE LAS SUBREGIONES DE NORDESTE Y MAGDALENA MEDIO DEL DEPARTAMENTO DE ANTIOQUIA</t>
  </si>
  <si>
    <t>MEJORAMIENTO, REHABILITACION Y MANTENIMIENTO DE LAS VIAS DE INFLUENCIA DEL PEAJE DE PAJARITO EN LA SUBREGION NORTE DEL DEPARTAMENTO DE ANTIOQUIA</t>
  </si>
  <si>
    <t>MEJORAMIENTO, REHABILITACION Y MANTENIMIENTO DE LAS VIAS DE LAS SUBREGIONE DE NORDESTE Y MAGDALENA MEDIO DEL DEPARTAMENTO DE ANTIOQUIA</t>
  </si>
  <si>
    <t>MEJORAMIENTO, REHABILITACION Y MANTENIMIENTO DE LAS VIAS DE LAS SUBREGIONES DE NORTE Y BAJO CAUCA DEL DEPARTAMENTO DE ANTIOQUIA, SE EXCLUYEN LAS VIAS DE INFLUENCIA DEL PEAJE PAJARITO EN LA SUBREGION NORTE</t>
  </si>
  <si>
    <t>MEJORAMIENTO, REHABILITACION Y MANTENIMIENTO DE LAS VIAS DE LAS SUBREGIONES OCCIDENTE Y URABA DEL DEPARTAMENTO DE ANTIOQUIA</t>
  </si>
  <si>
    <t>MEJORAMIENTO, REHABILITACIÓN Y MANTENIMIENTO DE LAS VIAS EN LAS SUBREGIONES NORTE Y BAJO CAUCA DEL DEPARTAMENTO DE ANTIOQUIA, SE EXCLUYEN LAS VIAS DE INFLUENCIA DEL PEAJE PAJARITO EN LA SUBREGION NORTE</t>
  </si>
  <si>
    <t>MEJORAMIENTO, REHABILITACIÓN Y MANTENIMIENTO DE LAS VIAS EN LAS SUBREGIONES ORIENTE DEL DEPARTAMENTO DE ANTIOQUIA</t>
  </si>
  <si>
    <t>MEJORAMIENTO, REHABILITACIÓN Y MANTENIMIENTO DE LAS VIAS EN LAS SUBREGIONES DE OCCIDENTE Y URABA DEL DEPARTAMENTO DE ANTIOQUIA</t>
  </si>
  <si>
    <t>MEJORAMIENTO, REHABILITACIÓN Y MANTENIMIENTO DE LAS VIAS DE LAS SUBREGIONES DE NORDESTE Y MAGDALENA MEDIO DEL DEPARTAMENTO DE ANTIOQUIA</t>
  </si>
  <si>
    <t>MEJORAMIENTO, REHABILITACIÓN Y MANTENIMIENTO DE LAS VIAS DE LAS SUBREGION SUROESTE DEL DEPARTAMENTO DE ANTIOQUIA</t>
  </si>
  <si>
    <t>MEJORAMIENTO, REHABILITACIÓN Y MANTENIMIENTO DE LAS VIAS DE INFLUENCIA DEL PEAJE PAJARITO EN LA SUBREGION NORTE DEL DEPARTAMENTO DE ANTIOQUIA</t>
  </si>
  <si>
    <t>MANTENIMIENTO, MEJORAMIENTO Y REHABILITACION DE LAS VIAS DE INFLUENCIA DEL PEAJE PAJARITO EN LA SUBREGION NORTE DEL DEPARTAMENTO DE ANTIOQUIA</t>
  </si>
  <si>
    <t>MANTENIMIENTO, MEJORAMIENTO, REHABILITACION Y CONSTRUCCIÓN DE OBRAS COMPLEMENTARIAS EN LAS VÍAS PRIORIZADAS DE LAS SUBREGIONES SUROESTE, OCCIDENTE Y MAGDALENA MEDIO DEL DEPARTAMENTO DE ANTIOQUIA</t>
  </si>
  <si>
    <t>MANTENIMIENTO, MEJORAMIENTO, REHABILITACION Y CONSTRUCCIÓN DE OBRAS COMPLEMENTARIAS EN LAS VÍAS PRIORIZADAS DE LAS SUBREGIONES NORTE Y BAJO CAUCA DEL DEPARTAMENTO DE ANTIOQUIA</t>
  </si>
  <si>
    <t>MANTENIMIENTO, MEJORAMIENTO, REHABILITACION Y CONSTRUCCIÓN DE OBRAS COMPLEMENTARIAS EN LAS VÍAS PRIORIZADAS DE LA SUBREGION ORIENTE DEL DEPARTAMENTO DE ANTIOQUIA</t>
  </si>
  <si>
    <t xml:space="preserve">MEJORAMIENTO, REHABILITACIÓN, MANTENIMIENTO Y CONSTRUCCIÓN DE OBRAS COMPLEMENTARIAS EN VÍAS PRIORIZADAS DE LA SUBREGION URABÁ DEL DEPARTAMENTO DE ANTIOQUIA </t>
  </si>
  <si>
    <t xml:space="preserve">MEJORAMIENTO, REHABILITACIÓN, MANTENIMIENTO Y CONSTRUCCIÓN DE OBRAS COMPLEMENTARIAS EN VÍAS PRIORIZADAS DE LAS SUBREGIONES NORDESTE Y MAGDALENA MEDIO DEL DEPARTAMENTO DE ANTIOQUIA </t>
  </si>
  <si>
    <t>2013-OO-20-0021</t>
  </si>
  <si>
    <t>2013-SS-20-0017</t>
  </si>
  <si>
    <t>MEJORAMIENTO, REHABILITACIÓN, MANTENIMIENTO Y CONSTRUCCIÓN DE OBRAS COMPLEMENTARIAS EN LA RED VIAL DE LA SUBREGION OCCIDENTE Y URABÁ DEL DEPARTAMENTO DE ANTIOQUIA</t>
  </si>
  <si>
    <t>2013-OO-20-0022</t>
  </si>
  <si>
    <t>2013-SS-20-0018</t>
  </si>
  <si>
    <t>MEJORAMIENTO, REHABILITACIÓN, MANTENIMIENTO Y CONSTRUCCIÓN DE OBRAS COMPLEMENTARIAS EN LA RED VIAL DE LA SUBREGION SUROSTE DEL DEPARTAMENTO DE ANTIOQUIA</t>
  </si>
  <si>
    <t>2013-OO-20-0023</t>
  </si>
  <si>
    <t>2013-SS-20-0019</t>
  </si>
  <si>
    <t>MEJORAMIENTO, REHABILITACIÓN, MANTENIMIENTO Y CONSTRUCCIÓN DE OBRAS COMPLEMENTARIAS EN LA RED VIAL DE LA SUBREGION ORIENTE DEL DEPARTAMENTO DE ANTIOQUIA</t>
  </si>
  <si>
    <t>2013-OO-20-0024</t>
  </si>
  <si>
    <t>2013-SS-20-0020</t>
  </si>
  <si>
    <t>MEJORAMIENTO, REHABILITACIÓN, MANTENIMIENTO Y CONSTRUCCIÓN DE OBRAS COMPLEMENTARIAS EN LA RED VIAL DE LAS SUBREGIONES NORTE Y BAJO CAUCA DEL DEPARTAMENTO DE ANTIOQUIA</t>
  </si>
  <si>
    <t>2013-OO-20-0025</t>
  </si>
  <si>
    <t>2013-SS-20-0021</t>
  </si>
  <si>
    <t>MEJORAMIENTO, REHABILITACIÓN, MANTENIMIENTO Y CONSTRUCCIÓN DE OBRAS COMPLEMENTARIAS EN LA RED VIAL DE LAS SUBREGIONES NORDESTE Y MAGDALENA MEDIO DEL DEPARTAMENTO DE ANTIOQUIA</t>
  </si>
  <si>
    <t>MANTENIMIENTO, REHABILITACION Y MEJORAMIENTO EN ESTABILIZACIÓN PARA VÍAS EN AFIRMADO A CARGO DEL DEPARTAMENTO DE ANTIOQUIA</t>
  </si>
  <si>
    <t>2012-OO-20-054</t>
  </si>
  <si>
    <t>2012-SS-20-046</t>
  </si>
  <si>
    <t>MANTENIMIENTO RUTINARIO EN LAS VIAS A CARGO DEL DEPARTAMENTO DE ANTIOQUIA EN LA REGIÓN NORDESTE Y MAGDALENA MEDIO, INCLUYENDO LOS MUNICIPIOS PRIORIZADOS POR DESPLAZAMIENTO</t>
  </si>
  <si>
    <t>MANTENIMIENTO RUTINARIO EN LAS VIAS A CARGO DEL DEPARTAMENTO DE ANTIOQUIA EN LA REGIÓN OCCIDENTE INCLUYENDO LOS MUNICIPIOS PRIORIZADOS POR DESPLAZAMIENTO</t>
  </si>
  <si>
    <t>MANTENIMIENTO RUTINARIO EN LAS VIAS A CARGO DEL DEPARTAMENTO DE ANTIOQUIA EN LA SUBREGION SUROESTE</t>
  </si>
  <si>
    <t>MANTENIMIENTO RUTINARIO EN LAS VIAS A CARGO DEL DEPARTAMENTO DE ANTIOQUIA EN LA REGIÓN URABÁ INCLUYENDO LOS MUNICIPIOS PRIORIZADOS POR DESPLAZAMIENTO</t>
  </si>
  <si>
    <t>MANTENIMIENTO RUTINARIO EN LAS VIAS A CARGO DEL DEPARTAMENTO DE ANTIOQUIA EN LA SUBREGION ORIENTE</t>
  </si>
  <si>
    <t>MANTENIMIENTO RUTINARIO EN LAS VIAS A CARGO DEL DEPARTAMENTO DE ANTIOQUIA, EN LAS REGIONES NORTE Y BAJO CAUCA, INCLUYENDO LOS MUNICIPIOS PRIORIZADOS POR DESPLAZAMIENTO</t>
  </si>
  <si>
    <t>2012-OO-20-0055</t>
  </si>
  <si>
    <t>2012-OO-20-0056</t>
  </si>
  <si>
    <t>2012-OO-20-0057</t>
  </si>
  <si>
    <t>2012-OO-20-0058</t>
  </si>
  <si>
    <t>2012-OO-20-0059</t>
  </si>
  <si>
    <t>2012-SS-20-0047</t>
  </si>
  <si>
    <t>2012-SS-20-0048</t>
  </si>
  <si>
    <t>2012-SS-20-0050</t>
  </si>
  <si>
    <t>2012-SS-20-0049</t>
  </si>
  <si>
    <t>2012-SS-20-0051</t>
  </si>
  <si>
    <t>Contrato interventoría</t>
  </si>
  <si>
    <t>Mantenimiento Manual</t>
  </si>
  <si>
    <t>Contratos de mantenimiento 2012</t>
  </si>
  <si>
    <t>Contratos de mantenimiento 2014</t>
  </si>
  <si>
    <t>Obras transversales</t>
  </si>
  <si>
    <t>Pavimentos</t>
  </si>
  <si>
    <t>Actividad</t>
  </si>
  <si>
    <t>Observación</t>
  </si>
  <si>
    <t>Nota</t>
  </si>
  <si>
    <t xml:space="preserve">Mantenimientos rutinarios </t>
  </si>
  <si>
    <t>Total</t>
  </si>
  <si>
    <t>Limpieza de obras (unidad)</t>
  </si>
  <si>
    <t>Limpieza de cunetas (ml)</t>
  </si>
  <si>
    <t>Rocería (Ha)</t>
  </si>
  <si>
    <t>Salario mínimo 2012</t>
  </si>
  <si>
    <t>Muros de contención y estructuras de contención</t>
  </si>
  <si>
    <t>Mantenimiento Mecánico (m2)</t>
  </si>
  <si>
    <t>Remoción de derrumbes (m3)</t>
  </si>
  <si>
    <t>Salario mínimo 2013</t>
  </si>
  <si>
    <t xml:space="preserve">Valor final contrato de obra </t>
  </si>
  <si>
    <t>Subregión</t>
  </si>
  <si>
    <t>NORDESTE Y MAGDALENA MEDIO</t>
  </si>
  <si>
    <t>OCCIDENTE</t>
  </si>
  <si>
    <t>SUROESTE</t>
  </si>
  <si>
    <t>URABÁ</t>
  </si>
  <si>
    <t>ORIENTE</t>
  </si>
  <si>
    <t>NORTE Y BAJO CAUCA</t>
  </si>
  <si>
    <t>OCCIDENTE Y URABÁ</t>
  </si>
  <si>
    <t>SUROSTE</t>
  </si>
  <si>
    <t>VIAS DE INFLUENCIA DEL PEAJE PAJARITO</t>
  </si>
  <si>
    <t>SUROESTE, OCCIDENTE Y MAGDALENA MEDIO</t>
  </si>
  <si>
    <t xml:space="preserve">NORTE Y BAJO CAUCA </t>
  </si>
  <si>
    <t xml:space="preserve"> OCCIDENTE Y URABA</t>
  </si>
  <si>
    <t xml:space="preserve">VIAS DE INFLUENCIA DEL PEAJE PAJARITO </t>
  </si>
  <si>
    <t xml:space="preserve"> VIAS DE INFLUENCIA DEL PEAJE DE PAJARITO</t>
  </si>
  <si>
    <t xml:space="preserve"> NORDESTE Y MAGDALENA MEDIO</t>
  </si>
  <si>
    <t xml:space="preserve">OCCIDENTE Y URABA </t>
  </si>
  <si>
    <t>OCCIDENTE Y URABA</t>
  </si>
  <si>
    <t xml:space="preserve">OCCIDENTE Y URABÁ </t>
  </si>
  <si>
    <t>VÍAS DE INFLUENCIA DEL PEAJE PAJARITO</t>
  </si>
  <si>
    <t>ORIENTE.</t>
  </si>
  <si>
    <t>VÍAS INFLUENCIA PEAJE PAJARITO</t>
  </si>
  <si>
    <t xml:space="preserve">SUROESTE, OCCIDENTE Y URABÁ </t>
  </si>
  <si>
    <t>NORDESTE, NORTE, BAJO CAUCA Y VÍAS ESPECÍFICAS DEL PEAJE PAJARITO</t>
  </si>
  <si>
    <t>SUBREGIONES ORIENTE Y MAGDALENA MEDIO</t>
  </si>
  <si>
    <t>SUROESTE, OCCIDENTE Y URABÁ</t>
  </si>
  <si>
    <t>ORIENTE Y MAGDALENA MEDIO</t>
  </si>
  <si>
    <t>Salario mínimo 2014</t>
  </si>
  <si>
    <t>Salario mínimo 2015</t>
  </si>
  <si>
    <t>Salario mínimo 2016</t>
  </si>
  <si>
    <t>Salario mínimo 2017</t>
  </si>
  <si>
    <t>Salario mínimo 2018</t>
  </si>
  <si>
    <t>Salario mínimo 2019</t>
  </si>
  <si>
    <t>Salario mínimo 2020</t>
  </si>
  <si>
    <t>Salario mínimo 2021</t>
  </si>
  <si>
    <t>Equivalencia salarios mínimos 2012</t>
  </si>
  <si>
    <t>Equivalenciasalarios mínimos 2013</t>
  </si>
  <si>
    <t>Equivalencia salarios mínimos 2014</t>
  </si>
  <si>
    <t>Equivalencia salarios mínimos 2015</t>
  </si>
  <si>
    <t>Equivalencia salarios mínimos 2016</t>
  </si>
  <si>
    <t>Equivalencia salarios mínimos 2017</t>
  </si>
  <si>
    <t>Equivalencia salarios mínimos 2018</t>
  </si>
  <si>
    <t>Equivalencia salarios mínimos 2019</t>
  </si>
  <si>
    <t>Equivalencia salarios mínimos 2020</t>
  </si>
  <si>
    <t>Equivalencia salarios mínimos 2021</t>
  </si>
  <si>
    <t>Equivalencia salarios mínimos 2022</t>
  </si>
  <si>
    <t>Salario mínimo 2022</t>
  </si>
  <si>
    <t>Contratos de mantenimiento 2013</t>
  </si>
  <si>
    <t>Contratos de mantenimiento 2015</t>
  </si>
  <si>
    <t>Contratos de mantenimiento 2016</t>
  </si>
  <si>
    <t>Contratos de mantenimiento 2017</t>
  </si>
  <si>
    <t>Contratos de mantenimiento 2018</t>
  </si>
  <si>
    <t>Contratos de mantenimiento 2019</t>
  </si>
  <si>
    <t>Contratos de mantenimiento 2020</t>
  </si>
  <si>
    <t>Contratos de mantenimiento 2021</t>
  </si>
  <si>
    <t>Elementos de drenaje vial (ml)</t>
  </si>
  <si>
    <t>Limpieza mecánica de cunetas (m3)</t>
  </si>
  <si>
    <t>Pavimentación (m2)</t>
  </si>
  <si>
    <t>Resaltos (m2)</t>
  </si>
  <si>
    <t>Sello de grietas en pavimento asfáltico con ruteo (ml)</t>
  </si>
  <si>
    <t>Sello de grietas en pavimento asfáltico sin ruteo (ml)</t>
  </si>
  <si>
    <t>Puentes</t>
  </si>
  <si>
    <t>Construcción de puente (unidad)</t>
  </si>
  <si>
    <t>Mantenimiento de puente (unidad)</t>
  </si>
  <si>
    <t>Bacheos y parcheos (m2)</t>
  </si>
  <si>
    <t>Mantenimiento mecánico con o sin adición de material (m3)</t>
  </si>
  <si>
    <t>Cunetas, Canales, Filtros, Rondas de coronación, Geotextiles</t>
  </si>
  <si>
    <t>Estructuras de contención (Unidad)</t>
  </si>
  <si>
    <t>Suministro, colocación, conformación y compactación dematerial de la zona para
 afirmado de vías</t>
  </si>
  <si>
    <t>Limpieza de obras transversales (unidad)</t>
  </si>
  <si>
    <t xml:space="preserve"> Conformación de la calzada existente con motoniveladora.</t>
  </si>
  <si>
    <t>Señales verticales (unidad)</t>
  </si>
  <si>
    <t>Obras transversales (unidad)</t>
  </si>
  <si>
    <t>Estructuras de drenaje vial</t>
  </si>
  <si>
    <t>Box coulvert (unidad)</t>
  </si>
  <si>
    <t>Disipadores (unidad)</t>
  </si>
  <si>
    <t>TODOS</t>
  </si>
  <si>
    <t>TODAS</t>
  </si>
  <si>
    <t xml:space="preserve">Valor final contratos de obra </t>
  </si>
  <si>
    <t>Equivalencia salarios mínimos</t>
  </si>
  <si>
    <t xml:space="preserve">Equivalencia salarios mínimos </t>
  </si>
  <si>
    <t>Contratos de mantenimiento vial a cargo del Departamento de Antioquia</t>
  </si>
  <si>
    <t xml:space="preserve"> </t>
  </si>
  <si>
    <t>Contratos de mantenimiento 2022 - corte a Mayo de 2024</t>
  </si>
  <si>
    <t>Obra transversal</t>
  </si>
  <si>
    <t xml:space="preserve">Contratos de mantenimiento vial a cargo del Departamento de Antioquia 2012-2015 </t>
  </si>
  <si>
    <t>Contratos de mantenimiento vial a cargo del Departamento de Antioquia 2016-2019</t>
  </si>
  <si>
    <t>Contratos de mantenimiento vial a cargo del Departamento de Antioquia 2023-23</t>
  </si>
  <si>
    <t>Administración</t>
  </si>
  <si>
    <t>2012-2015</t>
  </si>
  <si>
    <t>2016-2019</t>
  </si>
  <si>
    <t>2020-2023</t>
  </si>
  <si>
    <t>Ejecución de los contratos de mantenimiento vial a cargo del Departamento de Antioquia en las diferentes administraciones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</si>
</sst>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;[Red]\-&quot;$&quot;#,##0"/>
    <numFmt numFmtId="44" formatCode="_-&quot;$&quot;* #,##0.00_-;\-&quot;$&quot;* #,##0.00_-;_-&quot;$&quot;* &quot;-&quot;??_-;_-@_-"/>
    <numFmt numFmtId="164" formatCode="_-&quot;$&quot;\ * #,##0_-;\-&quot;$&quot;\ * #,##0_-;_-&quot;$&quot;\ * &quot;-&quot;_-;_-@_-"/>
    <numFmt numFmtId="165" formatCode="0.0"/>
    <numFmt numFmtId="166" formatCode="&quot;$&quot;\ #,##0"/>
    <numFmt numFmtId="167" formatCode="&quot;$&quot;#,##0"/>
    <numFmt numFmtId="168" formatCode="&quot;$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40404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0" fillId="0" borderId="1" xfId="1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164" fontId="1" fillId="3" borderId="1" xfId="0" applyNumberFormat="1" applyFont="1" applyFill="1" applyBorder="1" applyAlignment="1">
      <alignment vertical="center"/>
    </xf>
    <xf numFmtId="44" fontId="1" fillId="3" borderId="1" xfId="2" applyFont="1" applyFill="1" applyBorder="1" applyAlignment="1">
      <alignment vertical="center"/>
    </xf>
    <xf numFmtId="6" fontId="0" fillId="0" borderId="1" xfId="0" applyNumberFormat="1" applyBorder="1" applyAlignment="1">
      <alignment horizontal="center" vertical="center"/>
    </xf>
    <xf numFmtId="165" fontId="0" fillId="0" borderId="1" xfId="1" applyNumberFormat="1" applyFon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/>
    </xf>
    <xf numFmtId="0" fontId="1" fillId="3" borderId="1" xfId="2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44" fontId="1" fillId="0" borderId="0" xfId="2" applyFont="1" applyFill="1" applyBorder="1" applyAlignment="1">
      <alignment vertical="center"/>
    </xf>
    <xf numFmtId="0" fontId="1" fillId="0" borderId="0" xfId="2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165" fontId="1" fillId="3" borderId="1" xfId="2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6" fontId="1" fillId="3" borderId="1" xfId="1" applyNumberFormat="1" applyFon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4" fontId="0" fillId="0" borderId="1" xfId="2" applyFont="1" applyBorder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2" fontId="0" fillId="0" borderId="0" xfId="2" applyNumberFormat="1" applyFont="1" applyFill="1" applyAlignment="1">
      <alignment horizontal="center" vertical="center"/>
    </xf>
    <xf numFmtId="164" fontId="5" fillId="0" borderId="1" xfId="1" applyFont="1" applyBorder="1" applyAlignment="1">
      <alignment horizontal="center" vertical="center"/>
    </xf>
    <xf numFmtId="165" fontId="5" fillId="0" borderId="1" xfId="1" applyNumberFormat="1" applyFont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2" fontId="1" fillId="3" borderId="1" xfId="1" applyNumberFormat="1" applyFon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3" fillId="0" borderId="6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2" fontId="0" fillId="0" borderId="0" xfId="3" applyNumberFormat="1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3" borderId="2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44" fontId="1" fillId="0" borderId="1" xfId="2" applyFont="1" applyFill="1" applyBorder="1" applyAlignment="1">
      <alignment horizontal="center" vertical="center"/>
    </xf>
  </cellXfs>
  <cellStyles count="4">
    <cellStyle name="Moneda" xfId="2" builtinId="4"/>
    <cellStyle name="Moneda [0]" xfId="1" builtinId="7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'2012'!$I$5:$I$10</c:f>
              <c:numCache>
                <c:formatCode>General</c:formatCode>
                <c:ptCount val="6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9-4DA5-B6B8-63726EF12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38213552"/>
        <c:axId val="2038214384"/>
      </c:barChart>
      <c:catAx>
        <c:axId val="2038213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14384"/>
        <c:crosses val="autoZero"/>
        <c:auto val="1"/>
        <c:lblAlgn val="ctr"/>
        <c:lblOffset val="100"/>
        <c:noMultiLvlLbl val="0"/>
      </c:catAx>
      <c:valAx>
        <c:axId val="2038214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13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'2012'!$H$4:$H$10</c:f>
              <c:strCache>
                <c:ptCount val="7"/>
                <c:pt idx="1">
                  <c:v>NORDESTE Y MAGDALENA MEDIO</c:v>
                </c:pt>
                <c:pt idx="2">
                  <c:v>OCCIDENTE</c:v>
                </c:pt>
                <c:pt idx="3">
                  <c:v>SUROESTE</c:v>
                </c:pt>
                <c:pt idx="4">
                  <c:v>URABÁ</c:v>
                </c:pt>
                <c:pt idx="5">
                  <c:v>ORIENTE</c:v>
                </c:pt>
                <c:pt idx="6">
                  <c:v>NORTE Y BAJO CAUCA</c:v>
                </c:pt>
              </c:strCache>
            </c:strRef>
          </c:cat>
          <c:val>
            <c:numRef>
              <c:f>'2012'!$AB$4:$AB$10</c:f>
              <c:numCache>
                <c:formatCode>General</c:formatCode>
                <c:ptCount val="7"/>
                <c:pt idx="1">
                  <c:v>0</c:v>
                </c:pt>
                <c:pt idx="2">
                  <c:v>0</c:v>
                </c:pt>
                <c:pt idx="3">
                  <c:v>72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B-405A-A3F4-A8F13CBA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731111920"/>
        <c:axId val="1731112752"/>
      </c:barChart>
      <c:catAx>
        <c:axId val="173111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731112752"/>
        <c:crosses val="autoZero"/>
        <c:auto val="1"/>
        <c:lblAlgn val="ctr"/>
        <c:lblOffset val="100"/>
        <c:noMultiLvlLbl val="0"/>
      </c:catAx>
      <c:valAx>
        <c:axId val="173111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73111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'2018'!$P$5:$P$10</c:f>
              <c:numCache>
                <c:formatCode>General</c:formatCode>
                <c:ptCount val="6"/>
                <c:pt idx="0">
                  <c:v>2187</c:v>
                </c:pt>
                <c:pt idx="1">
                  <c:v>1132</c:v>
                </c:pt>
                <c:pt idx="2">
                  <c:v>1038</c:v>
                </c:pt>
                <c:pt idx="3">
                  <c:v>3335</c:v>
                </c:pt>
                <c:pt idx="4">
                  <c:v>1960</c:v>
                </c:pt>
                <c:pt idx="5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E-4954-9989-D5563114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52847696"/>
        <c:axId val="752840976"/>
      </c:barChart>
      <c:catAx>
        <c:axId val="752847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40976"/>
        <c:crosses val="autoZero"/>
        <c:auto val="1"/>
        <c:lblAlgn val="ctr"/>
        <c:lblOffset val="100"/>
        <c:noMultiLvlLbl val="0"/>
      </c:catAx>
      <c:valAx>
        <c:axId val="75284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4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'2018'!$Q$5:$Q$10</c:f>
              <c:numCache>
                <c:formatCode>General</c:formatCode>
                <c:ptCount val="6"/>
                <c:pt idx="0">
                  <c:v>461490</c:v>
                </c:pt>
                <c:pt idx="1">
                  <c:v>208905.3</c:v>
                </c:pt>
                <c:pt idx="2">
                  <c:v>154700</c:v>
                </c:pt>
                <c:pt idx="3">
                  <c:v>406350</c:v>
                </c:pt>
                <c:pt idx="4">
                  <c:v>215410</c:v>
                </c:pt>
                <c:pt idx="5">
                  <c:v>186716.2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F-4B65-8042-AC23F9F6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10020015"/>
        <c:axId val="610020495"/>
      </c:barChart>
      <c:catAx>
        <c:axId val="6100200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610020495"/>
        <c:crosses val="autoZero"/>
        <c:auto val="1"/>
        <c:lblAlgn val="ctr"/>
        <c:lblOffset val="100"/>
        <c:noMultiLvlLbl val="0"/>
      </c:catAx>
      <c:valAx>
        <c:axId val="6100204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610020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'2018'!$R$5:$R$10</c:f>
              <c:numCache>
                <c:formatCode>General</c:formatCode>
                <c:ptCount val="6"/>
                <c:pt idx="0">
                  <c:v>165.85</c:v>
                </c:pt>
                <c:pt idx="1">
                  <c:v>76.47</c:v>
                </c:pt>
                <c:pt idx="2">
                  <c:v>74.33</c:v>
                </c:pt>
                <c:pt idx="3">
                  <c:v>254.95</c:v>
                </c:pt>
                <c:pt idx="4">
                  <c:v>184.7</c:v>
                </c:pt>
                <c:pt idx="5">
                  <c:v>81.290000000000006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9-4F1F-A8D6-8EAA341CE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18293215"/>
        <c:axId val="1132743615"/>
      </c:barChart>
      <c:catAx>
        <c:axId val="51829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43615"/>
        <c:crosses val="autoZero"/>
        <c:auto val="1"/>
        <c:lblAlgn val="ctr"/>
        <c:lblOffset val="100"/>
        <c:noMultiLvlLbl val="0"/>
      </c:catAx>
      <c:valAx>
        <c:axId val="11327436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18293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'2018'!$U$5:$U$10</c:f>
              <c:numCache>
                <c:formatCode>General</c:formatCode>
                <c:ptCount val="6"/>
                <c:pt idx="0">
                  <c:v>0</c:v>
                </c:pt>
                <c:pt idx="1">
                  <c:v>7366.2999999999993</c:v>
                </c:pt>
                <c:pt idx="2">
                  <c:v>10755.599999999999</c:v>
                </c:pt>
                <c:pt idx="3">
                  <c:v>2889.2999999999997</c:v>
                </c:pt>
                <c:pt idx="4">
                  <c:v>6463.9999999999991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C-4F76-9DDA-44AE29ED2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697535"/>
        <c:axId val="1132689375"/>
      </c:barChart>
      <c:catAx>
        <c:axId val="11326975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89375"/>
        <c:crosses val="autoZero"/>
        <c:auto val="1"/>
        <c:lblAlgn val="ctr"/>
        <c:lblOffset val="100"/>
        <c:noMultiLvlLbl val="0"/>
      </c:catAx>
      <c:valAx>
        <c:axId val="11326893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975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'2018'!$V$5:$V$10</c:f>
              <c:numCache>
                <c:formatCode>General</c:formatCode>
                <c:ptCount val="6"/>
                <c:pt idx="0">
                  <c:v>10116</c:v>
                </c:pt>
                <c:pt idx="1">
                  <c:v>0</c:v>
                </c:pt>
                <c:pt idx="2">
                  <c:v>7403.9</c:v>
                </c:pt>
                <c:pt idx="3">
                  <c:v>4995.5999999999995</c:v>
                </c:pt>
                <c:pt idx="4">
                  <c:v>105.99999999999999</c:v>
                </c:pt>
                <c:pt idx="5">
                  <c:v>6973.9999999999991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B-428E-9FA1-B59AFB38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52852496"/>
        <c:axId val="752852976"/>
      </c:barChart>
      <c:catAx>
        <c:axId val="752852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2976"/>
        <c:crosses val="autoZero"/>
        <c:auto val="1"/>
        <c:lblAlgn val="ctr"/>
        <c:lblOffset val="100"/>
        <c:noMultiLvlLbl val="0"/>
      </c:catAx>
      <c:valAx>
        <c:axId val="752852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'2018'!$X$4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'2018'!$X$5:$X$10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10268.799999999999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D-4428-AC53-AE9EDDDC2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4985391"/>
        <c:axId val="1084992111"/>
      </c:barChart>
      <c:catAx>
        <c:axId val="10849853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2111"/>
        <c:crosses val="autoZero"/>
        <c:auto val="1"/>
        <c:lblAlgn val="ctr"/>
        <c:lblOffset val="100"/>
        <c:noMultiLvlLbl val="0"/>
      </c:catAx>
      <c:valAx>
        <c:axId val="10849921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8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'2018'!$AA$5:$AA$10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2-4FB9-90F4-DCCDDAF06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5000271"/>
        <c:axId val="1084996911"/>
      </c:barChart>
      <c:catAx>
        <c:axId val="1085000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6911"/>
        <c:crosses val="autoZero"/>
        <c:auto val="1"/>
        <c:lblAlgn val="ctr"/>
        <c:lblOffset val="100"/>
        <c:noMultiLvlLbl val="0"/>
      </c:catAx>
      <c:valAx>
        <c:axId val="1084996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5000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'2018'!$H$4:$H$10</c:f>
              <c:strCache>
                <c:ptCount val="7"/>
                <c:pt idx="1">
                  <c:v>SUROESTE</c:v>
                </c:pt>
                <c:pt idx="2">
                  <c:v>NORTE Y BAJO CAUCA</c:v>
                </c:pt>
                <c:pt idx="3">
                  <c:v>VIAS DE INFLUENCIA DEL PEAJE PAJARITO </c:v>
                </c:pt>
                <c:pt idx="4">
                  <c:v>ORIENTE</c:v>
                </c:pt>
                <c:pt idx="5">
                  <c:v>OCCIDENTE Y URABA</c:v>
                </c:pt>
                <c:pt idx="6">
                  <c:v>NORDESTE Y MAGDALENA MEDIO</c:v>
                </c:pt>
              </c:strCache>
            </c:strRef>
          </c:cat>
          <c:val>
            <c:numRef>
              <c:f>'2018'!$AB$4:$AB$10</c:f>
              <c:numCache>
                <c:formatCode>General</c:formatCode>
                <c:ptCount val="7"/>
                <c:pt idx="1">
                  <c:v>4</c:v>
                </c:pt>
                <c:pt idx="2">
                  <c:v>20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C-41E9-8E4B-AF61D27B8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4995951"/>
        <c:axId val="1084994991"/>
      </c:barChart>
      <c:catAx>
        <c:axId val="10849959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4991"/>
        <c:crosses val="autoZero"/>
        <c:auto val="1"/>
        <c:lblAlgn val="ctr"/>
        <c:lblOffset val="100"/>
        <c:noMultiLvlLbl val="0"/>
      </c:catAx>
      <c:valAx>
        <c:axId val="10849949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5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'2018'!$H$4:$H$10</c:f>
              <c:strCache>
                <c:ptCount val="7"/>
                <c:pt idx="1">
                  <c:v>SUROESTE</c:v>
                </c:pt>
                <c:pt idx="2">
                  <c:v>NORTE Y BAJO CAUCA</c:v>
                </c:pt>
                <c:pt idx="3">
                  <c:v>VIAS DE INFLUENCIA DEL PEAJE PAJARITO </c:v>
                </c:pt>
                <c:pt idx="4">
                  <c:v>ORIENTE</c:v>
                </c:pt>
                <c:pt idx="5">
                  <c:v>OCCIDENTE Y URABA</c:v>
                </c:pt>
                <c:pt idx="6">
                  <c:v>NORDESTE Y MAGDALENA MEDIO</c:v>
                </c:pt>
              </c:strCache>
            </c:strRef>
          </c:cat>
          <c:val>
            <c:numRef>
              <c:f>'2018'!$M$4:$M$10</c:f>
              <c:numCache>
                <c:formatCode>General</c:formatCode>
                <c:ptCount val="7"/>
                <c:pt idx="1">
                  <c:v>29</c:v>
                </c:pt>
                <c:pt idx="2">
                  <c:v>20</c:v>
                </c:pt>
                <c:pt idx="3">
                  <c:v>5</c:v>
                </c:pt>
                <c:pt idx="4">
                  <c:v>5</c:v>
                </c:pt>
                <c:pt idx="5">
                  <c:v>28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8-4C02-93C5-3042925B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86271"/>
        <c:axId val="1154762751"/>
      </c:barChart>
      <c:catAx>
        <c:axId val="1154786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62751"/>
        <c:crosses val="autoZero"/>
        <c:auto val="1"/>
        <c:lblAlgn val="ctr"/>
        <c:lblOffset val="100"/>
        <c:noMultiLvlLbl val="0"/>
      </c:catAx>
      <c:valAx>
        <c:axId val="1154762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8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'2018'!$H$4:$H$10</c:f>
              <c:strCache>
                <c:ptCount val="7"/>
                <c:pt idx="1">
                  <c:v>SUROESTE</c:v>
                </c:pt>
                <c:pt idx="2">
                  <c:v>NORTE Y BAJO CAUCA</c:v>
                </c:pt>
                <c:pt idx="3">
                  <c:v>VIAS DE INFLUENCIA DEL PEAJE PAJARITO </c:v>
                </c:pt>
                <c:pt idx="4">
                  <c:v>ORIENTE</c:v>
                </c:pt>
                <c:pt idx="5">
                  <c:v>OCCIDENTE Y URABA</c:v>
                </c:pt>
                <c:pt idx="6">
                  <c:v>NORDESTE Y MAGDALENA MEDIO</c:v>
                </c:pt>
              </c:strCache>
            </c:strRef>
          </c:cat>
          <c:val>
            <c:numRef>
              <c:f>'2018'!$N$4:$N$10</c:f>
              <c:numCache>
                <c:formatCode>General</c:formatCode>
                <c:ptCount val="7"/>
                <c:pt idx="1">
                  <c:v>2117.1999999999998</c:v>
                </c:pt>
                <c:pt idx="2">
                  <c:v>8780.0499999999993</c:v>
                </c:pt>
                <c:pt idx="3">
                  <c:v>9164.1</c:v>
                </c:pt>
                <c:pt idx="4">
                  <c:v>10386.58</c:v>
                </c:pt>
                <c:pt idx="5">
                  <c:v>22770.2</c:v>
                </c:pt>
                <c:pt idx="6">
                  <c:v>7237.18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4-4D8D-8545-54994E543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982386687"/>
        <c:axId val="1982382847"/>
      </c:barChart>
      <c:catAx>
        <c:axId val="19823866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982382847"/>
        <c:crosses val="autoZero"/>
        <c:auto val="1"/>
        <c:lblAlgn val="ctr"/>
        <c:lblOffset val="100"/>
        <c:noMultiLvlLbl val="0"/>
      </c:catAx>
      <c:valAx>
        <c:axId val="19823828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982386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'2012'!$E$5:$E$10</c:f>
              <c:numCache>
                <c:formatCode>_-"$"\ * #,##0_-;\-"$"\ * #,##0_-;_-"$"\ * "-"_-;_-@_-</c:formatCode>
                <c:ptCount val="6"/>
                <c:pt idx="0">
                  <c:v>4474359011</c:v>
                </c:pt>
                <c:pt idx="1">
                  <c:v>2157100125</c:v>
                </c:pt>
                <c:pt idx="2">
                  <c:v>5062209846</c:v>
                </c:pt>
                <c:pt idx="3">
                  <c:v>2235162975</c:v>
                </c:pt>
                <c:pt idx="4">
                  <c:v>5464669932</c:v>
                </c:pt>
                <c:pt idx="5">
                  <c:v>4256027853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F-47A4-AFA4-95EA78B3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731111920"/>
        <c:axId val="1731112752"/>
      </c:barChart>
      <c:catAx>
        <c:axId val="173111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731112752"/>
        <c:crosses val="autoZero"/>
        <c:auto val="1"/>
        <c:lblAlgn val="ctr"/>
        <c:lblOffset val="100"/>
        <c:noMultiLvlLbl val="0"/>
      </c:catAx>
      <c:valAx>
        <c:axId val="173111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73111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'2018'!$H$4:$H$10</c:f>
              <c:strCache>
                <c:ptCount val="7"/>
                <c:pt idx="1">
                  <c:v>SUROESTE</c:v>
                </c:pt>
                <c:pt idx="2">
                  <c:v>NORTE Y BAJO CAUCA</c:v>
                </c:pt>
                <c:pt idx="3">
                  <c:v>VIAS DE INFLUENCIA DEL PEAJE PAJARITO </c:v>
                </c:pt>
                <c:pt idx="4">
                  <c:v>ORIENTE</c:v>
                </c:pt>
                <c:pt idx="5">
                  <c:v>OCCIDENTE Y URABA</c:v>
                </c:pt>
                <c:pt idx="6">
                  <c:v>NORDESTE Y MAGDALENA MEDIO</c:v>
                </c:pt>
              </c:strCache>
            </c:strRef>
          </c:cat>
          <c:val>
            <c:numRef>
              <c:f>'2018'!$S$4:$S$10</c:f>
              <c:numCache>
                <c:formatCode>General</c:formatCode>
                <c:ptCount val="7"/>
                <c:pt idx="1">
                  <c:v>64551.8</c:v>
                </c:pt>
                <c:pt idx="2">
                  <c:v>88456.06</c:v>
                </c:pt>
                <c:pt idx="3">
                  <c:v>5238.8900000000003</c:v>
                </c:pt>
                <c:pt idx="4">
                  <c:v>41516.9</c:v>
                </c:pt>
                <c:pt idx="5">
                  <c:v>33004.9</c:v>
                </c:pt>
                <c:pt idx="6">
                  <c:v>73058.100000000006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3-4FD3-ABCF-F5314C334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897279"/>
        <c:axId val="770908799"/>
      </c:barChart>
      <c:catAx>
        <c:axId val="770897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08799"/>
        <c:crosses val="autoZero"/>
        <c:auto val="1"/>
        <c:lblAlgn val="ctr"/>
        <c:lblOffset val="100"/>
        <c:noMultiLvlLbl val="0"/>
      </c:catAx>
      <c:valAx>
        <c:axId val="77090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897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'2018'!$H$4:$H$10</c:f>
              <c:strCache>
                <c:ptCount val="7"/>
                <c:pt idx="1">
                  <c:v>SUROESTE</c:v>
                </c:pt>
                <c:pt idx="2">
                  <c:v>NORTE Y BAJO CAUCA</c:v>
                </c:pt>
                <c:pt idx="3">
                  <c:v>VIAS DE INFLUENCIA DEL PEAJE PAJARITO </c:v>
                </c:pt>
                <c:pt idx="4">
                  <c:v>ORIENTE</c:v>
                </c:pt>
                <c:pt idx="5">
                  <c:v>OCCIDENTE Y URABA</c:v>
                </c:pt>
                <c:pt idx="6">
                  <c:v>NORDESTE Y MAGDALENA MEDIO</c:v>
                </c:pt>
              </c:strCache>
            </c:strRef>
          </c:cat>
          <c:val>
            <c:numRef>
              <c:f>'2018'!$O$4:$O$10</c:f>
              <c:numCache>
                <c:formatCode>General</c:formatCode>
                <c:ptCount val="7"/>
                <c:pt idx="1">
                  <c:v>275606</c:v>
                </c:pt>
                <c:pt idx="2">
                  <c:v>1257145</c:v>
                </c:pt>
                <c:pt idx="3">
                  <c:v>466854</c:v>
                </c:pt>
                <c:pt idx="4">
                  <c:v>64180</c:v>
                </c:pt>
                <c:pt idx="5">
                  <c:v>1008800</c:v>
                </c:pt>
                <c:pt idx="6">
                  <c:v>828603.5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56-AD82-10F0C9651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896799"/>
        <c:axId val="770894399"/>
      </c:barChart>
      <c:catAx>
        <c:axId val="7708967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894399"/>
        <c:crosses val="autoZero"/>
        <c:auto val="1"/>
        <c:lblAlgn val="ctr"/>
        <c:lblOffset val="100"/>
        <c:noMultiLvlLbl val="0"/>
      </c:catAx>
      <c:valAx>
        <c:axId val="7708943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896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'2018'!$E$5:$E$10</c:f>
              <c:numCache>
                <c:formatCode>_-"$"\ * #,##0_-;\-"$"\ * #,##0_-;_-"$"\ * "-"_-;_-@_-</c:formatCode>
                <c:ptCount val="6"/>
                <c:pt idx="0">
                  <c:v>8126599324</c:v>
                </c:pt>
                <c:pt idx="1">
                  <c:v>6994292572</c:v>
                </c:pt>
                <c:pt idx="2">
                  <c:v>5499763303</c:v>
                </c:pt>
                <c:pt idx="3">
                  <c:v>5961604389</c:v>
                </c:pt>
                <c:pt idx="4">
                  <c:v>7506830256</c:v>
                </c:pt>
                <c:pt idx="5">
                  <c:v>5321334795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8-43C3-8A91-8E5F61998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'2019'!$I$5:$I$10</c:f>
              <c:numCache>
                <c:formatCode>General</c:formatCode>
                <c:ptCount val="6"/>
                <c:pt idx="0">
                  <c:v>7</c:v>
                </c:pt>
                <c:pt idx="1">
                  <c:v>4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0-4380-84EF-D94537DE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692735"/>
        <c:axId val="1132686015"/>
      </c:barChart>
      <c:catAx>
        <c:axId val="11326927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86015"/>
        <c:crosses val="autoZero"/>
        <c:auto val="1"/>
        <c:lblAlgn val="ctr"/>
        <c:lblOffset val="100"/>
        <c:noMultiLvlLbl val="0"/>
      </c:catAx>
      <c:valAx>
        <c:axId val="1132686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92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'2019'!$J$5:$J$10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400</c:v>
                </c:pt>
                <c:pt idx="4">
                  <c:v>500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79-4779-B2A7-8F314CA9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97263"/>
        <c:axId val="895670863"/>
      </c:barChart>
      <c:catAx>
        <c:axId val="895697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70863"/>
        <c:crosses val="autoZero"/>
        <c:auto val="1"/>
        <c:lblAlgn val="ctr"/>
        <c:lblOffset val="100"/>
        <c:noMultiLvlLbl val="0"/>
      </c:catAx>
      <c:valAx>
        <c:axId val="895670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97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'2019'!$L$5:$L$10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A-4AA6-B182-5FBEE4E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694175"/>
        <c:axId val="1132695135"/>
      </c:barChart>
      <c:catAx>
        <c:axId val="11326941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95135"/>
        <c:crosses val="autoZero"/>
        <c:auto val="1"/>
        <c:lblAlgn val="ctr"/>
        <c:lblOffset val="100"/>
        <c:noMultiLvlLbl val="0"/>
      </c:catAx>
      <c:valAx>
        <c:axId val="1132695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9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'2019'!$P$5:$P$10</c:f>
              <c:numCache>
                <c:formatCode>General</c:formatCode>
                <c:ptCount val="6"/>
                <c:pt idx="0">
                  <c:v>561</c:v>
                </c:pt>
                <c:pt idx="1">
                  <c:v>1249</c:v>
                </c:pt>
                <c:pt idx="2">
                  <c:v>1775</c:v>
                </c:pt>
                <c:pt idx="3">
                  <c:v>2594</c:v>
                </c:pt>
                <c:pt idx="4">
                  <c:v>1351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1-4505-9602-6234F947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52860656"/>
        <c:axId val="752844816"/>
      </c:barChart>
      <c:catAx>
        <c:axId val="752860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44816"/>
        <c:crosses val="autoZero"/>
        <c:auto val="1"/>
        <c:lblAlgn val="ctr"/>
        <c:lblOffset val="100"/>
        <c:noMultiLvlLbl val="0"/>
      </c:catAx>
      <c:valAx>
        <c:axId val="752844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6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'2019'!$Q$5:$Q$10</c:f>
              <c:numCache>
                <c:formatCode>General</c:formatCode>
                <c:ptCount val="6"/>
                <c:pt idx="0">
                  <c:v>184262</c:v>
                </c:pt>
                <c:pt idx="1">
                  <c:v>391591</c:v>
                </c:pt>
                <c:pt idx="2">
                  <c:v>373078.8</c:v>
                </c:pt>
                <c:pt idx="3">
                  <c:v>438718.4</c:v>
                </c:pt>
                <c:pt idx="4">
                  <c:v>225817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7-4E0B-958A-6AD7880D0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98703"/>
        <c:axId val="895686223"/>
      </c:barChart>
      <c:catAx>
        <c:axId val="8956987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86223"/>
        <c:crosses val="autoZero"/>
        <c:auto val="1"/>
        <c:lblAlgn val="ctr"/>
        <c:lblOffset val="100"/>
        <c:noMultiLvlLbl val="0"/>
      </c:catAx>
      <c:valAx>
        <c:axId val="895686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9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'2019'!$R$5:$R$10</c:f>
              <c:numCache>
                <c:formatCode>General</c:formatCode>
                <c:ptCount val="6"/>
                <c:pt idx="0">
                  <c:v>121.13</c:v>
                </c:pt>
                <c:pt idx="1">
                  <c:v>151.69999999999999</c:v>
                </c:pt>
                <c:pt idx="2">
                  <c:v>108.5</c:v>
                </c:pt>
                <c:pt idx="3">
                  <c:v>179.95</c:v>
                </c:pt>
                <c:pt idx="4">
                  <c:v>71.3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C-42BD-A372-D9CEB536D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5002191"/>
        <c:axId val="1084999791"/>
      </c:barChart>
      <c:catAx>
        <c:axId val="1085002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9791"/>
        <c:crosses val="autoZero"/>
        <c:auto val="1"/>
        <c:lblAlgn val="ctr"/>
        <c:lblOffset val="100"/>
        <c:noMultiLvlLbl val="0"/>
      </c:catAx>
      <c:valAx>
        <c:axId val="10849997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5002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'2019'!$U$5:$U$10</c:f>
              <c:numCache>
                <c:formatCode>General</c:formatCode>
                <c:ptCount val="6"/>
                <c:pt idx="0">
                  <c:v>6040</c:v>
                </c:pt>
                <c:pt idx="1">
                  <c:v>0</c:v>
                </c:pt>
                <c:pt idx="2">
                  <c:v>21325.999999999996</c:v>
                </c:pt>
                <c:pt idx="3">
                  <c:v>7595.7</c:v>
                </c:pt>
                <c:pt idx="4">
                  <c:v>1005.9999999999999</c:v>
                </c:pt>
                <c:pt idx="5">
                  <c:v>11297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D-488C-A1AC-56B6A450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66223"/>
        <c:axId val="1284588783"/>
      </c:barChart>
      <c:catAx>
        <c:axId val="1284566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88783"/>
        <c:crosses val="autoZero"/>
        <c:auto val="1"/>
        <c:lblAlgn val="ctr"/>
        <c:lblOffset val="100"/>
        <c:noMultiLvlLbl val="0"/>
      </c:catAx>
      <c:valAx>
        <c:axId val="1284588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6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'2012'!$H$4:$H$10</c:f>
              <c:strCache>
                <c:ptCount val="7"/>
                <c:pt idx="1">
                  <c:v>NORDESTE Y MAGDALENA MEDIO</c:v>
                </c:pt>
                <c:pt idx="2">
                  <c:v>OCCIDENTE</c:v>
                </c:pt>
                <c:pt idx="3">
                  <c:v>SUROESTE</c:v>
                </c:pt>
                <c:pt idx="4">
                  <c:v>URABÁ</c:v>
                </c:pt>
                <c:pt idx="5">
                  <c:v>ORIENTE</c:v>
                </c:pt>
                <c:pt idx="6">
                  <c:v>NORTE Y BAJO CAUCA</c:v>
                </c:pt>
              </c:strCache>
            </c:strRef>
          </c:cat>
          <c:val>
            <c:numRef>
              <c:f>'2012'!$M$4:$M$10</c:f>
              <c:numCache>
                <c:formatCode>General</c:formatCode>
                <c:ptCount val="7"/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B66-B825-1153CCA13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65983"/>
        <c:axId val="485377983"/>
      </c:barChart>
      <c:catAx>
        <c:axId val="485365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77983"/>
        <c:crosses val="autoZero"/>
        <c:auto val="1"/>
        <c:lblAlgn val="ctr"/>
        <c:lblOffset val="100"/>
        <c:noMultiLvlLbl val="0"/>
      </c:catAx>
      <c:valAx>
        <c:axId val="4853779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65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'2019'!$V$5:$V$10</c:f>
              <c:numCache>
                <c:formatCode>General</c:formatCode>
                <c:ptCount val="6"/>
                <c:pt idx="0">
                  <c:v>0</c:v>
                </c:pt>
                <c:pt idx="1">
                  <c:v>8083.9999999999991</c:v>
                </c:pt>
                <c:pt idx="2">
                  <c:v>0</c:v>
                </c:pt>
                <c:pt idx="3">
                  <c:v>2021.8999999999999</c:v>
                </c:pt>
                <c:pt idx="4">
                  <c:v>3641.9999999999995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0-4709-865E-B1B8EB60D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04143"/>
        <c:axId val="1284611343"/>
      </c:barChart>
      <c:catAx>
        <c:axId val="1284604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1343"/>
        <c:crosses val="autoZero"/>
        <c:auto val="1"/>
        <c:lblAlgn val="ctr"/>
        <c:lblOffset val="100"/>
        <c:noMultiLvlLbl val="0"/>
      </c:catAx>
      <c:valAx>
        <c:axId val="1284611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4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'2019'!$X$4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'2019'!$X$5:$X$10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4834.5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B-44D7-B0DC-2C9C43E24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93583"/>
        <c:axId val="1284597903"/>
      </c:barChart>
      <c:catAx>
        <c:axId val="12845935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97903"/>
        <c:crosses val="autoZero"/>
        <c:auto val="1"/>
        <c:lblAlgn val="ctr"/>
        <c:lblOffset val="100"/>
        <c:noMultiLvlLbl val="0"/>
      </c:catAx>
      <c:valAx>
        <c:axId val="1284597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93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'2019'!$Y$4</c:f>
              <c:strCache>
                <c:ptCount val="1"/>
                <c:pt idx="0">
                  <c:v>Sello de grietas en pavimento asfáltico sin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'2019'!$Y$5:$Y$10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</c:v>
                </c:pt>
                <c:pt idx="4">
                  <c:v>17233.599999999999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7-41A6-9AAD-00DE07474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15183"/>
        <c:axId val="1284605103"/>
      </c:barChart>
      <c:catAx>
        <c:axId val="1284615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5103"/>
        <c:crosses val="autoZero"/>
        <c:auto val="1"/>
        <c:lblAlgn val="ctr"/>
        <c:lblOffset val="100"/>
        <c:noMultiLvlLbl val="0"/>
      </c:catAx>
      <c:valAx>
        <c:axId val="1284605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5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'2019'!$AA$5:$AA$10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1-4B65-BA14-C89BFAC98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13263"/>
        <c:axId val="1284606063"/>
      </c:barChart>
      <c:catAx>
        <c:axId val="1284613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6063"/>
        <c:crosses val="autoZero"/>
        <c:auto val="1"/>
        <c:lblAlgn val="ctr"/>
        <c:lblOffset val="100"/>
        <c:noMultiLvlLbl val="0"/>
      </c:catAx>
      <c:valAx>
        <c:axId val="128460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3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'2019'!$H$4:$H$10</c:f>
              <c:strCache>
                <c:ptCount val="7"/>
                <c:pt idx="1">
                  <c:v>OCCIDENTE Y URABÁ </c:v>
                </c:pt>
                <c:pt idx="2">
                  <c:v>NORDESTE Y MAGDALENA MEDIO</c:v>
                </c:pt>
                <c:pt idx="3">
                  <c:v>SUROESTE</c:v>
                </c:pt>
                <c:pt idx="4">
                  <c:v>ORIENTE</c:v>
                </c:pt>
                <c:pt idx="5">
                  <c:v>NORTE Y BAJO CAUCA</c:v>
                </c:pt>
                <c:pt idx="6">
                  <c:v>VÍAS DE INFLUENCIA DEL PEAJE PAJARITO</c:v>
                </c:pt>
              </c:strCache>
            </c:strRef>
          </c:cat>
          <c:val>
            <c:numRef>
              <c:f>'2019'!$M$4:$M$10</c:f>
              <c:numCache>
                <c:formatCode>General</c:formatCode>
                <c:ptCount val="7"/>
                <c:pt idx="1">
                  <c:v>27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845-B5FE-B19D262F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00159"/>
        <c:axId val="770891519"/>
      </c:barChart>
      <c:catAx>
        <c:axId val="770900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891519"/>
        <c:crosses val="autoZero"/>
        <c:auto val="1"/>
        <c:lblAlgn val="ctr"/>
        <c:lblOffset val="100"/>
        <c:noMultiLvlLbl val="0"/>
      </c:catAx>
      <c:valAx>
        <c:axId val="770891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00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'2019'!$H$4:$H$10</c:f>
              <c:strCache>
                <c:ptCount val="7"/>
                <c:pt idx="1">
                  <c:v>OCCIDENTE Y URABÁ </c:v>
                </c:pt>
                <c:pt idx="2">
                  <c:v>NORDESTE Y MAGDALENA MEDIO</c:v>
                </c:pt>
                <c:pt idx="3">
                  <c:v>SUROESTE</c:v>
                </c:pt>
                <c:pt idx="4">
                  <c:v>ORIENTE</c:v>
                </c:pt>
                <c:pt idx="5">
                  <c:v>NORTE Y BAJO CAUCA</c:v>
                </c:pt>
                <c:pt idx="6">
                  <c:v>VÍAS DE INFLUENCIA DEL PEAJE PAJARITO</c:v>
                </c:pt>
              </c:strCache>
            </c:strRef>
          </c:cat>
          <c:val>
            <c:numRef>
              <c:f>'2019'!$N$4:$N$10</c:f>
              <c:numCache>
                <c:formatCode>General</c:formatCode>
                <c:ptCount val="7"/>
                <c:pt idx="1">
                  <c:v>10264.799999999999</c:v>
                </c:pt>
                <c:pt idx="2">
                  <c:v>82.19</c:v>
                </c:pt>
                <c:pt idx="3">
                  <c:v>2090.8000000000002</c:v>
                </c:pt>
                <c:pt idx="4">
                  <c:v>0</c:v>
                </c:pt>
                <c:pt idx="5">
                  <c:v>9181.2999999999993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1-447A-A04F-91ABB866B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44319"/>
        <c:axId val="770941919"/>
      </c:barChart>
      <c:catAx>
        <c:axId val="770944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41919"/>
        <c:crosses val="autoZero"/>
        <c:auto val="1"/>
        <c:lblAlgn val="ctr"/>
        <c:lblOffset val="100"/>
        <c:noMultiLvlLbl val="0"/>
      </c:catAx>
      <c:valAx>
        <c:axId val="770941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44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'2019'!$H$4:$H$10</c:f>
              <c:strCache>
                <c:ptCount val="7"/>
                <c:pt idx="1">
                  <c:v>OCCIDENTE Y URABÁ </c:v>
                </c:pt>
                <c:pt idx="2">
                  <c:v>NORDESTE Y MAGDALENA MEDIO</c:v>
                </c:pt>
                <c:pt idx="3">
                  <c:v>SUROESTE</c:v>
                </c:pt>
                <c:pt idx="4">
                  <c:v>ORIENTE</c:v>
                </c:pt>
                <c:pt idx="5">
                  <c:v>NORTE Y BAJO CAUCA</c:v>
                </c:pt>
                <c:pt idx="6">
                  <c:v>VÍAS DE INFLUENCIA DEL PEAJE PAJARITO</c:v>
                </c:pt>
              </c:strCache>
            </c:strRef>
          </c:cat>
          <c:val>
            <c:numRef>
              <c:f>'2019'!$O$4:$O$10</c:f>
              <c:numCache>
                <c:formatCode>General</c:formatCode>
                <c:ptCount val="7"/>
                <c:pt idx="1">
                  <c:v>492681</c:v>
                </c:pt>
                <c:pt idx="2">
                  <c:v>110550</c:v>
                </c:pt>
                <c:pt idx="3">
                  <c:v>102673.5</c:v>
                </c:pt>
                <c:pt idx="4">
                  <c:v>9744</c:v>
                </c:pt>
                <c:pt idx="5">
                  <c:v>192193.6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7-4507-B0D5-D9340E25B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04479"/>
        <c:axId val="770901119"/>
      </c:barChart>
      <c:catAx>
        <c:axId val="770904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01119"/>
        <c:crosses val="autoZero"/>
        <c:auto val="1"/>
        <c:lblAlgn val="ctr"/>
        <c:lblOffset val="100"/>
        <c:noMultiLvlLbl val="0"/>
      </c:catAx>
      <c:valAx>
        <c:axId val="770901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04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'2019'!$H$4:$H$10</c:f>
              <c:strCache>
                <c:ptCount val="7"/>
                <c:pt idx="1">
                  <c:v>OCCIDENTE Y URABÁ </c:v>
                </c:pt>
                <c:pt idx="2">
                  <c:v>NORDESTE Y MAGDALENA MEDIO</c:v>
                </c:pt>
                <c:pt idx="3">
                  <c:v>SUROESTE</c:v>
                </c:pt>
                <c:pt idx="4">
                  <c:v>ORIENTE</c:v>
                </c:pt>
                <c:pt idx="5">
                  <c:v>NORTE Y BAJO CAUCA</c:v>
                </c:pt>
                <c:pt idx="6">
                  <c:v>VÍAS DE INFLUENCIA DEL PEAJE PAJARITO</c:v>
                </c:pt>
              </c:strCache>
            </c:strRef>
          </c:cat>
          <c:val>
            <c:numRef>
              <c:f>'2019'!$S$4:$S$10</c:f>
              <c:numCache>
                <c:formatCode>General</c:formatCode>
                <c:ptCount val="7"/>
                <c:pt idx="1">
                  <c:v>34137</c:v>
                </c:pt>
                <c:pt idx="2">
                  <c:v>24230</c:v>
                </c:pt>
                <c:pt idx="3">
                  <c:v>10222.799999999999</c:v>
                </c:pt>
                <c:pt idx="4">
                  <c:v>6319.8</c:v>
                </c:pt>
                <c:pt idx="5">
                  <c:v>9800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5-42C7-8459-84056110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22239"/>
        <c:axId val="770915519"/>
      </c:barChart>
      <c:catAx>
        <c:axId val="7709222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15519"/>
        <c:crosses val="autoZero"/>
        <c:auto val="1"/>
        <c:lblAlgn val="ctr"/>
        <c:lblOffset val="100"/>
        <c:noMultiLvlLbl val="0"/>
      </c:catAx>
      <c:valAx>
        <c:axId val="770915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22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'2019'!$T$3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'2019'!$H$4:$H$10</c:f>
              <c:strCache>
                <c:ptCount val="7"/>
                <c:pt idx="1">
                  <c:v>OCCIDENTE Y URABÁ </c:v>
                </c:pt>
                <c:pt idx="2">
                  <c:v>NORDESTE Y MAGDALENA MEDIO</c:v>
                </c:pt>
                <c:pt idx="3">
                  <c:v>SUROESTE</c:v>
                </c:pt>
                <c:pt idx="4">
                  <c:v>ORIENTE</c:v>
                </c:pt>
                <c:pt idx="5">
                  <c:v>NORTE Y BAJO CAUCA</c:v>
                </c:pt>
                <c:pt idx="6">
                  <c:v>VÍAS DE INFLUENCIA DEL PEAJE PAJARITO</c:v>
                </c:pt>
              </c:strCache>
            </c:strRef>
          </c:cat>
          <c:val>
            <c:numRef>
              <c:f>'2019'!$T$4:$T$10</c:f>
              <c:numCache>
                <c:formatCode>General</c:formatCode>
                <c:ptCount val="7"/>
                <c:pt idx="1">
                  <c:v>0</c:v>
                </c:pt>
                <c:pt idx="2">
                  <c:v>8864.4</c:v>
                </c:pt>
                <c:pt idx="3">
                  <c:v>7028</c:v>
                </c:pt>
                <c:pt idx="4">
                  <c:v>158.9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3-4133-B00C-D4D46DBE3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44799"/>
        <c:axId val="770918879"/>
      </c:barChart>
      <c:catAx>
        <c:axId val="7709447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18879"/>
        <c:crosses val="autoZero"/>
        <c:auto val="1"/>
        <c:lblAlgn val="ctr"/>
        <c:lblOffset val="100"/>
        <c:noMultiLvlLbl val="0"/>
      </c:catAx>
      <c:valAx>
        <c:axId val="770918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44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'2019'!$E$3:$E$4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'2019'!$H$5:$H$10</c:f>
              <c:strCache>
                <c:ptCount val="6"/>
                <c:pt idx="0">
                  <c:v>OCCIDENTE Y URABÁ </c:v>
                </c:pt>
                <c:pt idx="1">
                  <c:v>NORDESTE Y MAGDALENA MEDIO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VÍAS DE INFLUENCIA DEL PEAJE PAJARITO</c:v>
                </c:pt>
              </c:strCache>
            </c:strRef>
          </c:cat>
          <c:val>
            <c:numRef>
              <c:f>'2019'!$E$5:$E$10</c:f>
              <c:numCache>
                <c:formatCode>_-"$"\ * #,##0_-;\-"$"\ * #,##0_-;_-"$"\ * "-"_-;_-@_-</c:formatCode>
                <c:ptCount val="6"/>
                <c:pt idx="0">
                  <c:v>6648674335</c:v>
                </c:pt>
                <c:pt idx="1">
                  <c:v>4776708403</c:v>
                </c:pt>
                <c:pt idx="2">
                  <c:v>7392558930</c:v>
                </c:pt>
                <c:pt idx="3">
                  <c:v>5470030090</c:v>
                </c:pt>
                <c:pt idx="4">
                  <c:v>4152789616</c:v>
                </c:pt>
                <c:pt idx="5">
                  <c:v>1900951518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D-426A-8E26-69371F663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'2012'!$H$4:$H$10</c:f>
              <c:strCache>
                <c:ptCount val="7"/>
                <c:pt idx="1">
                  <c:v>NORDESTE Y MAGDALENA MEDIO</c:v>
                </c:pt>
                <c:pt idx="2">
                  <c:v>OCCIDENTE</c:v>
                </c:pt>
                <c:pt idx="3">
                  <c:v>SUROESTE</c:v>
                </c:pt>
                <c:pt idx="4">
                  <c:v>URABÁ</c:v>
                </c:pt>
                <c:pt idx="5">
                  <c:v>ORIENTE</c:v>
                </c:pt>
                <c:pt idx="6">
                  <c:v>NORTE Y BAJO CAUCA</c:v>
                </c:pt>
              </c:strCache>
            </c:strRef>
          </c:cat>
          <c:val>
            <c:numRef>
              <c:f>'2012'!$N$4:$N$10</c:f>
              <c:numCache>
                <c:formatCode>General</c:formatCode>
                <c:ptCount val="7"/>
                <c:pt idx="1">
                  <c:v>25472.11</c:v>
                </c:pt>
                <c:pt idx="2">
                  <c:v>24490.18</c:v>
                </c:pt>
                <c:pt idx="3">
                  <c:v>19645.849999999999</c:v>
                </c:pt>
                <c:pt idx="4">
                  <c:v>26178.5</c:v>
                </c:pt>
                <c:pt idx="5">
                  <c:v>52150.8</c:v>
                </c:pt>
                <c:pt idx="6">
                  <c:v>25548.87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5-4D69-90BB-69ABB037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64063"/>
        <c:axId val="485378943"/>
      </c:barChart>
      <c:catAx>
        <c:axId val="4853640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78943"/>
        <c:crosses val="autoZero"/>
        <c:auto val="1"/>
        <c:lblAlgn val="ctr"/>
        <c:lblOffset val="100"/>
        <c:noMultiLvlLbl val="0"/>
      </c:catAx>
      <c:valAx>
        <c:axId val="485378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64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'2020'!$I$5:$I$9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8-47B0-8B14-CB39FE2E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51183"/>
        <c:axId val="1284626703"/>
      </c:barChart>
      <c:catAx>
        <c:axId val="128465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26703"/>
        <c:crosses val="autoZero"/>
        <c:auto val="1"/>
        <c:lblAlgn val="ctr"/>
        <c:lblOffset val="100"/>
        <c:noMultiLvlLbl val="0"/>
      </c:catAx>
      <c:valAx>
        <c:axId val="1284626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51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'2020'!$J$5:$J$9</c:f>
              <c:numCache>
                <c:formatCode>General</c:formatCode>
                <c:ptCount val="5"/>
                <c:pt idx="0">
                  <c:v>71.900000000000006</c:v>
                </c:pt>
                <c:pt idx="1">
                  <c:v>109.92</c:v>
                </c:pt>
                <c:pt idx="2">
                  <c:v>1350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3-4B7A-927F-85F52D8E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30543"/>
        <c:axId val="1284651663"/>
      </c:barChart>
      <c:catAx>
        <c:axId val="1284630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51663"/>
        <c:crosses val="autoZero"/>
        <c:auto val="1"/>
        <c:lblAlgn val="ctr"/>
        <c:lblOffset val="100"/>
        <c:noMultiLvlLbl val="0"/>
      </c:catAx>
      <c:valAx>
        <c:axId val="1284651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0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'2020'!$L$5:$L$9</c:f>
              <c:numCache>
                <c:formatCode>General</c:formatCode>
                <c:ptCount val="5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E-4EBD-AC27-7E372D82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31983"/>
        <c:axId val="1284638223"/>
      </c:barChart>
      <c:catAx>
        <c:axId val="1284631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8223"/>
        <c:crosses val="autoZero"/>
        <c:auto val="1"/>
        <c:lblAlgn val="ctr"/>
        <c:lblOffset val="100"/>
        <c:noMultiLvlLbl val="0"/>
      </c:catAx>
      <c:valAx>
        <c:axId val="1284638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'2020'!$P$5:$P$9</c:f>
              <c:numCache>
                <c:formatCode>General</c:formatCode>
                <c:ptCount val="5"/>
                <c:pt idx="0">
                  <c:v>901</c:v>
                </c:pt>
                <c:pt idx="1">
                  <c:v>1204</c:v>
                </c:pt>
                <c:pt idx="2">
                  <c:v>2804</c:v>
                </c:pt>
                <c:pt idx="3">
                  <c:v>0</c:v>
                </c:pt>
                <c:pt idx="4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7-40D5-8BCA-AF73DB2CB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40143"/>
        <c:axId val="1284642543"/>
      </c:barChart>
      <c:catAx>
        <c:axId val="128464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42543"/>
        <c:crosses val="autoZero"/>
        <c:auto val="1"/>
        <c:lblAlgn val="ctr"/>
        <c:lblOffset val="100"/>
        <c:noMultiLvlLbl val="0"/>
      </c:catAx>
      <c:valAx>
        <c:axId val="1284642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4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'2020'!$Q$5:$Q$9</c:f>
              <c:numCache>
                <c:formatCode>General</c:formatCode>
                <c:ptCount val="5"/>
                <c:pt idx="0">
                  <c:v>282690.98</c:v>
                </c:pt>
                <c:pt idx="1">
                  <c:v>74697</c:v>
                </c:pt>
                <c:pt idx="2">
                  <c:v>541100</c:v>
                </c:pt>
                <c:pt idx="3">
                  <c:v>19204.5</c:v>
                </c:pt>
                <c:pt idx="4">
                  <c:v>27300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C-45F7-BEAC-6ADB04BA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42703"/>
        <c:axId val="1284556623"/>
      </c:barChart>
      <c:catAx>
        <c:axId val="12845427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56623"/>
        <c:crosses val="autoZero"/>
        <c:auto val="1"/>
        <c:lblAlgn val="ctr"/>
        <c:lblOffset val="100"/>
        <c:noMultiLvlLbl val="0"/>
      </c:catAx>
      <c:valAx>
        <c:axId val="1284556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42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'2020'!$R$5:$R$9</c:f>
              <c:numCache>
                <c:formatCode>General</c:formatCode>
                <c:ptCount val="5"/>
                <c:pt idx="0">
                  <c:v>135.53</c:v>
                </c:pt>
                <c:pt idx="1">
                  <c:v>149.13999999999999</c:v>
                </c:pt>
                <c:pt idx="2">
                  <c:v>197.66</c:v>
                </c:pt>
                <c:pt idx="3">
                  <c:v>26.65</c:v>
                </c:pt>
                <c:pt idx="4">
                  <c:v>10.16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9-4826-BDE0-0A95427F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33103"/>
        <c:axId val="1284534063"/>
      </c:barChart>
      <c:catAx>
        <c:axId val="1284533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34063"/>
        <c:crosses val="autoZero"/>
        <c:auto val="1"/>
        <c:lblAlgn val="ctr"/>
        <c:lblOffset val="100"/>
        <c:noMultiLvlLbl val="0"/>
      </c:catAx>
      <c:valAx>
        <c:axId val="1284534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33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'2020'!$U$5:$U$9</c:f>
              <c:numCache>
                <c:formatCode>General</c:formatCode>
                <c:ptCount val="5"/>
                <c:pt idx="0">
                  <c:v>3156.3999999999996</c:v>
                </c:pt>
                <c:pt idx="1">
                  <c:v>6083.5</c:v>
                </c:pt>
                <c:pt idx="2">
                  <c:v>0</c:v>
                </c:pt>
                <c:pt idx="3">
                  <c:v>16339.3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3-4B66-B034-26161FE7F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52783"/>
        <c:axId val="1284549903"/>
      </c:barChart>
      <c:catAx>
        <c:axId val="12845527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49903"/>
        <c:crosses val="autoZero"/>
        <c:auto val="1"/>
        <c:lblAlgn val="ctr"/>
        <c:lblOffset val="100"/>
        <c:noMultiLvlLbl val="0"/>
      </c:catAx>
      <c:valAx>
        <c:axId val="1284549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52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'2020'!$V$5:$V$9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13748.199999999999</c:v>
                </c:pt>
                <c:pt idx="3">
                  <c:v>4060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3-4E57-B172-C2131EF28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5001711"/>
        <c:axId val="1084993551"/>
      </c:barChart>
      <c:catAx>
        <c:axId val="10850017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3551"/>
        <c:crosses val="autoZero"/>
        <c:auto val="1"/>
        <c:lblAlgn val="ctr"/>
        <c:lblOffset val="100"/>
        <c:noMultiLvlLbl val="0"/>
      </c:catAx>
      <c:valAx>
        <c:axId val="1084993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5001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'2020'!$Z$5:$Z$9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C-4834-B4C8-4BEFE51DC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701103"/>
        <c:axId val="895657423"/>
      </c:barChart>
      <c:catAx>
        <c:axId val="895701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7423"/>
        <c:crosses val="autoZero"/>
        <c:auto val="1"/>
        <c:lblAlgn val="ctr"/>
        <c:lblOffset val="100"/>
        <c:noMultiLvlLbl val="0"/>
      </c:catAx>
      <c:valAx>
        <c:axId val="895657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70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'2020'!$AA$5:$AA$9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3-4E4D-BEBA-0A58E74BC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746495"/>
        <c:axId val="1132743135"/>
      </c:barChart>
      <c:catAx>
        <c:axId val="1132746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43135"/>
        <c:crosses val="autoZero"/>
        <c:auto val="1"/>
        <c:lblAlgn val="ctr"/>
        <c:lblOffset val="100"/>
        <c:noMultiLvlLbl val="0"/>
      </c:catAx>
      <c:valAx>
        <c:axId val="1132743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4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'2012'!$H$4:$H$10</c:f>
              <c:strCache>
                <c:ptCount val="7"/>
                <c:pt idx="1">
                  <c:v>NORDESTE Y MAGDALENA MEDIO</c:v>
                </c:pt>
                <c:pt idx="2">
                  <c:v>OCCIDENTE</c:v>
                </c:pt>
                <c:pt idx="3">
                  <c:v>SUROESTE</c:v>
                </c:pt>
                <c:pt idx="4">
                  <c:v>URABÁ</c:v>
                </c:pt>
                <c:pt idx="5">
                  <c:v>ORIENTE</c:v>
                </c:pt>
                <c:pt idx="6">
                  <c:v>NORTE Y BAJO CAUCA</c:v>
                </c:pt>
              </c:strCache>
            </c:strRef>
          </c:cat>
          <c:val>
            <c:numRef>
              <c:f>'2012'!$O$4:$O$10</c:f>
              <c:numCache>
                <c:formatCode>General</c:formatCode>
                <c:ptCount val="7"/>
                <c:pt idx="1">
                  <c:v>2866.68</c:v>
                </c:pt>
                <c:pt idx="2">
                  <c:v>525715.30000000005</c:v>
                </c:pt>
                <c:pt idx="3">
                  <c:v>428855</c:v>
                </c:pt>
                <c:pt idx="4">
                  <c:v>634461.25</c:v>
                </c:pt>
                <c:pt idx="5">
                  <c:v>2093944</c:v>
                </c:pt>
                <c:pt idx="6">
                  <c:v>1376742.83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D-435A-9367-918B4FD93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95743"/>
        <c:axId val="485405823"/>
      </c:barChart>
      <c:catAx>
        <c:axId val="485395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05823"/>
        <c:crosses val="autoZero"/>
        <c:auto val="1"/>
        <c:lblAlgn val="ctr"/>
        <c:lblOffset val="100"/>
        <c:noMultiLvlLbl val="0"/>
      </c:catAx>
      <c:valAx>
        <c:axId val="485405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9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'2020'!$H$4:$H$9</c:f>
              <c:strCache>
                <c:ptCount val="6"/>
                <c:pt idx="1">
                  <c:v>NORDESTE Y MAGDALENA MEDIO</c:v>
                </c:pt>
                <c:pt idx="2">
                  <c:v>OCCIDENTE Y URABÁ</c:v>
                </c:pt>
                <c:pt idx="3">
                  <c:v>ORIENTE.</c:v>
                </c:pt>
                <c:pt idx="4">
                  <c:v>VÍAS INFLUENCIA PEAJE PAJARITO</c:v>
                </c:pt>
                <c:pt idx="5">
                  <c:v>NORTE Y BAJO CAUCA</c:v>
                </c:pt>
              </c:strCache>
            </c:strRef>
          </c:cat>
          <c:val>
            <c:numRef>
              <c:f>'2020'!$M$4:$M$9</c:f>
              <c:numCache>
                <c:formatCode>General</c:formatCode>
                <c:ptCount val="6"/>
                <c:pt idx="1">
                  <c:v>18</c:v>
                </c:pt>
                <c:pt idx="2">
                  <c:v>11</c:v>
                </c:pt>
                <c:pt idx="3">
                  <c:v>19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7-4DE6-AC87-62897F73F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39519"/>
        <c:axId val="770916479"/>
      </c:barChart>
      <c:catAx>
        <c:axId val="7709395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16479"/>
        <c:crosses val="autoZero"/>
        <c:auto val="1"/>
        <c:lblAlgn val="ctr"/>
        <c:lblOffset val="100"/>
        <c:noMultiLvlLbl val="0"/>
      </c:catAx>
      <c:valAx>
        <c:axId val="770916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395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'2020'!$H$4:$H$9</c:f>
              <c:strCache>
                <c:ptCount val="6"/>
                <c:pt idx="1">
                  <c:v>NORDESTE Y MAGDALENA MEDIO</c:v>
                </c:pt>
                <c:pt idx="2">
                  <c:v>OCCIDENTE Y URABÁ</c:v>
                </c:pt>
                <c:pt idx="3">
                  <c:v>ORIENTE.</c:v>
                </c:pt>
                <c:pt idx="4">
                  <c:v>VÍAS INFLUENCIA PEAJE PAJARITO</c:v>
                </c:pt>
                <c:pt idx="5">
                  <c:v>NORTE Y BAJO CAUCA</c:v>
                </c:pt>
              </c:strCache>
            </c:strRef>
          </c:cat>
          <c:val>
            <c:numRef>
              <c:f>'2020'!$N$4:$N$9</c:f>
              <c:numCache>
                <c:formatCode>General</c:formatCode>
                <c:ptCount val="6"/>
                <c:pt idx="1">
                  <c:v>33444.870000000003</c:v>
                </c:pt>
                <c:pt idx="2">
                  <c:v>21969</c:v>
                </c:pt>
                <c:pt idx="3">
                  <c:v>2235.64</c:v>
                </c:pt>
                <c:pt idx="4">
                  <c:v>4632.37</c:v>
                </c:pt>
                <c:pt idx="5">
                  <c:v>1844.92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9-4A6C-87B9-375C27172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29439"/>
        <c:axId val="770917439"/>
      </c:barChart>
      <c:catAx>
        <c:axId val="770929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17439"/>
        <c:crosses val="autoZero"/>
        <c:auto val="1"/>
        <c:lblAlgn val="ctr"/>
        <c:lblOffset val="100"/>
        <c:noMultiLvlLbl val="0"/>
      </c:catAx>
      <c:valAx>
        <c:axId val="770917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29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'2020'!$H$4:$H$9</c:f>
              <c:strCache>
                <c:ptCount val="6"/>
                <c:pt idx="1">
                  <c:v>NORDESTE Y MAGDALENA MEDIO</c:v>
                </c:pt>
                <c:pt idx="2">
                  <c:v>OCCIDENTE Y URABÁ</c:v>
                </c:pt>
                <c:pt idx="3">
                  <c:v>ORIENTE.</c:v>
                </c:pt>
                <c:pt idx="4">
                  <c:v>VÍAS INFLUENCIA PEAJE PAJARITO</c:v>
                </c:pt>
                <c:pt idx="5">
                  <c:v>NORTE Y BAJO CAUCA</c:v>
                </c:pt>
              </c:strCache>
            </c:strRef>
          </c:cat>
          <c:val>
            <c:numRef>
              <c:f>'2020'!$O$4:$O$9</c:f>
              <c:numCache>
                <c:formatCode>General</c:formatCode>
                <c:ptCount val="6"/>
                <c:pt idx="1">
                  <c:v>1226874</c:v>
                </c:pt>
                <c:pt idx="2">
                  <c:v>919950</c:v>
                </c:pt>
                <c:pt idx="3">
                  <c:v>207858</c:v>
                </c:pt>
                <c:pt idx="4">
                  <c:v>169588</c:v>
                </c:pt>
                <c:pt idx="5">
                  <c:v>284635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3-4657-A97B-40B389CB0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52959"/>
        <c:axId val="770952479"/>
      </c:barChart>
      <c:catAx>
        <c:axId val="770952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2479"/>
        <c:crosses val="autoZero"/>
        <c:auto val="1"/>
        <c:lblAlgn val="ctr"/>
        <c:lblOffset val="100"/>
        <c:noMultiLvlLbl val="0"/>
      </c:catAx>
      <c:valAx>
        <c:axId val="770952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2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'2020'!$H$4:$H$9</c:f>
              <c:strCache>
                <c:ptCount val="6"/>
                <c:pt idx="1">
                  <c:v>NORDESTE Y MAGDALENA MEDIO</c:v>
                </c:pt>
                <c:pt idx="2">
                  <c:v>OCCIDENTE Y URABÁ</c:v>
                </c:pt>
                <c:pt idx="3">
                  <c:v>ORIENTE.</c:v>
                </c:pt>
                <c:pt idx="4">
                  <c:v>VÍAS INFLUENCIA PEAJE PAJARITO</c:v>
                </c:pt>
                <c:pt idx="5">
                  <c:v>NORTE Y BAJO CAUCA</c:v>
                </c:pt>
              </c:strCache>
            </c:strRef>
          </c:cat>
          <c:val>
            <c:numRef>
              <c:f>'2020'!$S$4:$S$9</c:f>
              <c:numCache>
                <c:formatCode>General</c:formatCode>
                <c:ptCount val="6"/>
                <c:pt idx="1">
                  <c:v>58114.12</c:v>
                </c:pt>
                <c:pt idx="2">
                  <c:v>36633.97</c:v>
                </c:pt>
                <c:pt idx="3">
                  <c:v>57717.14</c:v>
                </c:pt>
                <c:pt idx="4">
                  <c:v>4478.88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6-4391-82E3-1A48BBF1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56319"/>
        <c:axId val="770951519"/>
      </c:barChart>
      <c:catAx>
        <c:axId val="770956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1519"/>
        <c:crosses val="autoZero"/>
        <c:auto val="1"/>
        <c:lblAlgn val="ctr"/>
        <c:lblOffset val="100"/>
        <c:noMultiLvlLbl val="0"/>
      </c:catAx>
      <c:valAx>
        <c:axId val="770951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'2020'!$T$3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'2020'!$H$4:$H$9</c:f>
              <c:strCache>
                <c:ptCount val="6"/>
                <c:pt idx="1">
                  <c:v>NORDESTE Y MAGDALENA MEDIO</c:v>
                </c:pt>
                <c:pt idx="2">
                  <c:v>OCCIDENTE Y URABÁ</c:v>
                </c:pt>
                <c:pt idx="3">
                  <c:v>ORIENTE.</c:v>
                </c:pt>
                <c:pt idx="4">
                  <c:v>VÍAS INFLUENCIA PEAJE PAJARITO</c:v>
                </c:pt>
                <c:pt idx="5">
                  <c:v>NORTE Y BAJO CAUCA</c:v>
                </c:pt>
              </c:strCache>
            </c:strRef>
          </c:cat>
          <c:val>
            <c:numRef>
              <c:f>'2020'!$T$4:$T$9</c:f>
              <c:numCache>
                <c:formatCode>General</c:formatCode>
                <c:ptCount val="6"/>
                <c:pt idx="1">
                  <c:v>0</c:v>
                </c:pt>
                <c:pt idx="2">
                  <c:v>15338.07</c:v>
                </c:pt>
                <c:pt idx="3">
                  <c:v>11066.14</c:v>
                </c:pt>
                <c:pt idx="4">
                  <c:v>5379.35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D-48C6-970D-3D11EC5F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68319"/>
        <c:axId val="770959679"/>
      </c:barChart>
      <c:catAx>
        <c:axId val="770968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9679"/>
        <c:crosses val="autoZero"/>
        <c:auto val="1"/>
        <c:lblAlgn val="ctr"/>
        <c:lblOffset val="100"/>
        <c:noMultiLvlLbl val="0"/>
      </c:catAx>
      <c:valAx>
        <c:axId val="7709596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6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'2020'!$E$3:$E$4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'2020'!$H$5:$H$9</c:f>
              <c:strCache>
                <c:ptCount val="5"/>
                <c:pt idx="0">
                  <c:v>NORDESTE Y MAGDALENA MEDIO</c:v>
                </c:pt>
                <c:pt idx="1">
                  <c:v>OCCIDENTE Y URABÁ</c:v>
                </c:pt>
                <c:pt idx="2">
                  <c:v>ORIENTE.</c:v>
                </c:pt>
                <c:pt idx="3">
                  <c:v>VÍAS INFLUENCIA PEAJE PAJARITO</c:v>
                </c:pt>
                <c:pt idx="4">
                  <c:v>NORTE Y BAJO CAUCA</c:v>
                </c:pt>
              </c:strCache>
            </c:strRef>
          </c:cat>
          <c:val>
            <c:numRef>
              <c:f>'2020'!$E$5:$E$9</c:f>
              <c:numCache>
                <c:formatCode>_-"$"\ * #,##0_-;\-"$"\ * #,##0_-;_-"$"\ * "-"_-;_-@_-</c:formatCode>
                <c:ptCount val="5"/>
                <c:pt idx="0">
                  <c:v>9873865274</c:v>
                </c:pt>
                <c:pt idx="1">
                  <c:v>7250689730</c:v>
                </c:pt>
                <c:pt idx="2">
                  <c:v>10780239829</c:v>
                </c:pt>
                <c:pt idx="3">
                  <c:v>10256456299</c:v>
                </c:pt>
                <c:pt idx="4">
                  <c:v>5839502164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7-408A-996F-E39B49799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'2021'!$I$5:$I$7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C-4A0C-9729-9DCED9C6E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30223"/>
        <c:axId val="1284546543"/>
      </c:barChart>
      <c:catAx>
        <c:axId val="1284530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46543"/>
        <c:crosses val="autoZero"/>
        <c:auto val="1"/>
        <c:lblAlgn val="ctr"/>
        <c:lblOffset val="100"/>
        <c:noMultiLvlLbl val="0"/>
      </c:catAx>
      <c:valAx>
        <c:axId val="128454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30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'2021'!$J$5:$J$7</c:f>
              <c:numCache>
                <c:formatCode>General</c:formatCode>
                <c:ptCount val="3"/>
                <c:pt idx="0">
                  <c:v>120</c:v>
                </c:pt>
                <c:pt idx="1">
                  <c:v>0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F-4AB7-9FB3-EC3692177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50223"/>
        <c:axId val="895650703"/>
      </c:barChart>
      <c:catAx>
        <c:axId val="895650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0703"/>
        <c:crosses val="autoZero"/>
        <c:auto val="1"/>
        <c:lblAlgn val="ctr"/>
        <c:lblOffset val="100"/>
        <c:noMultiLvlLbl val="0"/>
      </c:catAx>
      <c:valAx>
        <c:axId val="895650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0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'2021'!$K$5:$K$7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6-4163-9250-86143F63A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41583"/>
        <c:axId val="1284651183"/>
      </c:barChart>
      <c:catAx>
        <c:axId val="12846415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51183"/>
        <c:crosses val="autoZero"/>
        <c:auto val="1"/>
        <c:lblAlgn val="ctr"/>
        <c:lblOffset val="100"/>
        <c:noMultiLvlLbl val="0"/>
      </c:catAx>
      <c:valAx>
        <c:axId val="128465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41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'2021'!$L$5:$L$7</c:f>
              <c:numCache>
                <c:formatCode>General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C-4C0D-AF1F-E637FF1E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52858736"/>
        <c:axId val="752858256"/>
      </c:barChart>
      <c:catAx>
        <c:axId val="75285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8256"/>
        <c:crosses val="autoZero"/>
        <c:auto val="1"/>
        <c:lblAlgn val="ctr"/>
        <c:lblOffset val="100"/>
        <c:noMultiLvlLbl val="0"/>
      </c:catAx>
      <c:valAx>
        <c:axId val="752858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'2013'!$J$5:$J$10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5311.12</c:v>
                </c:pt>
                <c:pt idx="3">
                  <c:v>644.1</c:v>
                </c:pt>
                <c:pt idx="4">
                  <c:v>3706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3-4A2C-97E3-1980A7D23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595023"/>
        <c:axId val="1382604623"/>
      </c:barChart>
      <c:catAx>
        <c:axId val="138259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4623"/>
        <c:crosses val="autoZero"/>
        <c:auto val="1"/>
        <c:lblAlgn val="ctr"/>
        <c:lblOffset val="100"/>
        <c:noMultiLvlLbl val="0"/>
      </c:catAx>
      <c:valAx>
        <c:axId val="1382604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59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'2021'!$P$5:$P$7</c:f>
              <c:numCache>
                <c:formatCode>General</c:formatCode>
                <c:ptCount val="3"/>
                <c:pt idx="0">
                  <c:v>1454</c:v>
                </c:pt>
                <c:pt idx="1">
                  <c:v>781</c:v>
                </c:pt>
                <c:pt idx="2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7-41CC-AE94-463CDA72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70863"/>
        <c:axId val="895671343"/>
      </c:barChart>
      <c:catAx>
        <c:axId val="8956708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71343"/>
        <c:crosses val="autoZero"/>
        <c:auto val="1"/>
        <c:lblAlgn val="ctr"/>
        <c:lblOffset val="100"/>
        <c:noMultiLvlLbl val="0"/>
      </c:catAx>
      <c:valAx>
        <c:axId val="895671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70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'2021'!$Q$5:$Q$7</c:f>
              <c:numCache>
                <c:formatCode>General</c:formatCode>
                <c:ptCount val="3"/>
                <c:pt idx="0">
                  <c:v>382384</c:v>
                </c:pt>
                <c:pt idx="1">
                  <c:v>145726.70000000001</c:v>
                </c:pt>
                <c:pt idx="2">
                  <c:v>329403.5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B-4C47-8578-82DAD3389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82863"/>
        <c:axId val="895695823"/>
      </c:barChart>
      <c:catAx>
        <c:axId val="8956828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95823"/>
        <c:crosses val="autoZero"/>
        <c:auto val="1"/>
        <c:lblAlgn val="ctr"/>
        <c:lblOffset val="100"/>
        <c:noMultiLvlLbl val="0"/>
      </c:catAx>
      <c:valAx>
        <c:axId val="895695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82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'2021'!$R$5:$R$7</c:f>
              <c:numCache>
                <c:formatCode>General</c:formatCode>
                <c:ptCount val="3"/>
                <c:pt idx="0">
                  <c:v>123.97</c:v>
                </c:pt>
                <c:pt idx="1">
                  <c:v>59.04</c:v>
                </c:pt>
                <c:pt idx="2">
                  <c:v>105.3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1-4CE0-9776-8972E729F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21363855"/>
        <c:axId val="721367215"/>
      </c:barChart>
      <c:catAx>
        <c:axId val="7213638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21367215"/>
        <c:crosses val="autoZero"/>
        <c:auto val="1"/>
        <c:lblAlgn val="ctr"/>
        <c:lblOffset val="100"/>
        <c:noMultiLvlLbl val="0"/>
      </c:catAx>
      <c:valAx>
        <c:axId val="7213672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21363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'2021'!$U$5:$U$7</c:f>
              <c:numCache>
                <c:formatCode>General</c:formatCode>
                <c:ptCount val="3"/>
                <c:pt idx="0">
                  <c:v>1334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9-44EB-AF0D-B7EC3E4C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741215"/>
        <c:axId val="1132745055"/>
      </c:barChart>
      <c:catAx>
        <c:axId val="1132741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45055"/>
        <c:crosses val="autoZero"/>
        <c:auto val="1"/>
        <c:lblAlgn val="ctr"/>
        <c:lblOffset val="100"/>
        <c:noMultiLvlLbl val="0"/>
      </c:catAx>
      <c:valAx>
        <c:axId val="11327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41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'2021'!$V$5:$V$7</c:f>
              <c:numCache>
                <c:formatCode>General</c:formatCode>
                <c:ptCount val="3"/>
                <c:pt idx="0">
                  <c:v>34402.199999999997</c:v>
                </c:pt>
                <c:pt idx="1">
                  <c:v>54229.899999999994</c:v>
                </c:pt>
                <c:pt idx="2">
                  <c:v>11400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E7F-AA64-729EBD97F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17103"/>
        <c:axId val="1284554223"/>
      </c:barChart>
      <c:catAx>
        <c:axId val="1284617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54223"/>
        <c:crosses val="autoZero"/>
        <c:auto val="1"/>
        <c:lblAlgn val="ctr"/>
        <c:lblOffset val="100"/>
        <c:noMultiLvlLbl val="0"/>
      </c:catAx>
      <c:valAx>
        <c:axId val="12845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7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'2021'!$AA$5:$AA$7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F-45B8-9B10-37CAE4E90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4993551"/>
        <c:axId val="1084983951"/>
      </c:barChart>
      <c:catAx>
        <c:axId val="10849935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83951"/>
        <c:crosses val="autoZero"/>
        <c:auto val="1"/>
        <c:lblAlgn val="ctr"/>
        <c:lblOffset val="100"/>
        <c:noMultiLvlLbl val="0"/>
      </c:catAx>
      <c:valAx>
        <c:axId val="1084983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935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'2021'!$AB$4:$AB$7</c:f>
              <c:numCache>
                <c:formatCode>General</c:formatCode>
                <c:ptCount val="4"/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1-4E63-A7B9-CEFFC3C93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84984911"/>
        <c:axId val="1085009871"/>
      </c:barChart>
      <c:catAx>
        <c:axId val="10849849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5009871"/>
        <c:crosses val="autoZero"/>
        <c:auto val="1"/>
        <c:lblAlgn val="ctr"/>
        <c:lblOffset val="100"/>
        <c:noMultiLvlLbl val="0"/>
      </c:catAx>
      <c:valAx>
        <c:axId val="1085009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084984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'2021'!$M$4:$M$7</c:f>
              <c:numCache>
                <c:formatCode>General</c:formatCode>
                <c:ptCount val="4"/>
                <c:pt idx="1">
                  <c:v>23</c:v>
                </c:pt>
                <c:pt idx="2">
                  <c:v>31</c:v>
                </c:pt>
                <c:pt idx="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0-4821-9579-727BEA581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69759"/>
        <c:axId val="770946239"/>
      </c:barChart>
      <c:catAx>
        <c:axId val="770969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46239"/>
        <c:crosses val="autoZero"/>
        <c:auto val="1"/>
        <c:lblAlgn val="ctr"/>
        <c:lblOffset val="100"/>
        <c:noMultiLvlLbl val="0"/>
      </c:catAx>
      <c:valAx>
        <c:axId val="77094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69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'2021'!$N$4:$N$7</c:f>
              <c:numCache>
                <c:formatCode>General</c:formatCode>
                <c:ptCount val="4"/>
                <c:pt idx="1">
                  <c:v>24446.6</c:v>
                </c:pt>
                <c:pt idx="2">
                  <c:v>19047.080000000002</c:v>
                </c:pt>
                <c:pt idx="3">
                  <c:v>3722.2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B-44A8-ACF4-CD8738F46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84639"/>
        <c:axId val="770987519"/>
      </c:barChart>
      <c:catAx>
        <c:axId val="770984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87519"/>
        <c:crosses val="autoZero"/>
        <c:auto val="1"/>
        <c:lblAlgn val="ctr"/>
        <c:lblOffset val="100"/>
        <c:noMultiLvlLbl val="0"/>
      </c:catAx>
      <c:valAx>
        <c:axId val="770987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84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'2021'!$O$4:$O$7</c:f>
              <c:numCache>
                <c:formatCode>General</c:formatCode>
                <c:ptCount val="4"/>
                <c:pt idx="1">
                  <c:v>786908</c:v>
                </c:pt>
                <c:pt idx="2">
                  <c:v>463463.85</c:v>
                </c:pt>
                <c:pt idx="3">
                  <c:v>183500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B-4529-BEE8-93B71B21F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73599"/>
        <c:axId val="770958719"/>
      </c:barChart>
      <c:catAx>
        <c:axId val="7709735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8719"/>
        <c:crosses val="autoZero"/>
        <c:auto val="1"/>
        <c:lblAlgn val="ctr"/>
        <c:lblOffset val="100"/>
        <c:noMultiLvlLbl val="0"/>
      </c:catAx>
      <c:valAx>
        <c:axId val="770958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73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'2013'!$I$5:$I$10</c:f>
              <c:numCache>
                <c:formatCode>General</c:formatCode>
                <c:ptCount val="6"/>
                <c:pt idx="0">
                  <c:v>121</c:v>
                </c:pt>
                <c:pt idx="1">
                  <c:v>10</c:v>
                </c:pt>
                <c:pt idx="2">
                  <c:v>64</c:v>
                </c:pt>
                <c:pt idx="3">
                  <c:v>90</c:v>
                </c:pt>
                <c:pt idx="4">
                  <c:v>81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A-4A3E-9143-F93E4C1F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18543"/>
        <c:axId val="1382625743"/>
      </c:barChart>
      <c:catAx>
        <c:axId val="1382618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25743"/>
        <c:crosses val="autoZero"/>
        <c:auto val="1"/>
        <c:lblAlgn val="ctr"/>
        <c:lblOffset val="100"/>
        <c:noMultiLvlLbl val="0"/>
      </c:catAx>
      <c:valAx>
        <c:axId val="1382625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1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'2021'!$T$3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'2021'!$T$4:$T$7</c:f>
              <c:numCache>
                <c:formatCode>General</c:formatCode>
                <c:ptCount val="4"/>
                <c:pt idx="1">
                  <c:v>2296.5</c:v>
                </c:pt>
                <c:pt idx="2">
                  <c:v>589.01</c:v>
                </c:pt>
                <c:pt idx="3">
                  <c:v>3144.9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7-41DE-9535-059E9414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54399"/>
        <c:axId val="770957279"/>
      </c:barChart>
      <c:catAx>
        <c:axId val="7709543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7279"/>
        <c:crosses val="autoZero"/>
        <c:auto val="1"/>
        <c:lblAlgn val="ctr"/>
        <c:lblOffset val="100"/>
        <c:noMultiLvlLbl val="0"/>
      </c:catAx>
      <c:valAx>
        <c:axId val="770957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54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'2021'!$H$4:$H$7</c:f>
              <c:strCache>
                <c:ptCount val="4"/>
                <c:pt idx="1">
                  <c:v>SUROESTE, OCCIDENTE Y URABÁ </c:v>
                </c:pt>
                <c:pt idx="2">
                  <c:v>NORDESTE, NORTE, BAJO CAUCA Y VÍAS ESPECÍFICAS DEL PEAJE PAJARITO</c:v>
                </c:pt>
                <c:pt idx="3">
                  <c:v>SUBREGIONES ORIENTE Y MAGDALENA MEDIO</c:v>
                </c:pt>
              </c:strCache>
            </c:strRef>
          </c:cat>
          <c:val>
            <c:numRef>
              <c:f>'2021'!$S$4:$S$7</c:f>
              <c:numCache>
                <c:formatCode>General</c:formatCode>
                <c:ptCount val="4"/>
                <c:pt idx="1">
                  <c:v>42808.47</c:v>
                </c:pt>
                <c:pt idx="2">
                  <c:v>85992.68</c:v>
                </c:pt>
                <c:pt idx="3">
                  <c:v>48582.7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8-4511-84E6-524A4484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1002399"/>
        <c:axId val="771006239"/>
      </c:barChart>
      <c:catAx>
        <c:axId val="7710023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06239"/>
        <c:crosses val="autoZero"/>
        <c:auto val="1"/>
        <c:lblAlgn val="ctr"/>
        <c:lblOffset val="100"/>
        <c:noMultiLvlLbl val="0"/>
      </c:catAx>
      <c:valAx>
        <c:axId val="7710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02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'2021'!$E$3:$E$4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'2021'!$H$5:$H$7</c:f>
              <c:strCache>
                <c:ptCount val="3"/>
                <c:pt idx="0">
                  <c:v>SUROESTE, OCCIDENTE Y URABÁ </c:v>
                </c:pt>
                <c:pt idx="1">
                  <c:v>NORDESTE, NORTE, BAJO CAUCA Y VÍAS ESPECÍFICAS DEL PEAJE PAJARITO</c:v>
                </c:pt>
                <c:pt idx="2">
                  <c:v>SUBREGIONES ORIENTE Y MAGDALENA MEDIO</c:v>
                </c:pt>
              </c:strCache>
            </c:strRef>
          </c:cat>
          <c:val>
            <c:numRef>
              <c:f>'2021'!$E$5:$E$7</c:f>
              <c:numCache>
                <c:formatCode>_-"$"\ * #,##0_-;\-"$"\ * #,##0_-;_-"$"\ * "-"_-;_-@_-</c:formatCode>
                <c:ptCount val="3"/>
                <c:pt idx="0">
                  <c:v>17285386429</c:v>
                </c:pt>
                <c:pt idx="1">
                  <c:v>21621503360</c:v>
                </c:pt>
                <c:pt idx="2">
                  <c:v>9629909830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0-496A-A794-E25E12951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'2022'!$I$5:$I$7</c:f>
              <c:numCache>
                <c:formatCode>General</c:formatCode>
                <c:ptCount val="3"/>
                <c:pt idx="0">
                  <c:v>22</c:v>
                </c:pt>
                <c:pt idx="1">
                  <c:v>10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C-4356-99D6-D7E1491C3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25743"/>
        <c:axId val="1382644943"/>
      </c:barChart>
      <c:catAx>
        <c:axId val="1382625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44943"/>
        <c:crosses val="autoZero"/>
        <c:auto val="1"/>
        <c:lblAlgn val="ctr"/>
        <c:lblOffset val="100"/>
        <c:noMultiLvlLbl val="0"/>
      </c:catAx>
      <c:valAx>
        <c:axId val="1382644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2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'2022'!$J$5:$J$7</c:f>
              <c:numCache>
                <c:formatCode>General</c:formatCode>
                <c:ptCount val="3"/>
                <c:pt idx="0">
                  <c:v>378</c:v>
                </c:pt>
                <c:pt idx="1">
                  <c:v>2289</c:v>
                </c:pt>
                <c:pt idx="2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1-431C-ABB8-42C6C88B7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37743"/>
        <c:axId val="1382644463"/>
      </c:barChart>
      <c:catAx>
        <c:axId val="1382637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44463"/>
        <c:crosses val="autoZero"/>
        <c:auto val="1"/>
        <c:lblAlgn val="ctr"/>
        <c:lblOffset val="100"/>
        <c:noMultiLvlLbl val="0"/>
      </c:catAx>
      <c:valAx>
        <c:axId val="138264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37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'2022'!$K$5:$K$7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D-4396-AFED-3C30A53A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19983"/>
        <c:axId val="1382634863"/>
      </c:barChart>
      <c:catAx>
        <c:axId val="1382619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34863"/>
        <c:crosses val="autoZero"/>
        <c:auto val="1"/>
        <c:lblAlgn val="ctr"/>
        <c:lblOffset val="100"/>
        <c:noMultiLvlLbl val="0"/>
      </c:catAx>
      <c:valAx>
        <c:axId val="13826348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19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'2022'!$L$5:$L$7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6-40CC-8C65-A0632543E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49743"/>
        <c:axId val="1382652143"/>
      </c:barChart>
      <c:catAx>
        <c:axId val="1382649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52143"/>
        <c:crosses val="autoZero"/>
        <c:auto val="1"/>
        <c:lblAlgn val="ctr"/>
        <c:lblOffset val="100"/>
        <c:noMultiLvlLbl val="0"/>
      </c:catAx>
      <c:valAx>
        <c:axId val="1382652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49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'2022'!$P$5:$P$7</c:f>
              <c:numCache>
                <c:formatCode>General</c:formatCode>
                <c:ptCount val="3"/>
                <c:pt idx="0">
                  <c:v>6825</c:v>
                </c:pt>
                <c:pt idx="1">
                  <c:v>2832</c:v>
                </c:pt>
                <c:pt idx="2">
                  <c:v>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0-4E80-860C-46104E07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700623"/>
        <c:axId val="1382684303"/>
      </c:barChart>
      <c:catAx>
        <c:axId val="13827006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84303"/>
        <c:crosses val="autoZero"/>
        <c:auto val="1"/>
        <c:lblAlgn val="ctr"/>
        <c:lblOffset val="100"/>
        <c:noMultiLvlLbl val="0"/>
      </c:catAx>
      <c:valAx>
        <c:axId val="1382684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00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'2022'!$Q$5:$Q$7</c:f>
              <c:numCache>
                <c:formatCode>General</c:formatCode>
                <c:ptCount val="3"/>
                <c:pt idx="0">
                  <c:v>1298079.7</c:v>
                </c:pt>
                <c:pt idx="1">
                  <c:v>602578</c:v>
                </c:pt>
                <c:pt idx="2">
                  <c:v>203218.18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4-47E1-96E3-2BCE962C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702543"/>
        <c:axId val="1382687183"/>
      </c:barChart>
      <c:catAx>
        <c:axId val="1382702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87183"/>
        <c:crosses val="autoZero"/>
        <c:auto val="1"/>
        <c:lblAlgn val="ctr"/>
        <c:lblOffset val="100"/>
        <c:noMultiLvlLbl val="0"/>
      </c:catAx>
      <c:valAx>
        <c:axId val="1382687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02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'2022'!$R$5:$R$7</c:f>
              <c:numCache>
                <c:formatCode>General</c:formatCode>
                <c:ptCount val="3"/>
                <c:pt idx="0">
                  <c:v>461.68</c:v>
                </c:pt>
                <c:pt idx="1">
                  <c:v>282.26</c:v>
                </c:pt>
                <c:pt idx="2">
                  <c:v>135.74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2-465C-BADE-24F42948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705423"/>
        <c:axId val="1382702063"/>
      </c:barChart>
      <c:catAx>
        <c:axId val="13827054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02063"/>
        <c:crosses val="autoZero"/>
        <c:auto val="1"/>
        <c:lblAlgn val="ctr"/>
        <c:lblOffset val="100"/>
        <c:noMultiLvlLbl val="0"/>
      </c:catAx>
      <c:valAx>
        <c:axId val="1382702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0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'2013'!$K$5:$K$10</c:f>
              <c:numCache>
                <c:formatCode>General</c:formatCode>
                <c:ptCount val="6"/>
                <c:pt idx="0">
                  <c:v>36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E-4B3F-AF9D-F41764F0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07023"/>
        <c:axId val="1382608943"/>
      </c:barChart>
      <c:catAx>
        <c:axId val="1382607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8943"/>
        <c:crosses val="autoZero"/>
        <c:auto val="1"/>
        <c:lblAlgn val="ctr"/>
        <c:lblOffset val="100"/>
        <c:noMultiLvlLbl val="0"/>
      </c:catAx>
      <c:valAx>
        <c:axId val="1382608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'2022'!$U$5:$U$7</c:f>
              <c:numCache>
                <c:formatCode>General</c:formatCode>
                <c:ptCount val="3"/>
                <c:pt idx="0">
                  <c:v>42053</c:v>
                </c:pt>
                <c:pt idx="1">
                  <c:v>0</c:v>
                </c:pt>
                <c:pt idx="2">
                  <c:v>2398.5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F-4059-BB03-01BE3EBF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714543"/>
        <c:axId val="1382709743"/>
      </c:barChart>
      <c:catAx>
        <c:axId val="1382714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09743"/>
        <c:crosses val="autoZero"/>
        <c:auto val="1"/>
        <c:lblAlgn val="ctr"/>
        <c:lblOffset val="100"/>
        <c:noMultiLvlLbl val="0"/>
      </c:catAx>
      <c:valAx>
        <c:axId val="1382709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714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'2022'!$V$5:$V$7</c:f>
              <c:numCache>
                <c:formatCode>General</c:formatCode>
                <c:ptCount val="3"/>
                <c:pt idx="0">
                  <c:v>49606</c:v>
                </c:pt>
                <c:pt idx="1">
                  <c:v>126253.9</c:v>
                </c:pt>
                <c:pt idx="2">
                  <c:v>21201.7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5-4DEA-8D3C-78D895E0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596943"/>
        <c:axId val="1382600303"/>
      </c:barChart>
      <c:catAx>
        <c:axId val="13825969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0303"/>
        <c:crosses val="autoZero"/>
        <c:auto val="1"/>
        <c:lblAlgn val="ctr"/>
        <c:lblOffset val="100"/>
        <c:noMultiLvlLbl val="0"/>
      </c:catAx>
      <c:valAx>
        <c:axId val="1382600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596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'2022'!$W$4</c:f>
              <c:strCache>
                <c:ptCount val="1"/>
                <c:pt idx="0">
                  <c:v>Resaltos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'2022'!$W$5:$W$7</c:f>
              <c:numCache>
                <c:formatCode>General</c:formatCode>
                <c:ptCount val="3"/>
                <c:pt idx="0">
                  <c:v>0</c:v>
                </c:pt>
                <c:pt idx="1">
                  <c:v>157.19999999999999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4-42AE-A9CE-B57CD34F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13263"/>
        <c:axId val="1382606063"/>
      </c:barChart>
      <c:catAx>
        <c:axId val="1382613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6063"/>
        <c:crosses val="autoZero"/>
        <c:auto val="1"/>
        <c:lblAlgn val="ctr"/>
        <c:lblOffset val="100"/>
        <c:noMultiLvlLbl val="0"/>
      </c:catAx>
      <c:valAx>
        <c:axId val="138260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13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'2022'!$X$4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'2022'!$X$5:$X$7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296.85000000000002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E-4C9F-8AC5-22A0F2180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00303"/>
        <c:axId val="1284606543"/>
      </c:barChart>
      <c:catAx>
        <c:axId val="1284600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6543"/>
        <c:crosses val="autoZero"/>
        <c:auto val="1"/>
        <c:lblAlgn val="ctr"/>
        <c:lblOffset val="100"/>
        <c:noMultiLvlLbl val="0"/>
      </c:catAx>
      <c:valAx>
        <c:axId val="1284606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0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'2022'!$Z$5:$Z$7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A-4951-BC57-A22094959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536463"/>
        <c:axId val="1284544623"/>
      </c:barChart>
      <c:catAx>
        <c:axId val="12845364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44623"/>
        <c:crosses val="autoZero"/>
        <c:auto val="1"/>
        <c:lblAlgn val="ctr"/>
        <c:lblOffset val="100"/>
        <c:noMultiLvlLbl val="0"/>
      </c:catAx>
      <c:valAx>
        <c:axId val="1284544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536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'2022'!$AA$5:$AA$7</c:f>
              <c:numCache>
                <c:formatCode>General</c:formatCode>
                <c:ptCount val="3"/>
                <c:pt idx="0">
                  <c:v>1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B-48BC-B593-A27944E5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37743"/>
        <c:axId val="1284633423"/>
      </c:barChart>
      <c:catAx>
        <c:axId val="1284637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3423"/>
        <c:crosses val="autoZero"/>
        <c:auto val="1"/>
        <c:lblAlgn val="ctr"/>
        <c:lblOffset val="100"/>
        <c:noMultiLvlLbl val="0"/>
      </c:catAx>
      <c:valAx>
        <c:axId val="1284633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7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'2022'!$H$4:$H$7</c:f>
              <c:strCache>
                <c:ptCount val="4"/>
                <c:pt idx="1">
                  <c:v>SUROESTE, OCCIDENTE Y URABÁ</c:v>
                </c:pt>
                <c:pt idx="2">
                  <c:v>NORDESTE, NORTE, BAJO CAUCA Y VÍAS ESPECÍFICAS DEL PEAJE PAJARITO</c:v>
                </c:pt>
                <c:pt idx="3">
                  <c:v>ORIENTE Y MAGDALENA MEDIO</c:v>
                </c:pt>
              </c:strCache>
            </c:strRef>
          </c:cat>
          <c:val>
            <c:numRef>
              <c:f>'2022'!$M$4:$M$7</c:f>
              <c:numCache>
                <c:formatCode>General</c:formatCode>
                <c:ptCount val="4"/>
                <c:pt idx="1">
                  <c:v>33</c:v>
                </c:pt>
                <c:pt idx="2">
                  <c:v>52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9-4455-B651-182820DCE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87039"/>
        <c:axId val="770992319"/>
      </c:barChart>
      <c:catAx>
        <c:axId val="7709870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92319"/>
        <c:crosses val="autoZero"/>
        <c:auto val="1"/>
        <c:lblAlgn val="ctr"/>
        <c:lblOffset val="100"/>
        <c:noMultiLvlLbl val="0"/>
      </c:catAx>
      <c:valAx>
        <c:axId val="770992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8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'2022'!$H$4:$H$7</c:f>
              <c:strCache>
                <c:ptCount val="4"/>
                <c:pt idx="1">
                  <c:v>SUROESTE, OCCIDENTE Y URABÁ</c:v>
                </c:pt>
                <c:pt idx="2">
                  <c:v>NORDESTE, NORTE, BAJO CAUCA Y VÍAS ESPECÍFICAS DEL PEAJE PAJARITO</c:v>
                </c:pt>
                <c:pt idx="3">
                  <c:v>ORIENTE Y MAGDALENA MEDIO</c:v>
                </c:pt>
              </c:strCache>
            </c:strRef>
          </c:cat>
          <c:val>
            <c:numRef>
              <c:f>'2022'!$N$4:$N$7</c:f>
              <c:numCache>
                <c:formatCode>General</c:formatCode>
                <c:ptCount val="4"/>
                <c:pt idx="1">
                  <c:v>9633</c:v>
                </c:pt>
                <c:pt idx="2">
                  <c:v>17419.73</c:v>
                </c:pt>
                <c:pt idx="3">
                  <c:v>10376.629999999999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7-4FE3-B975-0472FE8A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79839"/>
        <c:axId val="770976959"/>
      </c:barChart>
      <c:catAx>
        <c:axId val="7709798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76959"/>
        <c:crosses val="autoZero"/>
        <c:auto val="1"/>
        <c:lblAlgn val="ctr"/>
        <c:lblOffset val="100"/>
        <c:noMultiLvlLbl val="0"/>
      </c:catAx>
      <c:valAx>
        <c:axId val="770976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79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'2022'!$H$4:$H$7</c:f>
              <c:strCache>
                <c:ptCount val="4"/>
                <c:pt idx="1">
                  <c:v>SUROESTE, OCCIDENTE Y URABÁ</c:v>
                </c:pt>
                <c:pt idx="2">
                  <c:v>NORDESTE, NORTE, BAJO CAUCA Y VÍAS ESPECÍFICAS DEL PEAJE PAJARITO</c:v>
                </c:pt>
                <c:pt idx="3">
                  <c:v>ORIENTE Y MAGDALENA MEDIO</c:v>
                </c:pt>
              </c:strCache>
            </c:strRef>
          </c:cat>
          <c:val>
            <c:numRef>
              <c:f>'2022'!$O$4:$O$7</c:f>
              <c:numCache>
                <c:formatCode>General</c:formatCode>
                <c:ptCount val="4"/>
                <c:pt idx="1">
                  <c:v>642456.4</c:v>
                </c:pt>
                <c:pt idx="2">
                  <c:v>496825.67</c:v>
                </c:pt>
                <c:pt idx="3">
                  <c:v>1057933.6499999999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F-474C-86AE-C9093DB76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80319"/>
        <c:axId val="771000959"/>
      </c:barChart>
      <c:catAx>
        <c:axId val="770980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00959"/>
        <c:crosses val="autoZero"/>
        <c:auto val="1"/>
        <c:lblAlgn val="ctr"/>
        <c:lblOffset val="100"/>
        <c:noMultiLvlLbl val="0"/>
      </c:catAx>
      <c:valAx>
        <c:axId val="771000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80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'2022'!$H$4:$H$7</c:f>
              <c:strCache>
                <c:ptCount val="4"/>
                <c:pt idx="1">
                  <c:v>SUROESTE, OCCIDENTE Y URABÁ</c:v>
                </c:pt>
                <c:pt idx="2">
                  <c:v>NORDESTE, NORTE, BAJO CAUCA Y VÍAS ESPECÍFICAS DEL PEAJE PAJARITO</c:v>
                </c:pt>
                <c:pt idx="3">
                  <c:v>ORIENTE Y MAGDALENA MEDIO</c:v>
                </c:pt>
              </c:strCache>
            </c:strRef>
          </c:cat>
          <c:val>
            <c:numRef>
              <c:f>'2022'!$S$4:$S$7</c:f>
              <c:numCache>
                <c:formatCode>General</c:formatCode>
                <c:ptCount val="4"/>
                <c:pt idx="1">
                  <c:v>39376.699999999997</c:v>
                </c:pt>
                <c:pt idx="2">
                  <c:v>17331.48</c:v>
                </c:pt>
                <c:pt idx="3">
                  <c:v>24255.22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9-490C-8BC5-0C9E4881F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1013439"/>
        <c:axId val="771013919"/>
      </c:barChart>
      <c:catAx>
        <c:axId val="7710134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13919"/>
        <c:crosses val="autoZero"/>
        <c:auto val="1"/>
        <c:lblAlgn val="ctr"/>
        <c:lblOffset val="100"/>
        <c:noMultiLvlLbl val="0"/>
      </c:catAx>
      <c:valAx>
        <c:axId val="771013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13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'2013'!$L$5:$L$10</c:f>
              <c:numCache>
                <c:formatCode>General</c:formatCode>
                <c:ptCount val="6"/>
                <c:pt idx="0">
                  <c:v>26</c:v>
                </c:pt>
                <c:pt idx="1">
                  <c:v>4</c:v>
                </c:pt>
                <c:pt idx="2">
                  <c:v>18</c:v>
                </c:pt>
                <c:pt idx="3">
                  <c:v>16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6-4A21-8305-54B05164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07983"/>
        <c:axId val="1382609423"/>
      </c:barChart>
      <c:catAx>
        <c:axId val="1382607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9423"/>
        <c:crosses val="autoZero"/>
        <c:auto val="1"/>
        <c:lblAlgn val="ctr"/>
        <c:lblOffset val="100"/>
        <c:noMultiLvlLbl val="0"/>
      </c:catAx>
      <c:valAx>
        <c:axId val="1382609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7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'2022'!$T$3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'2022'!$H$4:$H$7</c:f>
              <c:strCache>
                <c:ptCount val="4"/>
                <c:pt idx="1">
                  <c:v>SUROESTE, OCCIDENTE Y URABÁ</c:v>
                </c:pt>
                <c:pt idx="2">
                  <c:v>NORDESTE, NORTE, BAJO CAUCA Y VÍAS ESPECÍFICAS DEL PEAJE PAJARITO</c:v>
                </c:pt>
                <c:pt idx="3">
                  <c:v>ORIENTE Y MAGDALENA MEDIO</c:v>
                </c:pt>
              </c:strCache>
            </c:strRef>
          </c:cat>
          <c:val>
            <c:numRef>
              <c:f>'2022'!$T$4:$T$7</c:f>
              <c:numCache>
                <c:formatCode>General</c:formatCode>
                <c:ptCount val="4"/>
                <c:pt idx="1">
                  <c:v>769.1</c:v>
                </c:pt>
                <c:pt idx="2">
                  <c:v>28458.83</c:v>
                </c:pt>
                <c:pt idx="3">
                  <c:v>8861.5300000000007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2-43A4-AB92-7849CFC70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1004319"/>
        <c:axId val="770992799"/>
      </c:barChart>
      <c:catAx>
        <c:axId val="7710043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92799"/>
        <c:crosses val="autoZero"/>
        <c:auto val="1"/>
        <c:lblAlgn val="ctr"/>
        <c:lblOffset val="100"/>
        <c:noMultiLvlLbl val="0"/>
      </c:catAx>
      <c:valAx>
        <c:axId val="77099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04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'2022'!$E$3:$E$4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'2022'!$H$5:$H$7</c:f>
              <c:strCache>
                <c:ptCount val="3"/>
                <c:pt idx="0">
                  <c:v>SUROESTE, OCCIDENTE Y URABÁ</c:v>
                </c:pt>
                <c:pt idx="1">
                  <c:v>NORDESTE, NORTE, BAJO CAUCA Y VÍAS ESPECÍFICAS DEL PEAJE PAJARITO</c:v>
                </c:pt>
                <c:pt idx="2">
                  <c:v>ORIENTE Y MAGDALENA MEDIO</c:v>
                </c:pt>
              </c:strCache>
            </c:strRef>
          </c:cat>
          <c:val>
            <c:numRef>
              <c:f>'2022'!$E$5:$E$7</c:f>
              <c:numCache>
                <c:formatCode>_-"$"\ * #,##0_-;\-"$"\ * #,##0_-;_-"$"\ * "-"_-;_-@_-</c:formatCode>
                <c:ptCount val="3"/>
                <c:pt idx="0">
                  <c:v>42581904324</c:v>
                </c:pt>
                <c:pt idx="1">
                  <c:v>53752988912</c:v>
                </c:pt>
                <c:pt idx="2">
                  <c:v>28520770272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6-403E-84FD-863A944B7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Resumen!$E$4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Resumen!$E$5:$E$15</c:f>
              <c:numCache>
                <c:formatCode>General</c:formatCode>
                <c:ptCount val="11"/>
                <c:pt idx="0">
                  <c:v>17</c:v>
                </c:pt>
                <c:pt idx="1">
                  <c:v>366</c:v>
                </c:pt>
                <c:pt idx="2">
                  <c:v>23</c:v>
                </c:pt>
                <c:pt idx="3">
                  <c:v>39</c:v>
                </c:pt>
                <c:pt idx="4">
                  <c:v>55</c:v>
                </c:pt>
                <c:pt idx="5">
                  <c:v>47</c:v>
                </c:pt>
                <c:pt idx="6">
                  <c:v>73</c:v>
                </c:pt>
                <c:pt idx="7">
                  <c:v>29</c:v>
                </c:pt>
                <c:pt idx="8">
                  <c:v>15</c:v>
                </c:pt>
                <c:pt idx="9">
                  <c:v>24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C-4620-8776-B4041906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38738288"/>
        <c:axId val="538739536"/>
      </c:barChart>
      <c:catAx>
        <c:axId val="53873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9536"/>
        <c:crosses val="autoZero"/>
        <c:auto val="1"/>
        <c:lblAlgn val="ctr"/>
        <c:lblOffset val="100"/>
        <c:noMultiLvlLbl val="0"/>
      </c:catAx>
      <c:valAx>
        <c:axId val="53873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Resumen!$F$4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Resumen!$F$5:$F$15</c:f>
              <c:numCache>
                <c:formatCode>General</c:formatCode>
                <c:ptCount val="11"/>
                <c:pt idx="0">
                  <c:v>0</c:v>
                </c:pt>
                <c:pt idx="1">
                  <c:v>9661.2200000000012</c:v>
                </c:pt>
                <c:pt idx="2">
                  <c:v>5522.5</c:v>
                </c:pt>
                <c:pt idx="3">
                  <c:v>1072</c:v>
                </c:pt>
                <c:pt idx="4">
                  <c:v>2579.1</c:v>
                </c:pt>
                <c:pt idx="5">
                  <c:v>1198.7</c:v>
                </c:pt>
                <c:pt idx="6">
                  <c:v>6101.9</c:v>
                </c:pt>
                <c:pt idx="7">
                  <c:v>900</c:v>
                </c:pt>
                <c:pt idx="8">
                  <c:v>1531.82</c:v>
                </c:pt>
                <c:pt idx="9">
                  <c:v>180</c:v>
                </c:pt>
                <c:pt idx="10">
                  <c:v>4669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0-4605-8962-AFE272E1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65888912"/>
        <c:axId val="1165882672"/>
      </c:barChart>
      <c:catAx>
        <c:axId val="1165888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2672"/>
        <c:crosses val="autoZero"/>
        <c:auto val="1"/>
        <c:lblAlgn val="ctr"/>
        <c:lblOffset val="100"/>
        <c:noMultiLvlLbl val="0"/>
      </c:catAx>
      <c:valAx>
        <c:axId val="116588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Resumen!$G$4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Resumen!$G$5:$G$15</c:f>
              <c:numCache>
                <c:formatCode>General</c:formatCode>
                <c:ptCount val="11"/>
                <c:pt idx="0">
                  <c:v>1</c:v>
                </c:pt>
                <c:pt idx="1">
                  <c:v>41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B-4B0D-9C68-0EF5EAAFE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00531888"/>
        <c:axId val="1200531056"/>
      </c:barChart>
      <c:catAx>
        <c:axId val="1200531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531056"/>
        <c:crosses val="autoZero"/>
        <c:auto val="1"/>
        <c:lblAlgn val="ctr"/>
        <c:lblOffset val="100"/>
        <c:noMultiLvlLbl val="0"/>
      </c:catAx>
      <c:valAx>
        <c:axId val="120053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53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Resumen!$H$4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Resumen!$H$5:$H$15</c:f>
              <c:numCache>
                <c:formatCode>General</c:formatCode>
                <c:ptCount val="11"/>
                <c:pt idx="0">
                  <c:v>5</c:v>
                </c:pt>
                <c:pt idx="1">
                  <c:v>66</c:v>
                </c:pt>
                <c:pt idx="2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8</c:v>
                </c:pt>
                <c:pt idx="6">
                  <c:v>13</c:v>
                </c:pt>
                <c:pt idx="7">
                  <c:v>8</c:v>
                </c:pt>
                <c:pt idx="8">
                  <c:v>4</c:v>
                </c:pt>
                <c:pt idx="9">
                  <c:v>13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F-4049-ABC8-5F92A70A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00257264"/>
        <c:axId val="1200260592"/>
      </c:barChart>
      <c:catAx>
        <c:axId val="1200257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60592"/>
        <c:crosses val="autoZero"/>
        <c:auto val="1"/>
        <c:lblAlgn val="ctr"/>
        <c:lblOffset val="100"/>
        <c:noMultiLvlLbl val="0"/>
      </c:catAx>
      <c:valAx>
        <c:axId val="1200260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5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Resumen!$L$4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Resumen!$L$5:$L$15</c:f>
              <c:numCache>
                <c:formatCode>General</c:formatCode>
                <c:ptCount val="11"/>
                <c:pt idx="0">
                  <c:v>13970.7</c:v>
                </c:pt>
                <c:pt idx="1">
                  <c:v>26571</c:v>
                </c:pt>
                <c:pt idx="2">
                  <c:v>3626</c:v>
                </c:pt>
                <c:pt idx="3">
                  <c:v>3454</c:v>
                </c:pt>
                <c:pt idx="4">
                  <c:v>18144</c:v>
                </c:pt>
                <c:pt idx="5">
                  <c:v>9367</c:v>
                </c:pt>
                <c:pt idx="6">
                  <c:v>10199</c:v>
                </c:pt>
                <c:pt idx="7">
                  <c:v>7530</c:v>
                </c:pt>
                <c:pt idx="8">
                  <c:v>5200</c:v>
                </c:pt>
                <c:pt idx="9">
                  <c:v>3509</c:v>
                </c:pt>
                <c:pt idx="10">
                  <c:v>11049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8-4D38-A29D-971C6020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96861648"/>
        <c:axId val="1696862064"/>
      </c:barChart>
      <c:catAx>
        <c:axId val="1696861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696862064"/>
        <c:crosses val="autoZero"/>
        <c:auto val="1"/>
        <c:lblAlgn val="ctr"/>
        <c:lblOffset val="100"/>
        <c:noMultiLvlLbl val="0"/>
      </c:catAx>
      <c:valAx>
        <c:axId val="169686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69686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Resumen!$M$4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Resumen!$M$5:$M$15</c:f>
              <c:numCache>
                <c:formatCode>General</c:formatCode>
                <c:ptCount val="11"/>
                <c:pt idx="0">
                  <c:v>1193116.8500000001</c:v>
                </c:pt>
                <c:pt idx="1">
                  <c:v>4623841.75</c:v>
                </c:pt>
                <c:pt idx="2">
                  <c:v>381474</c:v>
                </c:pt>
                <c:pt idx="3">
                  <c:v>219445.04</c:v>
                </c:pt>
                <c:pt idx="4">
                  <c:v>1827915.5</c:v>
                </c:pt>
                <c:pt idx="5">
                  <c:v>1414932.28</c:v>
                </c:pt>
                <c:pt idx="6">
                  <c:v>1633571.5</c:v>
                </c:pt>
                <c:pt idx="7">
                  <c:v>1613467.2000000002</c:v>
                </c:pt>
                <c:pt idx="8">
                  <c:v>944992.48</c:v>
                </c:pt>
                <c:pt idx="9">
                  <c:v>857514.2</c:v>
                </c:pt>
                <c:pt idx="10">
                  <c:v>2103875.88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5-46D5-B3A9-FAA4D883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95152400"/>
        <c:axId val="1695153232"/>
      </c:barChart>
      <c:catAx>
        <c:axId val="1695152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695153232"/>
        <c:crosses val="autoZero"/>
        <c:auto val="1"/>
        <c:lblAlgn val="ctr"/>
        <c:lblOffset val="100"/>
        <c:noMultiLvlLbl val="0"/>
      </c:catAx>
      <c:valAx>
        <c:axId val="1695153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69515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Resumen!$N$4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Resumen!$N$5:$N$15</c:f>
              <c:numCache>
                <c:formatCode>General</c:formatCode>
                <c:ptCount val="11"/>
                <c:pt idx="0">
                  <c:v>1298.1799999999998</c:v>
                </c:pt>
                <c:pt idx="1">
                  <c:v>2462.39</c:v>
                </c:pt>
                <c:pt idx="2">
                  <c:v>356.81</c:v>
                </c:pt>
                <c:pt idx="3">
                  <c:v>337.26</c:v>
                </c:pt>
                <c:pt idx="4">
                  <c:v>1409.81</c:v>
                </c:pt>
                <c:pt idx="5">
                  <c:v>785.75000000000011</c:v>
                </c:pt>
                <c:pt idx="6">
                  <c:v>837.58999999999992</c:v>
                </c:pt>
                <c:pt idx="7">
                  <c:v>632.57999999999993</c:v>
                </c:pt>
                <c:pt idx="8">
                  <c:v>519.13999999999987</c:v>
                </c:pt>
                <c:pt idx="9">
                  <c:v>288.31</c:v>
                </c:pt>
                <c:pt idx="10">
                  <c:v>879.68000000000006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E-4528-AAF5-B7E8655FC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80721072"/>
        <c:axId val="1580720240"/>
      </c:barChart>
      <c:catAx>
        <c:axId val="158072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580720240"/>
        <c:crosses val="autoZero"/>
        <c:auto val="1"/>
        <c:lblAlgn val="ctr"/>
        <c:lblOffset val="100"/>
        <c:noMultiLvlLbl val="0"/>
      </c:catAx>
      <c:valAx>
        <c:axId val="1580720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580721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Resumen!$Q$4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Resumen!$Q$5:$Q$15</c:f>
              <c:numCache>
                <c:formatCode>General</c:formatCode>
                <c:ptCount val="11"/>
                <c:pt idx="0">
                  <c:v>0</c:v>
                </c:pt>
                <c:pt idx="1">
                  <c:v>74923.899999999994</c:v>
                </c:pt>
                <c:pt idx="2">
                  <c:v>6441</c:v>
                </c:pt>
                <c:pt idx="3">
                  <c:v>42605.7</c:v>
                </c:pt>
                <c:pt idx="4">
                  <c:v>14435.5</c:v>
                </c:pt>
                <c:pt idx="5">
                  <c:v>4323</c:v>
                </c:pt>
                <c:pt idx="6">
                  <c:v>27475.199999999997</c:v>
                </c:pt>
                <c:pt idx="7">
                  <c:v>47264.7</c:v>
                </c:pt>
                <c:pt idx="8">
                  <c:v>25579.199999999997</c:v>
                </c:pt>
                <c:pt idx="9">
                  <c:v>1334</c:v>
                </c:pt>
                <c:pt idx="10">
                  <c:v>44451.5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6-4906-9158-046AE946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5703023"/>
        <c:axId val="895704463"/>
      </c:barChart>
      <c:catAx>
        <c:axId val="895703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704463"/>
        <c:crosses val="autoZero"/>
        <c:auto val="1"/>
        <c:lblAlgn val="ctr"/>
        <c:lblOffset val="100"/>
        <c:noMultiLvlLbl val="0"/>
      </c:catAx>
      <c:valAx>
        <c:axId val="8957044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703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'2013'!$P$5:$P$10</c:f>
              <c:numCache>
                <c:formatCode>General</c:formatCode>
                <c:ptCount val="6"/>
                <c:pt idx="0">
                  <c:v>3278</c:v>
                </c:pt>
                <c:pt idx="1">
                  <c:v>5796</c:v>
                </c:pt>
                <c:pt idx="2">
                  <c:v>7110</c:v>
                </c:pt>
                <c:pt idx="3">
                  <c:v>5594</c:v>
                </c:pt>
                <c:pt idx="4">
                  <c:v>4582</c:v>
                </c:pt>
                <c:pt idx="5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7-42E3-9B1A-1C53F73BB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62223"/>
        <c:axId val="1382652143"/>
      </c:barChart>
      <c:catAx>
        <c:axId val="1382662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52143"/>
        <c:crosses val="autoZero"/>
        <c:auto val="1"/>
        <c:lblAlgn val="ctr"/>
        <c:lblOffset val="100"/>
        <c:noMultiLvlLbl val="0"/>
      </c:catAx>
      <c:valAx>
        <c:axId val="1382652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62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Resumen!$R$4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Resumen!$R$5:$R$15</c:f>
              <c:numCache>
                <c:formatCode>General</c:formatCode>
                <c:ptCount val="11"/>
                <c:pt idx="0">
                  <c:v>2132.8999999999996</c:v>
                </c:pt>
                <c:pt idx="1">
                  <c:v>413369.7</c:v>
                </c:pt>
                <c:pt idx="2">
                  <c:v>21533</c:v>
                </c:pt>
                <c:pt idx="3">
                  <c:v>25854.399999999998</c:v>
                </c:pt>
                <c:pt idx="4">
                  <c:v>21824.5</c:v>
                </c:pt>
                <c:pt idx="5">
                  <c:v>28555</c:v>
                </c:pt>
                <c:pt idx="6">
                  <c:v>29595.5</c:v>
                </c:pt>
                <c:pt idx="7">
                  <c:v>13747.9</c:v>
                </c:pt>
                <c:pt idx="8">
                  <c:v>17808.199999999997</c:v>
                </c:pt>
                <c:pt idx="9">
                  <c:v>100032.09999999999</c:v>
                </c:pt>
                <c:pt idx="10">
                  <c:v>197061.6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F-4552-9261-38D104346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52857296"/>
        <c:axId val="752857776"/>
      </c:barChart>
      <c:catAx>
        <c:axId val="752857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7776"/>
        <c:crosses val="autoZero"/>
        <c:auto val="1"/>
        <c:lblAlgn val="ctr"/>
        <c:lblOffset val="100"/>
        <c:noMultiLvlLbl val="0"/>
      </c:catAx>
      <c:valAx>
        <c:axId val="752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5285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Resumen!$T$4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Resumen!$T$5:$T$15</c:f>
              <c:numCache>
                <c:formatCode>General</c:formatCode>
                <c:ptCount val="11"/>
                <c:pt idx="0">
                  <c:v>0</c:v>
                </c:pt>
                <c:pt idx="1">
                  <c:v>73345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10268.799999999999</c:v>
                </c:pt>
                <c:pt idx="7">
                  <c:v>4834.5</c:v>
                </c:pt>
                <c:pt idx="8">
                  <c:v>0</c:v>
                </c:pt>
                <c:pt idx="9">
                  <c:v>0</c:v>
                </c:pt>
                <c:pt idx="10">
                  <c:v>296.85000000000002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1-4066-8AE9-0EFA1BA1C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5697263"/>
        <c:axId val="895674223"/>
      </c:barChart>
      <c:catAx>
        <c:axId val="895697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74223"/>
        <c:crosses val="autoZero"/>
        <c:auto val="1"/>
        <c:lblAlgn val="ctr"/>
        <c:lblOffset val="100"/>
        <c:noMultiLvlLbl val="0"/>
      </c:catAx>
      <c:valAx>
        <c:axId val="89567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97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Resumen!$U$4</c:f>
              <c:strCache>
                <c:ptCount val="1"/>
                <c:pt idx="0">
                  <c:v>Sello de grietas en pavimento asfáltico sin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Resumen!$U$5:$U$15</c:f>
              <c:numCache>
                <c:formatCode>General</c:formatCode>
                <c:ptCount val="11"/>
                <c:pt idx="0">
                  <c:v>0</c:v>
                </c:pt>
                <c:pt idx="1">
                  <c:v>81234.3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17273.599999999999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6-4656-83E5-B8AE19254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21373455"/>
        <c:axId val="721372975"/>
      </c:barChart>
      <c:catAx>
        <c:axId val="7213734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21372975"/>
        <c:crosses val="autoZero"/>
        <c:auto val="1"/>
        <c:lblAlgn val="ctr"/>
        <c:lblOffset val="100"/>
        <c:noMultiLvlLbl val="0"/>
      </c:catAx>
      <c:valAx>
        <c:axId val="721372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21373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Resumen!$V$4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Resumen!$V$5:$V$15</c:f>
              <c:numCache>
                <c:formatCode>General</c:formatCode>
                <c:ptCount val="11"/>
                <c:pt idx="0">
                  <c:v>0</c:v>
                </c:pt>
                <c:pt idx="1">
                  <c:v>8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7A3-B571-D43236F1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95658863"/>
        <c:axId val="895647343"/>
      </c:barChart>
      <c:catAx>
        <c:axId val="8956588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47343"/>
        <c:crosses val="autoZero"/>
        <c:auto val="1"/>
        <c:lblAlgn val="ctr"/>
        <c:lblOffset val="100"/>
        <c:noMultiLvlLbl val="0"/>
      </c:catAx>
      <c:valAx>
        <c:axId val="895647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88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Resumen!$W$4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Resumen!$W$5:$W$15</c:f>
              <c:numCache>
                <c:formatCode>General</c:formatCode>
                <c:ptCount val="11"/>
                <c:pt idx="0">
                  <c:v>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6-484C-988D-2EF07DC6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32705215"/>
        <c:axId val="1132686015"/>
      </c:barChart>
      <c:catAx>
        <c:axId val="1132705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686015"/>
        <c:crosses val="autoZero"/>
        <c:auto val="1"/>
        <c:lblAlgn val="ctr"/>
        <c:lblOffset val="100"/>
        <c:noMultiLvlLbl val="0"/>
      </c:catAx>
      <c:valAx>
        <c:axId val="1132686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05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Resumen!$X$3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Resumen!$X$4:$X$15</c:f>
              <c:numCache>
                <c:formatCode>General</c:formatCode>
                <c:ptCount val="12"/>
                <c:pt idx="1">
                  <c:v>75</c:v>
                </c:pt>
                <c:pt idx="2">
                  <c:v>1760</c:v>
                </c:pt>
                <c:pt idx="3">
                  <c:v>117</c:v>
                </c:pt>
                <c:pt idx="4">
                  <c:v>743</c:v>
                </c:pt>
                <c:pt idx="5">
                  <c:v>82</c:v>
                </c:pt>
                <c:pt idx="6">
                  <c:v>38</c:v>
                </c:pt>
                <c:pt idx="7">
                  <c:v>61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3F-9913-99726EAD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132723935"/>
        <c:axId val="1132721535"/>
      </c:barChart>
      <c:catAx>
        <c:axId val="11327239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21535"/>
        <c:crosses val="autoZero"/>
        <c:auto val="1"/>
        <c:lblAlgn val="ctr"/>
        <c:lblOffset val="100"/>
        <c:noMultiLvlLbl val="0"/>
      </c:catAx>
      <c:valAx>
        <c:axId val="1132721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23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>
        <c:manualLayout>
          <c:layoutTarget val="inner"/>
          <c:xMode val="edge"/>
          <c:yMode val="edge"/>
          <c:x val="0.10573836982198788"/>
          <c:y val="0.2061574074074074"/>
          <c:w val="0.85861680103681015"/>
          <c:h val="0.709591353164187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Resumen!$I$3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Resumen!$I$4:$I$15</c:f>
              <c:numCache>
                <c:formatCode>General</c:formatCode>
                <c:ptCount val="12"/>
                <c:pt idx="1">
                  <c:v>17</c:v>
                </c:pt>
                <c:pt idx="2">
                  <c:v>320</c:v>
                </c:pt>
                <c:pt idx="3">
                  <c:v>15</c:v>
                </c:pt>
                <c:pt idx="4">
                  <c:v>20</c:v>
                </c:pt>
                <c:pt idx="5">
                  <c:v>71</c:v>
                </c:pt>
                <c:pt idx="6">
                  <c:v>66</c:v>
                </c:pt>
                <c:pt idx="7">
                  <c:v>104</c:v>
                </c:pt>
                <c:pt idx="8">
                  <c:v>73</c:v>
                </c:pt>
                <c:pt idx="9">
                  <c:v>55</c:v>
                </c:pt>
                <c:pt idx="10">
                  <c:v>67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7-421C-B159-4C4167FF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78111"/>
        <c:axId val="1154790591"/>
      </c:barChart>
      <c:catAx>
        <c:axId val="1154778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90591"/>
        <c:crosses val="autoZero"/>
        <c:auto val="1"/>
        <c:lblAlgn val="ctr"/>
        <c:lblOffset val="100"/>
        <c:noMultiLvlLbl val="0"/>
      </c:catAx>
      <c:valAx>
        <c:axId val="11547905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78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Resumen!$J$3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Resumen!$J$4:$J$15</c:f>
              <c:numCache>
                <c:formatCode>General</c:formatCode>
                <c:ptCount val="12"/>
                <c:pt idx="1">
                  <c:v>173486.31</c:v>
                </c:pt>
                <c:pt idx="2">
                  <c:v>653730.86</c:v>
                </c:pt>
                <c:pt idx="3">
                  <c:v>166721.74</c:v>
                </c:pt>
                <c:pt idx="4">
                  <c:v>51543.15</c:v>
                </c:pt>
                <c:pt idx="5">
                  <c:v>56479.409999999996</c:v>
                </c:pt>
                <c:pt idx="6">
                  <c:v>72158.010000000009</c:v>
                </c:pt>
                <c:pt idx="7">
                  <c:v>60455.310000000005</c:v>
                </c:pt>
                <c:pt idx="8">
                  <c:v>21619.09</c:v>
                </c:pt>
                <c:pt idx="9">
                  <c:v>64126.8</c:v>
                </c:pt>
                <c:pt idx="10">
                  <c:v>47215.88</c:v>
                </c:pt>
                <c:pt idx="11">
                  <c:v>37429.360000000001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38-8540-276C824C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60639"/>
        <c:axId val="770965919"/>
      </c:barChart>
      <c:catAx>
        <c:axId val="770960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65919"/>
        <c:crosses val="autoZero"/>
        <c:auto val="1"/>
        <c:lblAlgn val="ctr"/>
        <c:lblOffset val="100"/>
        <c:noMultiLvlLbl val="0"/>
      </c:catAx>
      <c:valAx>
        <c:axId val="770965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60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Resumen!$K$3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Resumen!$K$4:$K$15</c:f>
              <c:numCache>
                <c:formatCode>General</c:formatCode>
                <c:ptCount val="12"/>
                <c:pt idx="1">
                  <c:v>5062585.0600000005</c:v>
                </c:pt>
                <c:pt idx="2">
                  <c:v>11455656.74</c:v>
                </c:pt>
                <c:pt idx="3">
                  <c:v>3393773.5</c:v>
                </c:pt>
                <c:pt idx="4">
                  <c:v>2913695.9</c:v>
                </c:pt>
                <c:pt idx="5">
                  <c:v>4930116.0999999996</c:v>
                </c:pt>
                <c:pt idx="6">
                  <c:v>2982750.4</c:v>
                </c:pt>
                <c:pt idx="7">
                  <c:v>3901188.5</c:v>
                </c:pt>
                <c:pt idx="8">
                  <c:v>907842.1</c:v>
                </c:pt>
                <c:pt idx="9">
                  <c:v>2808905</c:v>
                </c:pt>
                <c:pt idx="10">
                  <c:v>1433871.85</c:v>
                </c:pt>
                <c:pt idx="11">
                  <c:v>2197215.7199999997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2-441B-8E38-7050BB810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44506575"/>
        <c:axId val="1144529615"/>
      </c:barChart>
      <c:catAx>
        <c:axId val="11445065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44529615"/>
        <c:crosses val="autoZero"/>
        <c:auto val="1"/>
        <c:lblAlgn val="ctr"/>
        <c:lblOffset val="100"/>
        <c:noMultiLvlLbl val="0"/>
      </c:catAx>
      <c:valAx>
        <c:axId val="11445296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44506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Resumen!$P$3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Resumen!$P$4:$P$15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16051.3</c:v>
                </c:pt>
                <c:pt idx="9">
                  <c:v>31783.559999999998</c:v>
                </c:pt>
                <c:pt idx="10">
                  <c:v>6030.41</c:v>
                </c:pt>
                <c:pt idx="11">
                  <c:v>38089.46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E-41CC-B479-E0F538E3A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0995679"/>
        <c:axId val="770996639"/>
      </c:barChart>
      <c:catAx>
        <c:axId val="7709956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96639"/>
        <c:crosses val="autoZero"/>
        <c:auto val="1"/>
        <c:lblAlgn val="ctr"/>
        <c:lblOffset val="100"/>
        <c:noMultiLvlLbl val="0"/>
      </c:catAx>
      <c:valAx>
        <c:axId val="770996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099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'2012'!$K$5:$K$10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0-451D-ADFA-39F9B2C9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40949184"/>
        <c:axId val="2040945440"/>
      </c:barChart>
      <c:catAx>
        <c:axId val="2040949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40945440"/>
        <c:crosses val="autoZero"/>
        <c:auto val="1"/>
        <c:lblAlgn val="ctr"/>
        <c:lblOffset val="100"/>
        <c:noMultiLvlLbl val="0"/>
      </c:catAx>
      <c:valAx>
        <c:axId val="2040945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409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'2013'!$Q$5:$Q$10</c:f>
              <c:numCache>
                <c:formatCode>General</c:formatCode>
                <c:ptCount val="6"/>
                <c:pt idx="0">
                  <c:v>189863.9</c:v>
                </c:pt>
                <c:pt idx="1">
                  <c:v>2654235.15</c:v>
                </c:pt>
                <c:pt idx="2">
                  <c:v>549628.30000000005</c:v>
                </c:pt>
                <c:pt idx="3">
                  <c:v>732793</c:v>
                </c:pt>
                <c:pt idx="4">
                  <c:v>497321.4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6-4617-B546-3F0862698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57423"/>
        <c:axId val="1382658383"/>
      </c:barChart>
      <c:catAx>
        <c:axId val="13826574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58383"/>
        <c:crosses val="autoZero"/>
        <c:auto val="1"/>
        <c:lblAlgn val="ctr"/>
        <c:lblOffset val="100"/>
        <c:noMultiLvlLbl val="0"/>
      </c:catAx>
      <c:valAx>
        <c:axId val="1382658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5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Resumen!$O$3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Resumen!$O$4:$O$15</c:f>
              <c:numCache>
                <c:formatCode>General</c:formatCode>
                <c:ptCount val="12"/>
                <c:pt idx="1">
                  <c:v>120260.93999999999</c:v>
                </c:pt>
                <c:pt idx="2">
                  <c:v>972137.39</c:v>
                </c:pt>
                <c:pt idx="3">
                  <c:v>77167.42</c:v>
                </c:pt>
                <c:pt idx="4">
                  <c:v>69105.14</c:v>
                </c:pt>
                <c:pt idx="5">
                  <c:v>240895.84000000003</c:v>
                </c:pt>
                <c:pt idx="6">
                  <c:v>141532.69999999998</c:v>
                </c:pt>
                <c:pt idx="7">
                  <c:v>305826.65000000002</c:v>
                </c:pt>
                <c:pt idx="8">
                  <c:v>84709.6</c:v>
                </c:pt>
                <c:pt idx="9">
                  <c:v>157007.10999999999</c:v>
                </c:pt>
                <c:pt idx="10">
                  <c:v>177383.84999999998</c:v>
                </c:pt>
                <c:pt idx="11">
                  <c:v>80963.399999999994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8-4982-B236-75173FD00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71011999"/>
        <c:axId val="771007679"/>
      </c:barChart>
      <c:catAx>
        <c:axId val="7710119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07679"/>
        <c:crosses val="autoZero"/>
        <c:auto val="1"/>
        <c:lblAlgn val="ctr"/>
        <c:lblOffset val="100"/>
        <c:noMultiLvlLbl val="0"/>
      </c:catAx>
      <c:valAx>
        <c:axId val="7710076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71011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Resumen!$C$3</c:f>
              <c:strCache>
                <c:ptCount val="1"/>
                <c:pt idx="0">
                  <c:v>Valor final contratos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Resumen!$C$4:$C$15</c:f>
              <c:numCache>
                <c:formatCode>"$"\ #,##0</c:formatCode>
                <c:ptCount val="12"/>
                <c:pt idx="1">
                  <c:v>23649529742</c:v>
                </c:pt>
                <c:pt idx="2">
                  <c:v>261138997150</c:v>
                </c:pt>
                <c:pt idx="3">
                  <c:v>29892017851</c:v>
                </c:pt>
                <c:pt idx="4">
                  <c:v>20644571784</c:v>
                </c:pt>
                <c:pt idx="5">
                  <c:v>34393582093</c:v>
                </c:pt>
                <c:pt idx="6">
                  <c:v>24435296966</c:v>
                </c:pt>
                <c:pt idx="7">
                  <c:v>39410424639</c:v>
                </c:pt>
                <c:pt idx="8">
                  <c:v>30341712892</c:v>
                </c:pt>
                <c:pt idx="9">
                  <c:v>44000753296</c:v>
                </c:pt>
                <c:pt idx="10">
                  <c:v>48536799619</c:v>
                </c:pt>
                <c:pt idx="11">
                  <c:v>124855663508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4-48A7-8E25-AF77107FF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14455759"/>
        <c:axId val="614440879"/>
      </c:barChart>
      <c:catAx>
        <c:axId val="614455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614440879"/>
        <c:crosses val="autoZero"/>
        <c:auto val="1"/>
        <c:lblAlgn val="ctr"/>
        <c:lblOffset val="100"/>
        <c:noMultiLvlLbl val="0"/>
      </c:catAx>
      <c:valAx>
        <c:axId val="614440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614455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Resumen!$D$3</c:f>
              <c:strCache>
                <c:ptCount val="1"/>
                <c:pt idx="0">
                  <c:v>Equivalencia salarios mínimos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Resumen!$B$4:$B$15</c:f>
              <c:numCache>
                <c:formatCode>General</c:formatCode>
                <c:ptCount val="12"/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Resumen!$D$4:$D$15</c:f>
              <c:numCache>
                <c:formatCode>0.00</c:formatCode>
                <c:ptCount val="12"/>
                <c:pt idx="1">
                  <c:v>41732.00942650433</c:v>
                </c:pt>
                <c:pt idx="2">
                  <c:v>442983.87981340114</c:v>
                </c:pt>
                <c:pt idx="3">
                  <c:v>48526.00300487013</c:v>
                </c:pt>
                <c:pt idx="4">
                  <c:v>32039.375780243659</c:v>
                </c:pt>
                <c:pt idx="5">
                  <c:v>49885.173206373147</c:v>
                </c:pt>
                <c:pt idx="6">
                  <c:v>33122.860075069439</c:v>
                </c:pt>
                <c:pt idx="7">
                  <c:v>50445.860103527455</c:v>
                </c:pt>
                <c:pt idx="8">
                  <c:v>36639.44772471489</c:v>
                </c:pt>
                <c:pt idx="9">
                  <c:v>50126.000134426518</c:v>
                </c:pt>
                <c:pt idx="10">
                  <c:v>53423.677053821244</c:v>
                </c:pt>
                <c:pt idx="11">
                  <c:v>124855.663508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F-4CF7-A947-30CFFEA21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69471"/>
        <c:axId val="1154785791"/>
      </c:barChart>
      <c:catAx>
        <c:axId val="11547694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85791"/>
        <c:crosses val="autoZero"/>
        <c:auto val="1"/>
        <c:lblAlgn val="ctr"/>
        <c:lblOffset val="100"/>
        <c:noMultiLvlLbl val="0"/>
      </c:catAx>
      <c:valAx>
        <c:axId val="11547857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69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Resumen!$S$4</c:f>
              <c:strCache>
                <c:ptCount val="1"/>
                <c:pt idx="0">
                  <c:v>Resaltos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Resumen!$B$5:$B$15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Resumen!$S$5:$S$15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157.19999999999999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B-4F3D-B553-8F7D84276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454372272"/>
        <c:axId val="1454357872"/>
      </c:barChart>
      <c:catAx>
        <c:axId val="1454372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54357872"/>
        <c:crosses val="autoZero"/>
        <c:auto val="1"/>
        <c:lblAlgn val="ctr"/>
        <c:lblOffset val="100"/>
        <c:noMultiLvlLbl val="0"/>
      </c:catAx>
      <c:valAx>
        <c:axId val="145435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5437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administraciones'!$C$3</c:f>
              <c:strCache>
                <c:ptCount val="1"/>
                <c:pt idx="0">
                  <c:v>Valor final contratos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administraciones'!$C$4:$C$7</c:f>
              <c:numCache>
                <c:formatCode>"$"#,##0</c:formatCode>
                <c:ptCount val="4"/>
                <c:pt idx="1">
                  <c:v>335325116527</c:v>
                </c:pt>
                <c:pt idx="2">
                  <c:v>128581016590</c:v>
                </c:pt>
                <c:pt idx="3">
                  <c:v>217393216423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1-4195-AA9B-E493220F5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20164640"/>
        <c:axId val="1120152160"/>
      </c:barChart>
      <c:catAx>
        <c:axId val="1120164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52160"/>
        <c:crosses val="autoZero"/>
        <c:auto val="1"/>
        <c:lblAlgn val="ctr"/>
        <c:lblOffset val="100"/>
        <c:noMultiLvlLbl val="0"/>
      </c:catAx>
      <c:valAx>
        <c:axId val="112015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64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administraciones'!$D$3</c:f>
              <c:strCache>
                <c:ptCount val="1"/>
                <c:pt idx="0">
                  <c:v>Equivalencia salarios mínimos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administraciones'!$D$4:$D$7</c:f>
              <c:numCache>
                <c:formatCode>0.00</c:formatCode>
                <c:ptCount val="4"/>
                <c:pt idx="1">
                  <c:v>565281.26802501921</c:v>
                </c:pt>
                <c:pt idx="2">
                  <c:v>170093.34110968493</c:v>
                </c:pt>
                <c:pt idx="3">
                  <c:v>228405.34069624776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D-4E5B-A845-CA396A114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20175680"/>
        <c:axId val="1120174240"/>
      </c:barChart>
      <c:catAx>
        <c:axId val="1120175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74240"/>
        <c:crosses val="autoZero"/>
        <c:auto val="1"/>
        <c:lblAlgn val="ctr"/>
        <c:lblOffset val="100"/>
        <c:noMultiLvlLbl val="0"/>
      </c:catAx>
      <c:valAx>
        <c:axId val="112017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7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administraciones'!$E$4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administraciones'!$E$5:$E$7</c:f>
              <c:numCache>
                <c:formatCode>General</c:formatCode>
                <c:ptCount val="3"/>
                <c:pt idx="0">
                  <c:v>445</c:v>
                </c:pt>
                <c:pt idx="1">
                  <c:v>204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7-42A7-87C7-5309959B7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76624"/>
        <c:axId val="299958864"/>
      </c:barChart>
      <c:catAx>
        <c:axId val="299976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58864"/>
        <c:crosses val="autoZero"/>
        <c:auto val="1"/>
        <c:lblAlgn val="ctr"/>
        <c:lblOffset val="100"/>
        <c:noMultiLvlLbl val="0"/>
      </c:catAx>
      <c:valAx>
        <c:axId val="29995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7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administraciones'!$F$4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administraciones'!$F$5:$F$7</c:f>
              <c:numCache>
                <c:formatCode>General</c:formatCode>
                <c:ptCount val="3"/>
                <c:pt idx="0">
                  <c:v>16255.720000000001</c:v>
                </c:pt>
                <c:pt idx="1">
                  <c:v>10779.699999999999</c:v>
                </c:pt>
                <c:pt idx="2">
                  <c:v>6380.82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2BF-8038-F69C2512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64144"/>
        <c:axId val="299970864"/>
      </c:barChart>
      <c:catAx>
        <c:axId val="299964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70864"/>
        <c:crosses val="autoZero"/>
        <c:auto val="1"/>
        <c:lblAlgn val="ctr"/>
        <c:lblOffset val="100"/>
        <c:noMultiLvlLbl val="0"/>
      </c:catAx>
      <c:valAx>
        <c:axId val="29997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64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administraciones'!$G$4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administraciones'!$G$5:$G$7</c:f>
              <c:numCache>
                <c:formatCode>General</c:formatCode>
                <c:ptCount val="3"/>
                <c:pt idx="0">
                  <c:v>45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5-4444-B5BA-19D9CDD6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66544"/>
        <c:axId val="299967984"/>
      </c:barChart>
      <c:catAx>
        <c:axId val="299966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67984"/>
        <c:crosses val="autoZero"/>
        <c:auto val="1"/>
        <c:lblAlgn val="ctr"/>
        <c:lblOffset val="100"/>
        <c:noMultiLvlLbl val="0"/>
      </c:catAx>
      <c:valAx>
        <c:axId val="299967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6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administraciones'!$H$4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administraciones'!$H$5:$H$7</c:f>
              <c:numCache>
                <c:formatCode>General</c:formatCode>
                <c:ptCount val="3"/>
                <c:pt idx="0">
                  <c:v>73</c:v>
                </c:pt>
                <c:pt idx="1">
                  <c:v>39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EF-4CA2-B347-5E3F1AE5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72304"/>
        <c:axId val="299969904"/>
      </c:barChart>
      <c:catAx>
        <c:axId val="299972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69904"/>
        <c:crosses val="autoZero"/>
        <c:auto val="1"/>
        <c:lblAlgn val="ctr"/>
        <c:lblOffset val="100"/>
        <c:noMultiLvlLbl val="0"/>
      </c:catAx>
      <c:valAx>
        <c:axId val="299969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7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'2013'!$R$5:$R$10</c:f>
              <c:numCache>
                <c:formatCode>General</c:formatCode>
                <c:ptCount val="6"/>
                <c:pt idx="0">
                  <c:v>411.05</c:v>
                </c:pt>
                <c:pt idx="1">
                  <c:v>806.48</c:v>
                </c:pt>
                <c:pt idx="2">
                  <c:v>387.1</c:v>
                </c:pt>
                <c:pt idx="3">
                  <c:v>548.70000000000005</c:v>
                </c:pt>
                <c:pt idx="4">
                  <c:v>299.7</c:v>
                </c:pt>
                <c:pt idx="5">
                  <c:v>9.36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E-4CB0-884E-01983709E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27183"/>
        <c:axId val="1382638703"/>
      </c:barChart>
      <c:catAx>
        <c:axId val="1382627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38703"/>
        <c:crosses val="autoZero"/>
        <c:auto val="1"/>
        <c:lblAlgn val="ctr"/>
        <c:lblOffset val="100"/>
        <c:noMultiLvlLbl val="0"/>
      </c:catAx>
      <c:valAx>
        <c:axId val="1382638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27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administraciones'!$I$3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administraciones'!$I$4:$I$7</c:f>
              <c:numCache>
                <c:formatCode>General</c:formatCode>
                <c:ptCount val="4"/>
                <c:pt idx="1">
                  <c:v>372</c:v>
                </c:pt>
                <c:pt idx="2">
                  <c:v>314</c:v>
                </c:pt>
                <c:pt idx="3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0-4015-A61B-27FB78138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97264"/>
        <c:axId val="299991504"/>
      </c:barChart>
      <c:catAx>
        <c:axId val="299997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91504"/>
        <c:crosses val="autoZero"/>
        <c:auto val="1"/>
        <c:lblAlgn val="ctr"/>
        <c:lblOffset val="100"/>
        <c:noMultiLvlLbl val="0"/>
      </c:catAx>
      <c:valAx>
        <c:axId val="29999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administraciones'!$J$3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administraciones'!$J$4:$J$7</c:f>
              <c:numCache>
                <c:formatCode>General</c:formatCode>
                <c:ptCount val="4"/>
                <c:pt idx="1">
                  <c:v>1045482.0599999998</c:v>
                </c:pt>
                <c:pt idx="2">
                  <c:v>210711.81999999995</c:v>
                </c:pt>
                <c:pt idx="3">
                  <c:v>148772.04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D-4540-9054-DE99DEE14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82864"/>
        <c:axId val="300007824"/>
      </c:barChart>
      <c:catAx>
        <c:axId val="29998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0007824"/>
        <c:crosses val="autoZero"/>
        <c:auto val="1"/>
        <c:lblAlgn val="ctr"/>
        <c:lblOffset val="100"/>
        <c:noMultiLvlLbl val="0"/>
      </c:catAx>
      <c:valAx>
        <c:axId val="300007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8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administraciones'!$K$3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administraciones'!$K$4:$K$7</c:f>
              <c:numCache>
                <c:formatCode>General</c:formatCode>
                <c:ptCount val="4"/>
                <c:pt idx="1">
                  <c:v>22825711.199999999</c:v>
                </c:pt>
                <c:pt idx="2">
                  <c:v>12721897.1</c:v>
                </c:pt>
                <c:pt idx="3">
                  <c:v>6439992.5700000003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F-4DD8-A882-8D6CA5CF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00005424"/>
        <c:axId val="300009264"/>
      </c:barChart>
      <c:catAx>
        <c:axId val="300005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0009264"/>
        <c:crosses val="autoZero"/>
        <c:auto val="1"/>
        <c:lblAlgn val="ctr"/>
        <c:lblOffset val="100"/>
        <c:noMultiLvlLbl val="0"/>
      </c:catAx>
      <c:valAx>
        <c:axId val="30000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000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administraciones'!$L$4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administraciones'!$L$5:$L$7</c:f>
              <c:numCache>
                <c:formatCode>General</c:formatCode>
                <c:ptCount val="3"/>
                <c:pt idx="0">
                  <c:v>47621.7</c:v>
                </c:pt>
                <c:pt idx="1">
                  <c:v>45240</c:v>
                </c:pt>
                <c:pt idx="2">
                  <c:v>19758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A-4271-A1F9-D08AACB7A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20169440"/>
        <c:axId val="1120170880"/>
      </c:barChart>
      <c:catAx>
        <c:axId val="1120169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70880"/>
        <c:crosses val="autoZero"/>
        <c:auto val="1"/>
        <c:lblAlgn val="ctr"/>
        <c:lblOffset val="100"/>
        <c:noMultiLvlLbl val="0"/>
      </c:catAx>
      <c:valAx>
        <c:axId val="112017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6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administraciones'!$M$4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administraciones'!$M$5:$M$7</c:f>
              <c:numCache>
                <c:formatCode>General</c:formatCode>
                <c:ptCount val="3"/>
                <c:pt idx="0">
                  <c:v>6417877.6400000006</c:v>
                </c:pt>
                <c:pt idx="1">
                  <c:v>6489886.4800000004</c:v>
                </c:pt>
                <c:pt idx="2">
                  <c:v>3906382.56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0-45F0-B87F-2592B335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00013104"/>
        <c:axId val="300013584"/>
      </c:barChart>
      <c:catAx>
        <c:axId val="300013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0013584"/>
        <c:crosses val="autoZero"/>
        <c:auto val="1"/>
        <c:lblAlgn val="ctr"/>
        <c:lblOffset val="100"/>
        <c:noMultiLvlLbl val="0"/>
      </c:catAx>
      <c:valAx>
        <c:axId val="30001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001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administraciones'!$N$4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administraciones'!$N$5:$N$7</c:f>
              <c:numCache>
                <c:formatCode>General</c:formatCode>
                <c:ptCount val="3"/>
                <c:pt idx="0">
                  <c:v>4454.6400000000003</c:v>
                </c:pt>
                <c:pt idx="1">
                  <c:v>3665.7299999999991</c:v>
                </c:pt>
                <c:pt idx="2">
                  <c:v>1687.1299999999999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6-4E1B-A7A8-5B05481B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20119520"/>
        <c:axId val="1120163200"/>
      </c:barChart>
      <c:catAx>
        <c:axId val="1120119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63200"/>
        <c:crosses val="autoZero"/>
        <c:auto val="1"/>
        <c:lblAlgn val="ctr"/>
        <c:lblOffset val="100"/>
        <c:noMultiLvlLbl val="0"/>
      </c:catAx>
      <c:valAx>
        <c:axId val="112016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201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administraciones'!$O$3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administraciones'!$O$4:$O$7</c:f>
              <c:numCache>
                <c:formatCode>General</c:formatCode>
                <c:ptCount val="4"/>
                <c:pt idx="1">
                  <c:v>1238670.8900000001</c:v>
                </c:pt>
                <c:pt idx="2" formatCode="0.0">
                  <c:v>772964.79000000015</c:v>
                </c:pt>
                <c:pt idx="3" formatCode="0.0">
                  <c:v>415354.36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A-41AE-8FA6-E5C999426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78960"/>
        <c:axId val="385358800"/>
      </c:barChart>
      <c:catAx>
        <c:axId val="38537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58800"/>
        <c:crosses val="autoZero"/>
        <c:auto val="1"/>
        <c:lblAlgn val="ctr"/>
        <c:lblOffset val="100"/>
        <c:noMultiLvlLbl val="0"/>
      </c:catAx>
      <c:valAx>
        <c:axId val="385358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78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administraciones'!$P$3</c:f>
              <c:strCache>
                <c:ptCount val="1"/>
                <c:pt idx="0">
                  <c:v>Limpieza mecánica de cunetas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administraciones'!$P$4:$P$7</c:f>
              <c:numCache>
                <c:formatCode>General</c:formatCode>
                <c:ptCount val="4"/>
                <c:pt idx="1">
                  <c:v>0</c:v>
                </c:pt>
                <c:pt idx="2">
                  <c:v>16051.3</c:v>
                </c:pt>
                <c:pt idx="3">
                  <c:v>75903.429999999993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B-452B-8CC7-5451BE4D7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71760"/>
        <c:axId val="385360720"/>
      </c:barChart>
      <c:catAx>
        <c:axId val="38537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60720"/>
        <c:crosses val="autoZero"/>
        <c:auto val="1"/>
        <c:lblAlgn val="ctr"/>
        <c:lblOffset val="100"/>
        <c:noMultiLvlLbl val="0"/>
      </c:catAx>
      <c:valAx>
        <c:axId val="38536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71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administraciones'!$Q$4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administraciones'!$Q$5:$Q$7</c:f>
              <c:numCache>
                <c:formatCode>General</c:formatCode>
                <c:ptCount val="3"/>
                <c:pt idx="0">
                  <c:v>123970.59999999999</c:v>
                </c:pt>
                <c:pt idx="1">
                  <c:v>93498.4</c:v>
                </c:pt>
                <c:pt idx="2">
                  <c:v>71364.7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A-4697-ABCF-3227608EB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64080"/>
        <c:axId val="385373200"/>
      </c:barChart>
      <c:catAx>
        <c:axId val="385364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73200"/>
        <c:crosses val="autoZero"/>
        <c:auto val="1"/>
        <c:lblAlgn val="ctr"/>
        <c:lblOffset val="100"/>
        <c:noMultiLvlLbl val="0"/>
      </c:catAx>
      <c:valAx>
        <c:axId val="38537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6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administraciones'!$R$4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administraciones'!$R$5:$R$7</c:f>
              <c:numCache>
                <c:formatCode>General</c:formatCode>
                <c:ptCount val="3"/>
                <c:pt idx="0">
                  <c:v>462890</c:v>
                </c:pt>
                <c:pt idx="1">
                  <c:v>93722.9</c:v>
                </c:pt>
                <c:pt idx="2">
                  <c:v>314901.89999999997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B-4D12-9856-6605F8AA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55440"/>
        <c:axId val="385333360"/>
      </c:barChart>
      <c:catAx>
        <c:axId val="385355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3360"/>
        <c:crosses val="autoZero"/>
        <c:auto val="1"/>
        <c:lblAlgn val="ctr"/>
        <c:lblOffset val="100"/>
        <c:noMultiLvlLbl val="0"/>
      </c:catAx>
      <c:valAx>
        <c:axId val="385333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55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'2013'!$U$5:$U$10</c:f>
              <c:numCache>
                <c:formatCode>General</c:formatCode>
                <c:ptCount val="6"/>
                <c:pt idx="0">
                  <c:v>21286.399999999998</c:v>
                </c:pt>
                <c:pt idx="1">
                  <c:v>19726.5</c:v>
                </c:pt>
                <c:pt idx="2">
                  <c:v>19189</c:v>
                </c:pt>
                <c:pt idx="3">
                  <c:v>14592</c:v>
                </c:pt>
                <c:pt idx="4">
                  <c:v>130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F8C-B8C1-84FE398CD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41103"/>
        <c:axId val="1382624783"/>
      </c:barChart>
      <c:catAx>
        <c:axId val="1382641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24783"/>
        <c:crosses val="autoZero"/>
        <c:auto val="1"/>
        <c:lblAlgn val="ctr"/>
        <c:lblOffset val="100"/>
        <c:noMultiLvlLbl val="0"/>
      </c:catAx>
      <c:valAx>
        <c:axId val="138262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41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administraciones'!$S$4</c:f>
              <c:strCache>
                <c:ptCount val="1"/>
                <c:pt idx="0">
                  <c:v>Resaltos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administraciones'!$S$5:$S$7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157.19999999999999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D-4B16-BECF-9F49EAEC8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32880"/>
        <c:axId val="385330000"/>
      </c:barChart>
      <c:catAx>
        <c:axId val="385332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0000"/>
        <c:crosses val="autoZero"/>
        <c:auto val="1"/>
        <c:lblAlgn val="ctr"/>
        <c:lblOffset val="100"/>
        <c:noMultiLvlLbl val="0"/>
      </c:catAx>
      <c:valAx>
        <c:axId val="38533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administraciones'!$U$4</c:f>
              <c:strCache>
                <c:ptCount val="1"/>
                <c:pt idx="0">
                  <c:v>Sello de grietas en pavimento asfáltico sin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administraciones'!$U$5:$U$7</c:f>
              <c:numCache>
                <c:formatCode>General</c:formatCode>
                <c:ptCount val="3"/>
                <c:pt idx="0">
                  <c:v>81234.3</c:v>
                </c:pt>
                <c:pt idx="1">
                  <c:v>17273.599999999999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4-4CBB-9F3E-A23188E77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28080"/>
        <c:axId val="385335280"/>
      </c:barChart>
      <c:catAx>
        <c:axId val="38532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5280"/>
        <c:crosses val="autoZero"/>
        <c:auto val="1"/>
        <c:lblAlgn val="ctr"/>
        <c:lblOffset val="100"/>
        <c:noMultiLvlLbl val="0"/>
      </c:catAx>
      <c:valAx>
        <c:axId val="385335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28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administraciones'!$V$4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administraciones'!$V$5:$V$7</c:f>
              <c:numCache>
                <c:formatCode>General</c:formatCode>
                <c:ptCount val="3"/>
                <c:pt idx="0">
                  <c:v>11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B-4CD0-8492-1237ABDE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33840"/>
        <c:axId val="385354960"/>
      </c:barChart>
      <c:catAx>
        <c:axId val="385333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54960"/>
        <c:crosses val="autoZero"/>
        <c:auto val="1"/>
        <c:lblAlgn val="ctr"/>
        <c:lblOffset val="100"/>
        <c:noMultiLvlLbl val="0"/>
      </c:catAx>
      <c:valAx>
        <c:axId val="38535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administraciones'!$W$4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administraciones'!$W$5:$W$7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5-44F3-AC99-C343995F4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99953104"/>
        <c:axId val="299978064"/>
      </c:barChart>
      <c:catAx>
        <c:axId val="299953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78064"/>
        <c:crosses val="autoZero"/>
        <c:auto val="1"/>
        <c:lblAlgn val="ctr"/>
        <c:lblOffset val="100"/>
        <c:noMultiLvlLbl val="0"/>
      </c:catAx>
      <c:valAx>
        <c:axId val="299978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99953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administraciones'!$X$3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administraciones'!$B$4:$B$7</c:f>
              <c:strCache>
                <c:ptCount val="4"/>
                <c:pt idx="1">
                  <c:v>2012-2015</c:v>
                </c:pt>
                <c:pt idx="2">
                  <c:v>2016-2019</c:v>
                </c:pt>
                <c:pt idx="3">
                  <c:v>2020-2023</c:v>
                </c:pt>
              </c:strCache>
            </c:strRef>
          </c:cat>
          <c:val>
            <c:numRef>
              <c:f>'Comparación administraciones'!$X$4:$X$7</c:f>
              <c:numCache>
                <c:formatCode>General</c:formatCode>
                <c:ptCount val="4"/>
                <c:pt idx="1">
                  <c:v>2695</c:v>
                </c:pt>
                <c:pt idx="2">
                  <c:v>181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0-415E-AEDC-2561B58C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85341040"/>
        <c:axId val="385336240"/>
      </c:barChart>
      <c:catAx>
        <c:axId val="38534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36240"/>
        <c:crosses val="autoZero"/>
        <c:auto val="1"/>
        <c:lblAlgn val="ctr"/>
        <c:lblOffset val="100"/>
        <c:noMultiLvlLbl val="0"/>
      </c:catAx>
      <c:valAx>
        <c:axId val="385336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8534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'Comparación administraciones'!$T$4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'Comparación administraciones'!$B$5:$B$7</c:f>
              <c:strCache>
                <c:ptCount val="3"/>
                <c:pt idx="0">
                  <c:v>2012-2015</c:v>
                </c:pt>
                <c:pt idx="1">
                  <c:v>2016-2019</c:v>
                </c:pt>
                <c:pt idx="2">
                  <c:v>2020-2023</c:v>
                </c:pt>
              </c:strCache>
            </c:strRef>
          </c:cat>
          <c:val>
            <c:numRef>
              <c:f>'Comparación administraciones'!$T$5:$T$7</c:f>
              <c:numCache>
                <c:formatCode>General</c:formatCode>
                <c:ptCount val="3"/>
                <c:pt idx="0">
                  <c:v>73345</c:v>
                </c:pt>
                <c:pt idx="1">
                  <c:v>15103.3</c:v>
                </c:pt>
                <c:pt idx="2">
                  <c:v>296.85000000000002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F-4508-BBA5-DE2ECFDE8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2671808"/>
        <c:axId val="52670368"/>
      </c:barChart>
      <c:catAx>
        <c:axId val="52671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2670368"/>
        <c:crosses val="autoZero"/>
        <c:auto val="1"/>
        <c:lblAlgn val="ctr"/>
        <c:lblOffset val="100"/>
        <c:noMultiLvlLbl val="0"/>
      </c:catAx>
      <c:valAx>
        <c:axId val="5267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267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'2013'!$V$5:$V$10</c:f>
              <c:numCache>
                <c:formatCode>General</c:formatCode>
                <c:ptCount val="6"/>
                <c:pt idx="0">
                  <c:v>12155.199999999999</c:v>
                </c:pt>
                <c:pt idx="1">
                  <c:v>144912.5</c:v>
                </c:pt>
                <c:pt idx="2">
                  <c:v>145989</c:v>
                </c:pt>
                <c:pt idx="3">
                  <c:v>99552.999999999985</c:v>
                </c:pt>
                <c:pt idx="4">
                  <c:v>10760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1-4854-9685-4A0E45D3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86223"/>
        <c:axId val="1382691023"/>
      </c:barChart>
      <c:catAx>
        <c:axId val="1382686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91023"/>
        <c:crosses val="autoZero"/>
        <c:auto val="1"/>
        <c:lblAlgn val="ctr"/>
        <c:lblOffset val="100"/>
        <c:noMultiLvlLbl val="0"/>
      </c:catAx>
      <c:valAx>
        <c:axId val="1382691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8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'2013'!$X$4</c:f>
              <c:strCache>
                <c:ptCount val="1"/>
                <c:pt idx="0">
                  <c:v>Sello de grietas en pavimento asfáltico con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'2013'!$X$5:$X$10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73345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8-4F12-A210-5B2B1F8FE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50703"/>
        <c:axId val="895641583"/>
      </c:barChart>
      <c:catAx>
        <c:axId val="8956507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41583"/>
        <c:crosses val="autoZero"/>
        <c:auto val="1"/>
        <c:lblAlgn val="ctr"/>
        <c:lblOffset val="100"/>
        <c:noMultiLvlLbl val="0"/>
      </c:catAx>
      <c:valAx>
        <c:axId val="8956415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0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'2013'!$Y$4</c:f>
              <c:strCache>
                <c:ptCount val="1"/>
                <c:pt idx="0">
                  <c:v>Sello de grietas en pavimento asfáltico sin ruteo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'2013'!$Y$5:$Y$10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81234.3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E49-91EE-D2114A63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15183"/>
        <c:axId val="1284617103"/>
      </c:barChart>
      <c:catAx>
        <c:axId val="1284615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7103"/>
        <c:crosses val="autoZero"/>
        <c:auto val="1"/>
        <c:lblAlgn val="ctr"/>
        <c:lblOffset val="100"/>
        <c:noMultiLvlLbl val="0"/>
      </c:catAx>
      <c:valAx>
        <c:axId val="12846171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15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'2013'!$Z$5:$Z$10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C-46C7-A3F7-739DA3BE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95650223"/>
        <c:axId val="895643503"/>
      </c:barChart>
      <c:catAx>
        <c:axId val="8956502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43503"/>
        <c:crosses val="autoZero"/>
        <c:auto val="1"/>
        <c:lblAlgn val="ctr"/>
        <c:lblOffset val="100"/>
        <c:noMultiLvlLbl val="0"/>
      </c:catAx>
      <c:valAx>
        <c:axId val="895643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95650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'2013'!$AA$5:$AA$10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A-4599-9CF2-23B876C9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82606063"/>
        <c:axId val="1382600783"/>
      </c:barChart>
      <c:catAx>
        <c:axId val="13826060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0783"/>
        <c:crosses val="autoZero"/>
        <c:auto val="1"/>
        <c:lblAlgn val="ctr"/>
        <c:lblOffset val="100"/>
        <c:noMultiLvlLbl val="0"/>
      </c:catAx>
      <c:valAx>
        <c:axId val="1382600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82606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'2013'!$H$4:$H$10</c:f>
              <c:strCache>
                <c:ptCount val="7"/>
                <c:pt idx="1">
                  <c:v>OCCIDENTE Y URABÁ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NORDESTE Y MAGDALENA MEDIO</c:v>
                </c:pt>
                <c:pt idx="6">
                  <c:v>TODAS</c:v>
                </c:pt>
              </c:strCache>
            </c:strRef>
          </c:cat>
          <c:val>
            <c:numRef>
              <c:f>'2013'!$AB$4:$AB$10</c:f>
              <c:numCache>
                <c:formatCode>General</c:formatCode>
                <c:ptCount val="7"/>
                <c:pt idx="1">
                  <c:v>696</c:v>
                </c:pt>
                <c:pt idx="2">
                  <c:v>117</c:v>
                </c:pt>
                <c:pt idx="3">
                  <c:v>44</c:v>
                </c:pt>
                <c:pt idx="4">
                  <c:v>897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5-4E84-B211-1BF9F1B4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07023"/>
        <c:axId val="1284630543"/>
      </c:barChart>
      <c:catAx>
        <c:axId val="1284607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0543"/>
        <c:crosses val="autoZero"/>
        <c:auto val="1"/>
        <c:lblAlgn val="ctr"/>
        <c:lblOffset val="100"/>
        <c:noMultiLvlLbl val="0"/>
      </c:catAx>
      <c:valAx>
        <c:axId val="1284630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'2013'!$H$5:$H$10</c:f>
              <c:strCache>
                <c:ptCount val="6"/>
                <c:pt idx="0">
                  <c:v>OCCIDENTE Y URABÁ</c:v>
                </c:pt>
                <c:pt idx="1">
                  <c:v>SUROESTE</c:v>
                </c:pt>
                <c:pt idx="2">
                  <c:v>ORIENTE</c:v>
                </c:pt>
                <c:pt idx="3">
                  <c:v>NORTE Y BAJO CAUCA</c:v>
                </c:pt>
                <c:pt idx="4">
                  <c:v>NORDESTE Y MAGDALENA MEDIO</c:v>
                </c:pt>
                <c:pt idx="5">
                  <c:v>TODAS</c:v>
                </c:pt>
              </c:strCache>
            </c:strRef>
          </c:cat>
          <c:val>
            <c:numRef>
              <c:f>'2013'!$E$5:$E$10</c:f>
              <c:numCache>
                <c:formatCode>_-"$"\ * #,##0_-;\-"$"\ * #,##0_-;_-"$"\ * "-"_-;_-@_-</c:formatCode>
                <c:ptCount val="6"/>
                <c:pt idx="0">
                  <c:v>65379741628</c:v>
                </c:pt>
                <c:pt idx="1">
                  <c:v>48754133104</c:v>
                </c:pt>
                <c:pt idx="2">
                  <c:v>46586398574</c:v>
                </c:pt>
                <c:pt idx="3">
                  <c:v>51121838090</c:v>
                </c:pt>
                <c:pt idx="4">
                  <c:v>45024335245</c:v>
                </c:pt>
                <c:pt idx="5">
                  <c:v>4272550509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5-4AA9-83F9-3E186184C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84607023"/>
        <c:axId val="1284630543"/>
      </c:barChart>
      <c:catAx>
        <c:axId val="1284607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30543"/>
        <c:crosses val="autoZero"/>
        <c:auto val="1"/>
        <c:lblAlgn val="ctr"/>
        <c:lblOffset val="100"/>
        <c:noMultiLvlLbl val="0"/>
      </c:catAx>
      <c:valAx>
        <c:axId val="12846305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8460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'2012'!$L$5:$L$10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5-4652-AA9F-1CAF94DD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38201488"/>
        <c:axId val="2038202320"/>
      </c:barChart>
      <c:catAx>
        <c:axId val="2038201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02320"/>
        <c:crosses val="autoZero"/>
        <c:auto val="1"/>
        <c:lblAlgn val="ctr"/>
        <c:lblOffset val="100"/>
        <c:noMultiLvlLbl val="0"/>
      </c:catAx>
      <c:valAx>
        <c:axId val="203820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0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'2013'!$H$4:$H$10</c:f>
              <c:strCache>
                <c:ptCount val="7"/>
                <c:pt idx="1">
                  <c:v>OCCIDENTE Y URABÁ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NORDESTE Y MAGDALENA MEDIO</c:v>
                </c:pt>
                <c:pt idx="6">
                  <c:v>TODAS</c:v>
                </c:pt>
              </c:strCache>
            </c:strRef>
          </c:cat>
          <c:val>
            <c:numRef>
              <c:f>'2013'!$M$4:$M$10</c:f>
              <c:numCache>
                <c:formatCode>General</c:formatCode>
                <c:ptCount val="7"/>
                <c:pt idx="1">
                  <c:v>113</c:v>
                </c:pt>
                <c:pt idx="2">
                  <c:v>17</c:v>
                </c:pt>
                <c:pt idx="3">
                  <c:v>28</c:v>
                </c:pt>
                <c:pt idx="4">
                  <c:v>125</c:v>
                </c:pt>
                <c:pt idx="5">
                  <c:v>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B-4165-94BC-553689DD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86623"/>
        <c:axId val="485367423"/>
      </c:barChart>
      <c:catAx>
        <c:axId val="4853866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67423"/>
        <c:crosses val="autoZero"/>
        <c:auto val="1"/>
        <c:lblAlgn val="ctr"/>
        <c:lblOffset val="100"/>
        <c:noMultiLvlLbl val="0"/>
      </c:catAx>
      <c:valAx>
        <c:axId val="4853674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86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'2013'!$H$4:$H$10</c:f>
              <c:strCache>
                <c:ptCount val="7"/>
                <c:pt idx="1">
                  <c:v>OCCIDENTE Y URABÁ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NORDESTE Y MAGDALENA MEDIO</c:v>
                </c:pt>
                <c:pt idx="6">
                  <c:v>TODAS</c:v>
                </c:pt>
              </c:strCache>
            </c:strRef>
          </c:cat>
          <c:val>
            <c:numRef>
              <c:f>'2013'!$N$4:$N$10</c:f>
              <c:numCache>
                <c:formatCode>General</c:formatCode>
                <c:ptCount val="7"/>
                <c:pt idx="1">
                  <c:v>205918</c:v>
                </c:pt>
                <c:pt idx="2">
                  <c:v>146676.35999999999</c:v>
                </c:pt>
                <c:pt idx="3">
                  <c:v>22774.1</c:v>
                </c:pt>
                <c:pt idx="4">
                  <c:v>1737</c:v>
                </c:pt>
                <c:pt idx="5">
                  <c:v>276302.40000000002</c:v>
                </c:pt>
                <c:pt idx="6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2-4456-B6D5-48E8DACD8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417823"/>
        <c:axId val="485403903"/>
      </c:barChart>
      <c:catAx>
        <c:axId val="485417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03903"/>
        <c:crosses val="autoZero"/>
        <c:auto val="1"/>
        <c:lblAlgn val="ctr"/>
        <c:lblOffset val="100"/>
        <c:noMultiLvlLbl val="0"/>
      </c:catAx>
      <c:valAx>
        <c:axId val="485403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1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'2013'!$H$4:$H$10</c:f>
              <c:strCache>
                <c:ptCount val="7"/>
                <c:pt idx="1">
                  <c:v>OCCIDENTE Y URABÁ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NORDESTE Y MAGDALENA MEDIO</c:v>
                </c:pt>
                <c:pt idx="6">
                  <c:v>TODAS</c:v>
                </c:pt>
              </c:strCache>
            </c:strRef>
          </c:cat>
          <c:val>
            <c:numRef>
              <c:f>'2013'!$O$4:$O$10</c:f>
              <c:numCache>
                <c:formatCode>General</c:formatCode>
                <c:ptCount val="7"/>
                <c:pt idx="1">
                  <c:v>1658366.02</c:v>
                </c:pt>
                <c:pt idx="2">
                  <c:v>1343482.92</c:v>
                </c:pt>
                <c:pt idx="3">
                  <c:v>997572.5</c:v>
                </c:pt>
                <c:pt idx="4">
                  <c:v>5179881.3</c:v>
                </c:pt>
                <c:pt idx="5">
                  <c:v>2276354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8-46BD-A68F-07517D39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410143"/>
        <c:axId val="485410623"/>
      </c:barChart>
      <c:catAx>
        <c:axId val="48541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10623"/>
        <c:crosses val="autoZero"/>
        <c:auto val="1"/>
        <c:lblAlgn val="ctr"/>
        <c:lblOffset val="100"/>
        <c:noMultiLvlLbl val="0"/>
      </c:catAx>
      <c:valAx>
        <c:axId val="485410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'2013'!$S$3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'2013'!$H$4:$H$10</c:f>
              <c:strCache>
                <c:ptCount val="7"/>
                <c:pt idx="1">
                  <c:v>OCCIDENTE Y URABÁ</c:v>
                </c:pt>
                <c:pt idx="2">
                  <c:v>SUROESTE</c:v>
                </c:pt>
                <c:pt idx="3">
                  <c:v>ORIENTE</c:v>
                </c:pt>
                <c:pt idx="4">
                  <c:v>NORTE Y BAJO CAUCA</c:v>
                </c:pt>
                <c:pt idx="5">
                  <c:v>NORDESTE Y MAGDALENA MEDIO</c:v>
                </c:pt>
                <c:pt idx="6">
                  <c:v>TODAS</c:v>
                </c:pt>
              </c:strCache>
            </c:strRef>
          </c:cat>
          <c:val>
            <c:numRef>
              <c:f>'2013'!$S$4:$S$10</c:f>
              <c:numCache>
                <c:formatCode>General</c:formatCode>
                <c:ptCount val="7"/>
                <c:pt idx="1">
                  <c:v>98738.14</c:v>
                </c:pt>
                <c:pt idx="2">
                  <c:v>309715.33</c:v>
                </c:pt>
                <c:pt idx="3">
                  <c:v>78115.600000000006</c:v>
                </c:pt>
                <c:pt idx="4">
                  <c:v>233785.60000000001</c:v>
                </c:pt>
                <c:pt idx="5">
                  <c:v>249120.1</c:v>
                </c:pt>
                <c:pt idx="6">
                  <c:v>2662.62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4-4865-9F80-4C19C3B79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98623"/>
        <c:axId val="485397663"/>
      </c:barChart>
      <c:catAx>
        <c:axId val="4853986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97663"/>
        <c:crosses val="autoZero"/>
        <c:auto val="1"/>
        <c:lblAlgn val="ctr"/>
        <c:lblOffset val="100"/>
        <c:noMultiLvlLbl val="0"/>
      </c:catAx>
      <c:valAx>
        <c:axId val="485397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98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'2014'!$I$5:$I$6</c:f>
              <c:numCache>
                <c:formatCode>General</c:formatCode>
                <c:ptCount val="2"/>
                <c:pt idx="0">
                  <c:v>22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F-4ACA-AABE-FAB89A896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11435392"/>
        <c:axId val="1111436224"/>
      </c:barChart>
      <c:catAx>
        <c:axId val="1111435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11436224"/>
        <c:crosses val="autoZero"/>
        <c:auto val="1"/>
        <c:lblAlgn val="ctr"/>
        <c:lblOffset val="100"/>
        <c:noMultiLvlLbl val="0"/>
      </c:catAx>
      <c:valAx>
        <c:axId val="111143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1143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'2014'!$J$5:$J$6</c:f>
              <c:numCache>
                <c:formatCode>General</c:formatCode>
                <c:ptCount val="2"/>
                <c:pt idx="0">
                  <c:v>5522.5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1-48F5-B1DC-AAAB2000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275840"/>
        <c:axId val="861276256"/>
      </c:barChart>
      <c:catAx>
        <c:axId val="8612758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276256"/>
        <c:crosses val="autoZero"/>
        <c:auto val="1"/>
        <c:lblAlgn val="ctr"/>
        <c:lblOffset val="100"/>
        <c:noMultiLvlLbl val="0"/>
      </c:catAx>
      <c:valAx>
        <c:axId val="86127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27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'2014'!$K$5:$K$6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0A-4BF1-ADD1-2C152727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9334080"/>
        <c:axId val="949330752"/>
      </c:barChart>
      <c:catAx>
        <c:axId val="949334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9330752"/>
        <c:crosses val="autoZero"/>
        <c:auto val="1"/>
        <c:lblAlgn val="ctr"/>
        <c:lblOffset val="100"/>
        <c:noMultiLvlLbl val="0"/>
      </c:catAx>
      <c:valAx>
        <c:axId val="94933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933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'2014'!$L$5:$L$6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5-409E-A466-5497A4B52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54526640"/>
        <c:axId val="954526224"/>
      </c:barChart>
      <c:catAx>
        <c:axId val="954526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54526224"/>
        <c:crosses val="autoZero"/>
        <c:auto val="1"/>
        <c:lblAlgn val="ctr"/>
        <c:lblOffset val="100"/>
        <c:noMultiLvlLbl val="0"/>
      </c:catAx>
      <c:valAx>
        <c:axId val="95452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5452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'2014'!$P$4</c:f>
              <c:strCache>
                <c:ptCount val="1"/>
                <c:pt idx="0">
                  <c:v>Limpieza de 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'2014'!$P$5:$P$6</c:f>
              <c:numCache>
                <c:formatCode>General</c:formatCode>
                <c:ptCount val="2"/>
                <c:pt idx="0">
                  <c:v>325</c:v>
                </c:pt>
                <c:pt idx="1">
                  <c:v>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5-4513-8809-586A0F600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904880"/>
        <c:axId val="861906544"/>
      </c:barChart>
      <c:catAx>
        <c:axId val="86190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906544"/>
        <c:crosses val="autoZero"/>
        <c:auto val="1"/>
        <c:lblAlgn val="ctr"/>
        <c:lblOffset val="100"/>
        <c:noMultiLvlLbl val="0"/>
      </c:catAx>
      <c:valAx>
        <c:axId val="861906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90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'2014'!$Q$5:$Q$6</c:f>
              <c:numCache>
                <c:formatCode>General</c:formatCode>
                <c:ptCount val="2"/>
                <c:pt idx="0">
                  <c:v>0</c:v>
                </c:pt>
                <c:pt idx="1">
                  <c:v>381474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E-4071-A895-FA68887B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907792"/>
        <c:axId val="861909456"/>
      </c:barChart>
      <c:catAx>
        <c:axId val="861907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909456"/>
        <c:crosses val="autoZero"/>
        <c:auto val="1"/>
        <c:lblAlgn val="ctr"/>
        <c:lblOffset val="100"/>
        <c:noMultiLvlLbl val="0"/>
      </c:catAx>
      <c:valAx>
        <c:axId val="861909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90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'2012'!$P$5:$P$10</c:f>
              <c:numCache>
                <c:formatCode>General</c:formatCode>
                <c:ptCount val="6"/>
                <c:pt idx="0">
                  <c:v>1954</c:v>
                </c:pt>
                <c:pt idx="1">
                  <c:v>756</c:v>
                </c:pt>
                <c:pt idx="2">
                  <c:v>4815.7</c:v>
                </c:pt>
                <c:pt idx="3">
                  <c:v>479</c:v>
                </c:pt>
                <c:pt idx="4">
                  <c:v>4226</c:v>
                </c:pt>
                <c:pt idx="5">
                  <c:v>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956-848B-23DCD807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38201904"/>
        <c:axId val="2038212304"/>
      </c:barChart>
      <c:catAx>
        <c:axId val="2038201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12304"/>
        <c:crosses val="autoZero"/>
        <c:auto val="1"/>
        <c:lblAlgn val="ctr"/>
        <c:lblOffset val="100"/>
        <c:noMultiLvlLbl val="0"/>
      </c:catAx>
      <c:valAx>
        <c:axId val="203821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0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'2014'!$R$5:$R$6</c:f>
              <c:numCache>
                <c:formatCode>General</c:formatCode>
                <c:ptCount val="2"/>
                <c:pt idx="0">
                  <c:v>106.01</c:v>
                </c:pt>
                <c:pt idx="1">
                  <c:v>250.8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D-4E02-B0A5-CED7D5D0A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5360832"/>
        <c:axId val="945361664"/>
      </c:barChart>
      <c:catAx>
        <c:axId val="945360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1664"/>
        <c:crosses val="autoZero"/>
        <c:auto val="1"/>
        <c:lblAlgn val="ctr"/>
        <c:lblOffset val="100"/>
        <c:noMultiLvlLbl val="0"/>
      </c:catAx>
      <c:valAx>
        <c:axId val="945361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'2014'!$U$5:$U$6</c:f>
              <c:numCache>
                <c:formatCode>General</c:formatCode>
                <c:ptCount val="2"/>
                <c:pt idx="0">
                  <c:v>0</c:v>
                </c:pt>
                <c:pt idx="1">
                  <c:v>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F-4EE9-A5B4-7F629A6EB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2921344"/>
        <c:axId val="942918848"/>
      </c:barChart>
      <c:catAx>
        <c:axId val="942921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2918848"/>
        <c:crosses val="autoZero"/>
        <c:auto val="1"/>
        <c:lblAlgn val="ctr"/>
        <c:lblOffset val="100"/>
        <c:noMultiLvlLbl val="0"/>
      </c:catAx>
      <c:valAx>
        <c:axId val="94291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292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'2014'!$V$5:$V$6</c:f>
              <c:numCache>
                <c:formatCode>General</c:formatCode>
                <c:ptCount val="2"/>
                <c:pt idx="0">
                  <c:v>0</c:v>
                </c:pt>
                <c:pt idx="1">
                  <c:v>21533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3-4411-BF49-822BB77F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16097440"/>
        <c:axId val="1116095360"/>
      </c:barChart>
      <c:catAx>
        <c:axId val="1116097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16095360"/>
        <c:crosses val="autoZero"/>
        <c:auto val="1"/>
        <c:lblAlgn val="ctr"/>
        <c:lblOffset val="100"/>
        <c:noMultiLvlLbl val="0"/>
      </c:catAx>
      <c:valAx>
        <c:axId val="111609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1609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'2014'!$Z$5:$Z$6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F-4DA8-8638-00DE5BEB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9332416"/>
        <c:axId val="949333664"/>
      </c:barChart>
      <c:catAx>
        <c:axId val="949332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9333664"/>
        <c:crosses val="autoZero"/>
        <c:auto val="1"/>
        <c:lblAlgn val="ctr"/>
        <c:lblOffset val="100"/>
        <c:noMultiLvlLbl val="0"/>
      </c:catAx>
      <c:valAx>
        <c:axId val="949333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933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'2014'!$H$4:$H$6</c:f>
              <c:strCache>
                <c:ptCount val="3"/>
                <c:pt idx="1">
                  <c:v>URABÁ</c:v>
                </c:pt>
                <c:pt idx="2">
                  <c:v>NORDESTE Y MAGDALENA MEDIO</c:v>
                </c:pt>
              </c:strCache>
            </c:strRef>
          </c:cat>
          <c:val>
            <c:numRef>
              <c:f>'2014'!$AB$4:$AB$6</c:f>
              <c:numCache>
                <c:formatCode>General</c:formatCode>
                <c:ptCount val="3"/>
                <c:pt idx="1">
                  <c:v>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2-4733-9E15-0970E5F2D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5363744"/>
        <c:axId val="945361248"/>
      </c:barChart>
      <c:catAx>
        <c:axId val="94536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1248"/>
        <c:crosses val="autoZero"/>
        <c:auto val="1"/>
        <c:lblAlgn val="ctr"/>
        <c:lblOffset val="100"/>
        <c:noMultiLvlLbl val="0"/>
      </c:catAx>
      <c:valAx>
        <c:axId val="94536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'2014'!$H$5:$H$6</c:f>
              <c:strCache>
                <c:ptCount val="2"/>
                <c:pt idx="0">
                  <c:v>URABÁ</c:v>
                </c:pt>
                <c:pt idx="1">
                  <c:v>NORDESTE Y MAGDALENA MEDIO</c:v>
                </c:pt>
              </c:strCache>
            </c:strRef>
          </c:cat>
          <c:val>
            <c:numRef>
              <c:f>'2014'!$E$5:$E$6</c:f>
              <c:numCache>
                <c:formatCode>_-"$"\ * #,##0_-;\-"$"\ * #,##0_-;_-"$"\ * "-"_-;_-@_-</c:formatCode>
                <c:ptCount val="2"/>
                <c:pt idx="0">
                  <c:v>13912360043</c:v>
                </c:pt>
                <c:pt idx="1">
                  <c:v>15979657808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F-4FCD-8FD2-F247BD8CB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5363744"/>
        <c:axId val="945361248"/>
      </c:barChart>
      <c:catAx>
        <c:axId val="94536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1248"/>
        <c:crosses val="autoZero"/>
        <c:auto val="1"/>
        <c:lblAlgn val="ctr"/>
        <c:lblOffset val="100"/>
        <c:noMultiLvlLbl val="0"/>
      </c:catAx>
      <c:valAx>
        <c:axId val="94536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'2014'!$H$4:$H$6</c:f>
              <c:strCache>
                <c:ptCount val="3"/>
                <c:pt idx="1">
                  <c:v>URABÁ</c:v>
                </c:pt>
                <c:pt idx="2">
                  <c:v>NORDESTE Y MAGDALENA MEDIO</c:v>
                </c:pt>
              </c:strCache>
            </c:strRef>
          </c:cat>
          <c:val>
            <c:numRef>
              <c:f>'2014'!$M$4:$M$6</c:f>
              <c:numCache>
                <c:formatCode>General</c:formatCode>
                <c:ptCount val="3"/>
                <c:pt idx="1">
                  <c:v>12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F-4028-B347-A01F36F73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03997151"/>
        <c:axId val="1203991871"/>
      </c:barChart>
      <c:catAx>
        <c:axId val="12039971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3991871"/>
        <c:crosses val="autoZero"/>
        <c:auto val="1"/>
        <c:lblAlgn val="ctr"/>
        <c:lblOffset val="100"/>
        <c:noMultiLvlLbl val="0"/>
      </c:catAx>
      <c:valAx>
        <c:axId val="12039918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3997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'2014'!$H$4:$H$6</c:f>
              <c:strCache>
                <c:ptCount val="3"/>
                <c:pt idx="1">
                  <c:v>URABÁ</c:v>
                </c:pt>
                <c:pt idx="2">
                  <c:v>NORDESTE Y MAGDALENA MEDIO</c:v>
                </c:pt>
              </c:strCache>
            </c:strRef>
          </c:cat>
          <c:val>
            <c:numRef>
              <c:f>'2014'!$N$4:$N$6</c:f>
              <c:numCache>
                <c:formatCode>General</c:formatCode>
                <c:ptCount val="3"/>
                <c:pt idx="1">
                  <c:v>126081.04</c:v>
                </c:pt>
                <c:pt idx="2">
                  <c:v>40640.699999999997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6-4047-B00D-3A0DB996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04116671"/>
        <c:axId val="1204117151"/>
      </c:barChart>
      <c:catAx>
        <c:axId val="1204116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4117151"/>
        <c:crosses val="autoZero"/>
        <c:auto val="1"/>
        <c:lblAlgn val="ctr"/>
        <c:lblOffset val="100"/>
        <c:noMultiLvlLbl val="0"/>
      </c:catAx>
      <c:valAx>
        <c:axId val="1204117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41166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'2014'!$H$4:$H$6</c:f>
              <c:strCache>
                <c:ptCount val="3"/>
                <c:pt idx="1">
                  <c:v>URABÁ</c:v>
                </c:pt>
                <c:pt idx="2">
                  <c:v>NORDESTE Y MAGDALENA MEDIO</c:v>
                </c:pt>
              </c:strCache>
            </c:strRef>
          </c:cat>
          <c:val>
            <c:numRef>
              <c:f>'2014'!$O$4:$O$6</c:f>
              <c:numCache>
                <c:formatCode>General</c:formatCode>
                <c:ptCount val="3"/>
                <c:pt idx="1">
                  <c:v>1246948.8</c:v>
                </c:pt>
                <c:pt idx="2">
                  <c:v>2146824.7000000002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7-4668-A8AA-8A278467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04011071"/>
        <c:axId val="1203994271"/>
      </c:barChart>
      <c:catAx>
        <c:axId val="12040110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3994271"/>
        <c:crosses val="autoZero"/>
        <c:auto val="1"/>
        <c:lblAlgn val="ctr"/>
        <c:lblOffset val="100"/>
        <c:noMultiLvlLbl val="0"/>
      </c:catAx>
      <c:valAx>
        <c:axId val="12039942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4011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'2014'!$S$3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'2014'!$H$4:$H$6</c:f>
              <c:strCache>
                <c:ptCount val="3"/>
                <c:pt idx="1">
                  <c:v>URABÁ</c:v>
                </c:pt>
                <c:pt idx="2">
                  <c:v>NORDESTE Y MAGDALENA MEDIO</c:v>
                </c:pt>
              </c:strCache>
            </c:strRef>
          </c:cat>
          <c:val>
            <c:numRef>
              <c:f>'2014'!$S$4:$S$6</c:f>
              <c:numCache>
                <c:formatCode>General</c:formatCode>
                <c:ptCount val="3"/>
                <c:pt idx="1">
                  <c:v>19302.62</c:v>
                </c:pt>
                <c:pt idx="2">
                  <c:v>57864.800000000003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5-4C82-8E49-9E20AC617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854911"/>
        <c:axId val="1154878911"/>
      </c:barChart>
      <c:catAx>
        <c:axId val="11548549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878911"/>
        <c:crosses val="autoZero"/>
        <c:auto val="1"/>
        <c:lblAlgn val="ctr"/>
        <c:lblOffset val="100"/>
        <c:noMultiLvlLbl val="0"/>
      </c:catAx>
      <c:valAx>
        <c:axId val="1154878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854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'2012'!$Q$5:$Q$10</c:f>
              <c:numCache>
                <c:formatCode>General</c:formatCode>
                <c:ptCount val="6"/>
                <c:pt idx="0">
                  <c:v>249934.05</c:v>
                </c:pt>
                <c:pt idx="1">
                  <c:v>34913.800000000003</c:v>
                </c:pt>
                <c:pt idx="2">
                  <c:v>460920</c:v>
                </c:pt>
                <c:pt idx="3">
                  <c:v>0</c:v>
                </c:pt>
                <c:pt idx="4">
                  <c:v>174257.5</c:v>
                </c:pt>
                <c:pt idx="5">
                  <c:v>273091.5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6-4545-9B42-37B9BECB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38201904"/>
        <c:axId val="2038212304"/>
      </c:barChart>
      <c:catAx>
        <c:axId val="2038201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12304"/>
        <c:crosses val="autoZero"/>
        <c:auto val="1"/>
        <c:lblAlgn val="ctr"/>
        <c:lblOffset val="100"/>
        <c:noMultiLvlLbl val="0"/>
      </c:catAx>
      <c:valAx>
        <c:axId val="2038212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820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'2015'!$I$5:$I$8</c:f>
              <c:numCache>
                <c:formatCode>General</c:formatCode>
                <c:ptCount val="4"/>
                <c:pt idx="0">
                  <c:v>4</c:v>
                </c:pt>
                <c:pt idx="1">
                  <c:v>11</c:v>
                </c:pt>
                <c:pt idx="2">
                  <c:v>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2-4AE7-AFEF-CF3F9A8E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54527056"/>
        <c:axId val="954524976"/>
      </c:barChart>
      <c:catAx>
        <c:axId val="95452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54524976"/>
        <c:crosses val="autoZero"/>
        <c:auto val="1"/>
        <c:lblAlgn val="ctr"/>
        <c:lblOffset val="100"/>
        <c:noMultiLvlLbl val="0"/>
      </c:catAx>
      <c:valAx>
        <c:axId val="95452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5452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'2015'!$J$5:$J$8</c:f>
              <c:numCache>
                <c:formatCode>General</c:formatCode>
                <c:ptCount val="4"/>
                <c:pt idx="0">
                  <c:v>0</c:v>
                </c:pt>
                <c:pt idx="1">
                  <c:v>980</c:v>
                </c:pt>
                <c:pt idx="2">
                  <c:v>0</c:v>
                </c:pt>
                <c:pt idx="3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8-419F-B87B-F8F2C7E8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4167904"/>
        <c:axId val="944169152"/>
      </c:barChart>
      <c:catAx>
        <c:axId val="944167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4169152"/>
        <c:crosses val="autoZero"/>
        <c:auto val="1"/>
        <c:lblAlgn val="ctr"/>
        <c:lblOffset val="100"/>
        <c:noMultiLvlLbl val="0"/>
      </c:catAx>
      <c:valAx>
        <c:axId val="944169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416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'2015'!$L$5:$L$8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F-46CA-95C7-16797FA2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60722128"/>
        <c:axId val="760720880"/>
      </c:barChart>
      <c:catAx>
        <c:axId val="76072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20880"/>
        <c:crosses val="autoZero"/>
        <c:auto val="1"/>
        <c:lblAlgn val="ctr"/>
        <c:lblOffset val="100"/>
        <c:noMultiLvlLbl val="0"/>
      </c:catAx>
      <c:valAx>
        <c:axId val="76072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2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5-4FB6-A067-98C9C02B011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5-4FB6-A067-98C9C02B011A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5-4FB6-A067-98C9C02B0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'2015'!$P$5:$P$8</c:f>
              <c:numCache>
                <c:formatCode>General</c:formatCode>
                <c:ptCount val="4"/>
                <c:pt idx="0">
                  <c:v>369</c:v>
                </c:pt>
                <c:pt idx="1">
                  <c:v>1808</c:v>
                </c:pt>
                <c:pt idx="2">
                  <c:v>0</c:v>
                </c:pt>
                <c:pt idx="3">
                  <c:v>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5-4FB6-A067-98C9C02B0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1827632"/>
        <c:axId val="945361248"/>
      </c:barChart>
      <c:catAx>
        <c:axId val="941827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5361248"/>
        <c:crosses val="autoZero"/>
        <c:auto val="1"/>
        <c:lblAlgn val="ctr"/>
        <c:lblOffset val="100"/>
        <c:noMultiLvlLbl val="0"/>
      </c:catAx>
      <c:valAx>
        <c:axId val="94536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182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'2015'!$Q$5:$Q$8</c:f>
              <c:numCache>
                <c:formatCode>General</c:formatCode>
                <c:ptCount val="4"/>
                <c:pt idx="0">
                  <c:v>81649.14</c:v>
                </c:pt>
                <c:pt idx="1">
                  <c:v>98615</c:v>
                </c:pt>
                <c:pt idx="2">
                  <c:v>15000</c:v>
                </c:pt>
                <c:pt idx="3">
                  <c:v>24180.9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1-48A5-B485-D679816E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387984"/>
        <c:axId val="861393808"/>
      </c:barChart>
      <c:catAx>
        <c:axId val="86138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393808"/>
        <c:crosses val="autoZero"/>
        <c:auto val="1"/>
        <c:lblAlgn val="ctr"/>
        <c:lblOffset val="100"/>
        <c:noMultiLvlLbl val="0"/>
      </c:catAx>
      <c:valAx>
        <c:axId val="86139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387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'2015'!$R$5:$R$8</c:f>
              <c:numCache>
                <c:formatCode>General</c:formatCode>
                <c:ptCount val="4"/>
                <c:pt idx="0">
                  <c:v>53.68</c:v>
                </c:pt>
                <c:pt idx="1">
                  <c:v>128</c:v>
                </c:pt>
                <c:pt idx="2">
                  <c:v>69.22</c:v>
                </c:pt>
                <c:pt idx="3">
                  <c:v>86.36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84D-A63F-55430694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55331328"/>
        <c:axId val="855331744"/>
      </c:barChart>
      <c:catAx>
        <c:axId val="855331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55331744"/>
        <c:crosses val="autoZero"/>
        <c:auto val="1"/>
        <c:lblAlgn val="ctr"/>
        <c:lblOffset val="100"/>
        <c:noMultiLvlLbl val="0"/>
      </c:catAx>
      <c:valAx>
        <c:axId val="855331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55331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'2015'!$U$5:$U$8</c:f>
              <c:numCache>
                <c:formatCode>General</c:formatCode>
                <c:ptCount val="4"/>
                <c:pt idx="0">
                  <c:v>37845.699999999997</c:v>
                </c:pt>
                <c:pt idx="1">
                  <c:v>4760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E-450B-93CF-D17688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96656656"/>
        <c:axId val="855330912"/>
      </c:barChart>
      <c:catAx>
        <c:axId val="1296656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55330912"/>
        <c:crosses val="autoZero"/>
        <c:auto val="1"/>
        <c:lblAlgn val="ctr"/>
        <c:lblOffset val="100"/>
        <c:noMultiLvlLbl val="0"/>
      </c:catAx>
      <c:valAx>
        <c:axId val="85533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9665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'2015'!$V$5:$V$8</c:f>
              <c:numCache>
                <c:formatCode>General</c:formatCode>
                <c:ptCount val="4"/>
                <c:pt idx="0">
                  <c:v>16345.899999999998</c:v>
                </c:pt>
                <c:pt idx="1">
                  <c:v>5190</c:v>
                </c:pt>
                <c:pt idx="2">
                  <c:v>3948.9999999999995</c:v>
                </c:pt>
                <c:pt idx="3">
                  <c:v>369.5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5-44C1-9B53-29B8C39B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50104384"/>
        <c:axId val="946079936"/>
      </c:barChart>
      <c:catAx>
        <c:axId val="95010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6079936"/>
        <c:crosses val="autoZero"/>
        <c:auto val="1"/>
        <c:lblAlgn val="ctr"/>
        <c:lblOffset val="100"/>
        <c:noMultiLvlLbl val="0"/>
      </c:catAx>
      <c:valAx>
        <c:axId val="94607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5010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'2015'!$H$4:$H$8</c:f>
              <c:strCache>
                <c:ptCount val="5"/>
                <c:pt idx="1">
                  <c:v>VIAS DE INFLUENCIA DEL PEAJE PAJARITO</c:v>
                </c:pt>
                <c:pt idx="2">
                  <c:v>SUROESTE, OCCIDENTE Y MAGDALENA MEDIO</c:v>
                </c:pt>
                <c:pt idx="3">
                  <c:v>NORTE Y BAJO CAUCA </c:v>
                </c:pt>
                <c:pt idx="4">
                  <c:v>ORIENTE</c:v>
                </c:pt>
              </c:strCache>
            </c:strRef>
          </c:cat>
          <c:val>
            <c:numRef>
              <c:f>'2015'!$AB$4:$AB$8</c:f>
              <c:numCache>
                <c:formatCode>General</c:formatCode>
                <c:ptCount val="5"/>
                <c:pt idx="1">
                  <c:v>476</c:v>
                </c:pt>
                <c:pt idx="2">
                  <c:v>11</c:v>
                </c:pt>
                <c:pt idx="3">
                  <c:v>0</c:v>
                </c:pt>
                <c:pt idx="4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C06-8A94-A960C973B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60721712"/>
        <c:axId val="760719632"/>
      </c:barChart>
      <c:catAx>
        <c:axId val="760721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19632"/>
        <c:crosses val="autoZero"/>
        <c:auto val="1"/>
        <c:lblAlgn val="ctr"/>
        <c:lblOffset val="100"/>
        <c:noMultiLvlLbl val="0"/>
      </c:catAx>
      <c:valAx>
        <c:axId val="76071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2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'2015'!$H$5:$H$8</c:f>
              <c:strCache>
                <c:ptCount val="4"/>
                <c:pt idx="0">
                  <c:v>VIAS DE INFLUENCIA DEL PEAJE PAJARITO</c:v>
                </c:pt>
                <c:pt idx="1">
                  <c:v>SUROESTE, OCCIDENTE Y MAGDALENA MEDIO</c:v>
                </c:pt>
                <c:pt idx="2">
                  <c:v>NORTE Y BAJO CAUCA </c:v>
                </c:pt>
                <c:pt idx="3">
                  <c:v>ORIENTE</c:v>
                </c:pt>
              </c:strCache>
            </c:strRef>
          </c:cat>
          <c:val>
            <c:numRef>
              <c:f>'2015'!$E$5:$E$8</c:f>
              <c:numCache>
                <c:formatCode>_-"$"\ * #,##0_-;\-"$"\ * #,##0_-;_-"$"\ * "-"_-;_-@_-</c:formatCode>
                <c:ptCount val="4"/>
                <c:pt idx="0">
                  <c:v>5655779205</c:v>
                </c:pt>
                <c:pt idx="1">
                  <c:v>6114387127</c:v>
                </c:pt>
                <c:pt idx="2">
                  <c:v>5059721912</c:v>
                </c:pt>
                <c:pt idx="3">
                  <c:v>3814683540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9-487F-A4D8-78CBA581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760721712"/>
        <c:axId val="760719632"/>
      </c:barChart>
      <c:catAx>
        <c:axId val="760721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19632"/>
        <c:crosses val="autoZero"/>
        <c:auto val="1"/>
        <c:lblAlgn val="ctr"/>
        <c:lblOffset val="100"/>
        <c:noMultiLvlLbl val="0"/>
      </c:catAx>
      <c:valAx>
        <c:axId val="76071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76072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'2012'!$R$5:$R$10</c:f>
              <c:numCache>
                <c:formatCode>General</c:formatCode>
                <c:ptCount val="6"/>
                <c:pt idx="0">
                  <c:v>609.80999999999995</c:v>
                </c:pt>
                <c:pt idx="1">
                  <c:v>69.11</c:v>
                </c:pt>
                <c:pt idx="2">
                  <c:v>211.03</c:v>
                </c:pt>
                <c:pt idx="3">
                  <c:v>59.56</c:v>
                </c:pt>
                <c:pt idx="4">
                  <c:v>272.3</c:v>
                </c:pt>
                <c:pt idx="5">
                  <c:v>76.37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B-4333-B8C6-B8FD673B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2039511824"/>
        <c:axId val="1731116080"/>
      </c:barChart>
      <c:catAx>
        <c:axId val="203951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731116080"/>
        <c:crosses val="autoZero"/>
        <c:auto val="1"/>
        <c:lblAlgn val="ctr"/>
        <c:lblOffset val="100"/>
        <c:noMultiLvlLbl val="0"/>
      </c:catAx>
      <c:valAx>
        <c:axId val="173111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203951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'2015'!$H$4:$H$8</c:f>
              <c:strCache>
                <c:ptCount val="5"/>
                <c:pt idx="1">
                  <c:v>VIAS DE INFLUENCIA DEL PEAJE PAJARITO</c:v>
                </c:pt>
                <c:pt idx="2">
                  <c:v>SUROESTE, OCCIDENTE Y MAGDALENA MEDIO</c:v>
                </c:pt>
                <c:pt idx="3">
                  <c:v>NORTE Y BAJO CAUCA </c:v>
                </c:pt>
                <c:pt idx="4">
                  <c:v>ORIENTE</c:v>
                </c:pt>
              </c:strCache>
            </c:strRef>
          </c:cat>
          <c:val>
            <c:numRef>
              <c:f>'2015'!$N$4:$N$8</c:f>
              <c:numCache>
                <c:formatCode>General</c:formatCode>
                <c:ptCount val="5"/>
                <c:pt idx="1">
                  <c:v>5393.1</c:v>
                </c:pt>
                <c:pt idx="2">
                  <c:v>23049</c:v>
                </c:pt>
                <c:pt idx="3">
                  <c:v>20648.45</c:v>
                </c:pt>
                <c:pt idx="4">
                  <c:v>2452.6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A-40F4-BD7E-8C63E627A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68031"/>
        <c:axId val="1154782431"/>
      </c:barChart>
      <c:catAx>
        <c:axId val="1154768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82431"/>
        <c:crosses val="autoZero"/>
        <c:auto val="1"/>
        <c:lblAlgn val="ctr"/>
        <c:lblOffset val="100"/>
        <c:noMultiLvlLbl val="0"/>
      </c:catAx>
      <c:valAx>
        <c:axId val="1154782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68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'2015'!$H$4:$H$8</c:f>
              <c:strCache>
                <c:ptCount val="5"/>
                <c:pt idx="1">
                  <c:v>VIAS DE INFLUENCIA DEL PEAJE PAJARITO</c:v>
                </c:pt>
                <c:pt idx="2">
                  <c:v>SUROESTE, OCCIDENTE Y MAGDALENA MEDIO</c:v>
                </c:pt>
                <c:pt idx="3">
                  <c:v>NORTE Y BAJO CAUCA </c:v>
                </c:pt>
                <c:pt idx="4">
                  <c:v>ORIENTE</c:v>
                </c:pt>
              </c:strCache>
            </c:strRef>
          </c:cat>
          <c:val>
            <c:numRef>
              <c:f>'2015'!$O$4:$O$8</c:f>
              <c:numCache>
                <c:formatCode>General</c:formatCode>
                <c:ptCount val="5"/>
                <c:pt idx="1">
                  <c:v>422378</c:v>
                </c:pt>
                <c:pt idx="2">
                  <c:v>1528155</c:v>
                </c:pt>
                <c:pt idx="3">
                  <c:v>946278.9</c:v>
                </c:pt>
                <c:pt idx="4">
                  <c:v>16884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7-4EB2-94F0-53C605CA6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74271"/>
        <c:axId val="1154763711"/>
      </c:barChart>
      <c:catAx>
        <c:axId val="11547742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63711"/>
        <c:crosses val="autoZero"/>
        <c:auto val="1"/>
        <c:lblAlgn val="ctr"/>
        <c:lblOffset val="100"/>
        <c:noMultiLvlLbl val="0"/>
      </c:catAx>
      <c:valAx>
        <c:axId val="1154763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74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'2015'!$H$4:$H$8</c:f>
              <c:strCache>
                <c:ptCount val="5"/>
                <c:pt idx="1">
                  <c:v>VIAS DE INFLUENCIA DEL PEAJE PAJARITO</c:v>
                </c:pt>
                <c:pt idx="2">
                  <c:v>SUROESTE, OCCIDENTE Y MAGDALENA MEDIO</c:v>
                </c:pt>
                <c:pt idx="3">
                  <c:v>NORTE Y BAJO CAUCA </c:v>
                </c:pt>
                <c:pt idx="4">
                  <c:v>ORIENTE</c:v>
                </c:pt>
              </c:strCache>
            </c:strRef>
          </c:cat>
          <c:val>
            <c:numRef>
              <c:f>'2015'!$S$4:$S$8</c:f>
              <c:numCache>
                <c:formatCode>General</c:formatCode>
                <c:ptCount val="5"/>
                <c:pt idx="1">
                  <c:v>434</c:v>
                </c:pt>
                <c:pt idx="2">
                  <c:v>36904</c:v>
                </c:pt>
                <c:pt idx="3">
                  <c:v>29299.5</c:v>
                </c:pt>
                <c:pt idx="4">
                  <c:v>2467.64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A-4B26-A8E4-DE1D6E8F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54770431"/>
        <c:axId val="1154785791"/>
      </c:barChart>
      <c:catAx>
        <c:axId val="11547704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85791"/>
        <c:crosses val="autoZero"/>
        <c:auto val="1"/>
        <c:lblAlgn val="ctr"/>
        <c:lblOffset val="100"/>
        <c:noMultiLvlLbl val="0"/>
      </c:catAx>
      <c:valAx>
        <c:axId val="11547857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5477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'2015'!$M$3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'2015'!$H$4:$H$8</c:f>
              <c:strCache>
                <c:ptCount val="5"/>
                <c:pt idx="1">
                  <c:v>VIAS DE INFLUENCIA DEL PEAJE PAJARITO</c:v>
                </c:pt>
                <c:pt idx="2">
                  <c:v>SUROESTE, OCCIDENTE Y MAGDALENA MEDIO</c:v>
                </c:pt>
                <c:pt idx="3">
                  <c:v>NORTE Y BAJO CAUCA </c:v>
                </c:pt>
                <c:pt idx="4">
                  <c:v>ORIENTE</c:v>
                </c:pt>
              </c:strCache>
            </c:strRef>
          </c:cat>
          <c:val>
            <c:numRef>
              <c:f>'2015'!$M$4:$M$8</c:f>
              <c:numCache>
                <c:formatCode>General</c:formatCode>
                <c:ptCount val="5"/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D6-B4C4-C37C7B711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91903"/>
        <c:axId val="485393823"/>
      </c:barChart>
      <c:catAx>
        <c:axId val="485391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93823"/>
        <c:crosses val="autoZero"/>
        <c:auto val="1"/>
        <c:lblAlgn val="ctr"/>
        <c:lblOffset val="100"/>
        <c:noMultiLvlLbl val="0"/>
      </c:catAx>
      <c:valAx>
        <c:axId val="485393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91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'2016'!$I$5:$I$10</c:f>
              <c:numCache>
                <c:formatCode>General</c:formatCode>
                <c:ptCount val="6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F-46C5-BEBD-C7DC51BD4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65143520"/>
        <c:axId val="1165140608"/>
      </c:barChart>
      <c:catAx>
        <c:axId val="1165143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0608"/>
        <c:crosses val="autoZero"/>
        <c:auto val="1"/>
        <c:lblAlgn val="ctr"/>
        <c:lblOffset val="100"/>
        <c:noMultiLvlLbl val="0"/>
      </c:catAx>
      <c:valAx>
        <c:axId val="1165140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3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'2016'!$J$5:$J$10</c:f>
              <c:numCache>
                <c:formatCode>General</c:formatCode>
                <c:ptCount val="6"/>
                <c:pt idx="0">
                  <c:v>1195</c:v>
                </c:pt>
                <c:pt idx="1">
                  <c:v>0</c:v>
                </c:pt>
                <c:pt idx="2">
                  <c:v>1246.5</c:v>
                </c:pt>
                <c:pt idx="3">
                  <c:v>0</c:v>
                </c:pt>
                <c:pt idx="4">
                  <c:v>0</c:v>
                </c:pt>
                <c:pt idx="5">
                  <c:v>137.6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9-4490-8553-B5258A57D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65144768"/>
        <c:axId val="1165146016"/>
      </c:barChart>
      <c:catAx>
        <c:axId val="1165144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6016"/>
        <c:crosses val="autoZero"/>
        <c:auto val="1"/>
        <c:lblAlgn val="ctr"/>
        <c:lblOffset val="100"/>
        <c:noMultiLvlLbl val="0"/>
      </c:catAx>
      <c:valAx>
        <c:axId val="11651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'2016'!$L$5:$L$10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F-4CD9-B8EB-48105008C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38732880"/>
        <c:axId val="538735792"/>
      </c:barChart>
      <c:catAx>
        <c:axId val="538732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5792"/>
        <c:crosses val="autoZero"/>
        <c:auto val="1"/>
        <c:lblAlgn val="ctr"/>
        <c:lblOffset val="100"/>
        <c:noMultiLvlLbl val="0"/>
      </c:catAx>
      <c:valAx>
        <c:axId val="53873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'2016'!$P$5:$P$10</c:f>
              <c:numCache>
                <c:formatCode>General</c:formatCode>
                <c:ptCount val="6"/>
                <c:pt idx="0">
                  <c:v>3303</c:v>
                </c:pt>
                <c:pt idx="1">
                  <c:v>4286</c:v>
                </c:pt>
                <c:pt idx="2">
                  <c:v>533</c:v>
                </c:pt>
                <c:pt idx="3">
                  <c:v>1897</c:v>
                </c:pt>
                <c:pt idx="4">
                  <c:v>7006</c:v>
                </c:pt>
                <c:pt idx="5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F-4E7B-BB56-60B1DA65E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277088"/>
        <c:axId val="1165140192"/>
      </c:barChart>
      <c:catAx>
        <c:axId val="8612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0192"/>
        <c:crosses val="autoZero"/>
        <c:auto val="1"/>
        <c:lblAlgn val="ctr"/>
        <c:lblOffset val="100"/>
        <c:noMultiLvlLbl val="0"/>
      </c:catAx>
      <c:valAx>
        <c:axId val="11651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27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'2016'!$Q$5:$Q$10</c:f>
              <c:numCache>
                <c:formatCode>General</c:formatCode>
                <c:ptCount val="6"/>
                <c:pt idx="0">
                  <c:v>258203</c:v>
                </c:pt>
                <c:pt idx="1">
                  <c:v>328514</c:v>
                </c:pt>
                <c:pt idx="2">
                  <c:v>13581.7</c:v>
                </c:pt>
                <c:pt idx="3">
                  <c:v>70123</c:v>
                </c:pt>
                <c:pt idx="4">
                  <c:v>965312.8</c:v>
                </c:pt>
                <c:pt idx="5">
                  <c:v>192181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7-4C0E-9531-70CBE0BFE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38637472"/>
        <c:axId val="538636640"/>
      </c:barChart>
      <c:catAx>
        <c:axId val="538637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636640"/>
        <c:crosses val="autoZero"/>
        <c:auto val="1"/>
        <c:lblAlgn val="ctr"/>
        <c:lblOffset val="100"/>
        <c:noMultiLvlLbl val="0"/>
      </c:catAx>
      <c:valAx>
        <c:axId val="53863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63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'2016'!$R$5:$R$10</c:f>
              <c:numCache>
                <c:formatCode>General</c:formatCode>
                <c:ptCount val="6"/>
                <c:pt idx="0">
                  <c:v>202.95</c:v>
                </c:pt>
                <c:pt idx="1">
                  <c:v>302.13</c:v>
                </c:pt>
                <c:pt idx="2">
                  <c:v>83.73</c:v>
                </c:pt>
                <c:pt idx="3">
                  <c:v>149.19999999999999</c:v>
                </c:pt>
                <c:pt idx="4">
                  <c:v>583.59</c:v>
                </c:pt>
                <c:pt idx="5">
                  <c:v>88.21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B-48D6-9750-9A5E159F9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94332128"/>
        <c:axId val="1294335456"/>
      </c:barChart>
      <c:catAx>
        <c:axId val="129433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94335456"/>
        <c:crosses val="autoZero"/>
        <c:auto val="1"/>
        <c:lblAlgn val="ctr"/>
        <c:lblOffset val="100"/>
        <c:noMultiLvlLbl val="0"/>
      </c:catAx>
      <c:valAx>
        <c:axId val="129433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94332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'2012'!$H$4:$H$10</c:f>
              <c:strCache>
                <c:ptCount val="7"/>
                <c:pt idx="1">
                  <c:v>NORDESTE Y MAGDALENA MEDIO</c:v>
                </c:pt>
                <c:pt idx="2">
                  <c:v>OCCIDENTE</c:v>
                </c:pt>
                <c:pt idx="3">
                  <c:v>SUROESTE</c:v>
                </c:pt>
                <c:pt idx="4">
                  <c:v>URABÁ</c:v>
                </c:pt>
                <c:pt idx="5">
                  <c:v>ORIENTE</c:v>
                </c:pt>
                <c:pt idx="6">
                  <c:v>NORTE Y BAJO CAUCA</c:v>
                </c:pt>
              </c:strCache>
            </c:strRef>
          </c:cat>
          <c:val>
            <c:numRef>
              <c:f>'2012'!$S$4:$S$10</c:f>
              <c:numCache>
                <c:formatCode>General</c:formatCode>
                <c:ptCount val="7"/>
                <c:pt idx="1">
                  <c:v>21224.25</c:v>
                </c:pt>
                <c:pt idx="2">
                  <c:v>12455.09</c:v>
                </c:pt>
                <c:pt idx="3">
                  <c:v>39375.339999999997</c:v>
                </c:pt>
                <c:pt idx="4">
                  <c:v>3333</c:v>
                </c:pt>
                <c:pt idx="5">
                  <c:v>22099.5</c:v>
                </c:pt>
                <c:pt idx="6">
                  <c:v>21773.759999999998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E-415B-B1F8-AD973079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4034992"/>
        <c:axId val="14059536"/>
      </c:barChart>
      <c:catAx>
        <c:axId val="1403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59536"/>
        <c:crosses val="autoZero"/>
        <c:auto val="1"/>
        <c:lblAlgn val="ctr"/>
        <c:lblOffset val="100"/>
        <c:noMultiLvlLbl val="0"/>
      </c:catAx>
      <c:valAx>
        <c:axId val="1405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3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'2016'!$U$5:$U$10</c:f>
              <c:numCache>
                <c:formatCode>General</c:formatCode>
                <c:ptCount val="6"/>
                <c:pt idx="0">
                  <c:v>2451</c:v>
                </c:pt>
                <c:pt idx="1">
                  <c:v>7753.9</c:v>
                </c:pt>
                <c:pt idx="2">
                  <c:v>4230.5999999999995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0-4458-9366-42321FF11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69379584"/>
        <c:axId val="1169369184"/>
      </c:barChart>
      <c:catAx>
        <c:axId val="1169379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9369184"/>
        <c:crosses val="autoZero"/>
        <c:auto val="1"/>
        <c:lblAlgn val="ctr"/>
        <c:lblOffset val="100"/>
        <c:noMultiLvlLbl val="0"/>
      </c:catAx>
      <c:valAx>
        <c:axId val="1169369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937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'2016'!$V$5:$V$10</c:f>
              <c:numCache>
                <c:formatCode>General</c:formatCode>
                <c:ptCount val="6"/>
                <c:pt idx="0">
                  <c:v>0</c:v>
                </c:pt>
                <c:pt idx="1">
                  <c:v>4911.8999999999996</c:v>
                </c:pt>
                <c:pt idx="2">
                  <c:v>0</c:v>
                </c:pt>
                <c:pt idx="3">
                  <c:v>2544.2999999999997</c:v>
                </c:pt>
                <c:pt idx="4">
                  <c:v>513.59999999999991</c:v>
                </c:pt>
                <c:pt idx="5">
                  <c:v>13854.699999999999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A-42C1-AB8A-2272BC987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70236000"/>
        <c:axId val="1170234752"/>
      </c:barChart>
      <c:catAx>
        <c:axId val="1170236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34752"/>
        <c:crosses val="autoZero"/>
        <c:auto val="1"/>
        <c:lblAlgn val="ctr"/>
        <c:lblOffset val="100"/>
        <c:noMultiLvlLbl val="0"/>
      </c:catAx>
      <c:valAx>
        <c:axId val="1170234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3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'2016'!$Z$5:$Z$10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3-4BC3-BF51-9616C980F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69379168"/>
        <c:axId val="1169380000"/>
      </c:barChart>
      <c:catAx>
        <c:axId val="1169379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9380000"/>
        <c:crosses val="autoZero"/>
        <c:auto val="1"/>
        <c:lblAlgn val="ctr"/>
        <c:lblOffset val="100"/>
        <c:noMultiLvlLbl val="0"/>
      </c:catAx>
      <c:valAx>
        <c:axId val="1169380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937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'2016'!$AA$5:$AA$10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E-43D4-B1C8-1288C718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861397136"/>
        <c:axId val="861396304"/>
      </c:barChart>
      <c:catAx>
        <c:axId val="861397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396304"/>
        <c:crosses val="autoZero"/>
        <c:auto val="1"/>
        <c:lblAlgn val="ctr"/>
        <c:lblOffset val="100"/>
        <c:noMultiLvlLbl val="0"/>
      </c:catAx>
      <c:valAx>
        <c:axId val="861396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86139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'2016'!$H$4:$H$10</c:f>
              <c:strCache>
                <c:ptCount val="7"/>
                <c:pt idx="1">
                  <c:v>NORTE Y BAJO CAUCA</c:v>
                </c:pt>
                <c:pt idx="2">
                  <c:v>ORIENTE</c:v>
                </c:pt>
                <c:pt idx="3">
                  <c:v> OCCIDENTE Y URABA</c:v>
                </c:pt>
                <c:pt idx="4">
                  <c:v>NORDESTE Y MAGDALENA MEDIO</c:v>
                </c:pt>
                <c:pt idx="5">
                  <c:v>SUROESTE</c:v>
                </c:pt>
                <c:pt idx="6">
                  <c:v>VIAS DE INFLUENCIA DEL PEAJE PAJARITO </c:v>
                </c:pt>
              </c:strCache>
            </c:strRef>
          </c:cat>
          <c:val>
            <c:numRef>
              <c:f>'2016'!$AB$4:$AB$10</c:f>
              <c:numCache>
                <c:formatCode>General</c:formatCode>
                <c:ptCount val="7"/>
                <c:pt idx="1">
                  <c:v>10</c:v>
                </c:pt>
                <c:pt idx="2">
                  <c:v>0</c:v>
                </c:pt>
                <c:pt idx="3">
                  <c:v>38</c:v>
                </c:pt>
                <c:pt idx="4">
                  <c:v>28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3-41AB-83FF-1F7A87506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70334688"/>
        <c:axId val="1170329280"/>
      </c:barChart>
      <c:catAx>
        <c:axId val="117033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329280"/>
        <c:crosses val="autoZero"/>
        <c:auto val="1"/>
        <c:lblAlgn val="ctr"/>
        <c:lblOffset val="100"/>
        <c:noMultiLvlLbl val="0"/>
      </c:catAx>
      <c:valAx>
        <c:axId val="117032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33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'2016'!$H$5:$H$10</c:f>
              <c:strCache>
                <c:ptCount val="6"/>
                <c:pt idx="0">
                  <c:v>NORTE Y BAJO CAUCA</c:v>
                </c:pt>
                <c:pt idx="1">
                  <c:v>ORIENTE</c:v>
                </c:pt>
                <c:pt idx="2">
                  <c:v> OCCIDENTE Y URABA</c:v>
                </c:pt>
                <c:pt idx="3">
                  <c:v>NORDESTE Y MAGDALENA MEDIO</c:v>
                </c:pt>
                <c:pt idx="4">
                  <c:v>SUROESTE</c:v>
                </c:pt>
                <c:pt idx="5">
                  <c:v>VIAS DE INFLUENCIA DEL PEAJE PAJARITO </c:v>
                </c:pt>
              </c:strCache>
            </c:strRef>
          </c:cat>
          <c:val>
            <c:numRef>
              <c:f>'2016'!$E$5:$E$10</c:f>
              <c:numCache>
                <c:formatCode>_-"$"\ * #,##0_-;\-"$"\ * #,##0_-;_-"$"\ * "-"_-;_-@_-</c:formatCode>
                <c:ptCount val="6"/>
                <c:pt idx="0">
                  <c:v>5968995261</c:v>
                </c:pt>
                <c:pt idx="1">
                  <c:v>6129620831</c:v>
                </c:pt>
                <c:pt idx="2">
                  <c:v>6140397922</c:v>
                </c:pt>
                <c:pt idx="3">
                  <c:v>5421348765</c:v>
                </c:pt>
                <c:pt idx="4">
                  <c:v>6133562068</c:v>
                </c:pt>
                <c:pt idx="5">
                  <c:v>4599657246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8-4503-8EB4-4BCC9D614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70334688"/>
        <c:axId val="1170329280"/>
      </c:barChart>
      <c:catAx>
        <c:axId val="1170334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329280"/>
        <c:crosses val="autoZero"/>
        <c:auto val="1"/>
        <c:lblAlgn val="ctr"/>
        <c:lblOffset val="100"/>
        <c:noMultiLvlLbl val="0"/>
      </c:catAx>
      <c:valAx>
        <c:axId val="117032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33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'2016'!$H$4:$H$10</c:f>
              <c:strCache>
                <c:ptCount val="7"/>
                <c:pt idx="1">
                  <c:v>NORTE Y BAJO CAUCA</c:v>
                </c:pt>
                <c:pt idx="2">
                  <c:v>ORIENTE</c:v>
                </c:pt>
                <c:pt idx="3">
                  <c:v> OCCIDENTE Y URABA</c:v>
                </c:pt>
                <c:pt idx="4">
                  <c:v>NORDESTE Y MAGDALENA MEDIO</c:v>
                </c:pt>
                <c:pt idx="5">
                  <c:v>SUROESTE</c:v>
                </c:pt>
                <c:pt idx="6">
                  <c:v>VIAS DE INFLUENCIA DEL PEAJE PAJARITO </c:v>
                </c:pt>
              </c:strCache>
            </c:strRef>
          </c:cat>
          <c:val>
            <c:numRef>
              <c:f>'2016'!$M$4:$M$10</c:f>
              <c:numCache>
                <c:formatCode>General</c:formatCode>
                <c:ptCount val="7"/>
                <c:pt idx="1">
                  <c:v>13</c:v>
                </c:pt>
                <c:pt idx="2">
                  <c:v>15</c:v>
                </c:pt>
                <c:pt idx="3">
                  <c:v>15</c:v>
                </c:pt>
                <c:pt idx="4">
                  <c:v>3</c:v>
                </c:pt>
                <c:pt idx="5">
                  <c:v>8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9-4919-9C6B-8963997DF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06530607"/>
        <c:axId val="306530127"/>
      </c:barChart>
      <c:catAx>
        <c:axId val="3065306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6530127"/>
        <c:crosses val="autoZero"/>
        <c:auto val="1"/>
        <c:lblAlgn val="ctr"/>
        <c:lblOffset val="100"/>
        <c:noMultiLvlLbl val="0"/>
      </c:catAx>
      <c:valAx>
        <c:axId val="306530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6530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'2016'!$H$4:$H$10</c:f>
              <c:strCache>
                <c:ptCount val="7"/>
                <c:pt idx="1">
                  <c:v>NORTE Y BAJO CAUCA</c:v>
                </c:pt>
                <c:pt idx="2">
                  <c:v>ORIENTE</c:v>
                </c:pt>
                <c:pt idx="3">
                  <c:v> OCCIDENTE Y URABA</c:v>
                </c:pt>
                <c:pt idx="4">
                  <c:v>NORDESTE Y MAGDALENA MEDIO</c:v>
                </c:pt>
                <c:pt idx="5">
                  <c:v>SUROESTE</c:v>
                </c:pt>
                <c:pt idx="6">
                  <c:v>VIAS DE INFLUENCIA DEL PEAJE PAJARITO </c:v>
                </c:pt>
              </c:strCache>
            </c:strRef>
          </c:cat>
          <c:val>
            <c:numRef>
              <c:f>'2016'!$N$4:$N$10</c:f>
              <c:numCache>
                <c:formatCode>General</c:formatCode>
                <c:ptCount val="7"/>
                <c:pt idx="1">
                  <c:v>0</c:v>
                </c:pt>
                <c:pt idx="2">
                  <c:v>12281.32</c:v>
                </c:pt>
                <c:pt idx="3">
                  <c:v>24491.25</c:v>
                </c:pt>
                <c:pt idx="4">
                  <c:v>8091</c:v>
                </c:pt>
                <c:pt idx="5">
                  <c:v>10409.24</c:v>
                </c:pt>
                <c:pt idx="6">
                  <c:v>1206.5999999999999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BB-4B33-B22F-0E6FBB495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306218047"/>
        <c:axId val="306213247"/>
      </c:barChart>
      <c:catAx>
        <c:axId val="3062180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6213247"/>
        <c:crosses val="autoZero"/>
        <c:auto val="1"/>
        <c:lblAlgn val="ctr"/>
        <c:lblOffset val="100"/>
        <c:noMultiLvlLbl val="0"/>
      </c:catAx>
      <c:valAx>
        <c:axId val="306213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3062180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'2016'!$H$4:$H$10</c:f>
              <c:strCache>
                <c:ptCount val="7"/>
                <c:pt idx="1">
                  <c:v>NORTE Y BAJO CAUCA</c:v>
                </c:pt>
                <c:pt idx="2">
                  <c:v>ORIENTE</c:v>
                </c:pt>
                <c:pt idx="3">
                  <c:v> OCCIDENTE Y URABA</c:v>
                </c:pt>
                <c:pt idx="4">
                  <c:v>NORDESTE Y MAGDALENA MEDIO</c:v>
                </c:pt>
                <c:pt idx="5">
                  <c:v>SUROESTE</c:v>
                </c:pt>
                <c:pt idx="6">
                  <c:v>VIAS DE INFLUENCIA DEL PEAJE PAJARITO </c:v>
                </c:pt>
              </c:strCache>
            </c:strRef>
          </c:cat>
          <c:val>
            <c:numRef>
              <c:f>'2016'!$O$4:$O$10</c:f>
              <c:numCache>
                <c:formatCode>General</c:formatCode>
                <c:ptCount val="7"/>
                <c:pt idx="1">
                  <c:v>1151966.6000000001</c:v>
                </c:pt>
                <c:pt idx="2">
                  <c:v>195348.75</c:v>
                </c:pt>
                <c:pt idx="3">
                  <c:v>999457.65</c:v>
                </c:pt>
                <c:pt idx="4">
                  <c:v>1607369</c:v>
                </c:pt>
                <c:pt idx="5">
                  <c:v>719074.1</c:v>
                </c:pt>
                <c:pt idx="6">
                  <c:v>256900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0-444F-A36E-9E9D7B0FC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421183"/>
        <c:axId val="485422623"/>
      </c:barChart>
      <c:catAx>
        <c:axId val="48542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22623"/>
        <c:crosses val="autoZero"/>
        <c:auto val="1"/>
        <c:lblAlgn val="ctr"/>
        <c:lblOffset val="100"/>
        <c:noMultiLvlLbl val="0"/>
      </c:catAx>
      <c:valAx>
        <c:axId val="4854226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421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'2016'!$S$3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'2016'!$H$4:$H$10</c:f>
              <c:strCache>
                <c:ptCount val="7"/>
                <c:pt idx="1">
                  <c:v>NORTE Y BAJO CAUCA</c:v>
                </c:pt>
                <c:pt idx="2">
                  <c:v>ORIENTE</c:v>
                </c:pt>
                <c:pt idx="3">
                  <c:v> OCCIDENTE Y URABA</c:v>
                </c:pt>
                <c:pt idx="4">
                  <c:v>NORDESTE Y MAGDALENA MEDIO</c:v>
                </c:pt>
                <c:pt idx="5">
                  <c:v>SUROESTE</c:v>
                </c:pt>
                <c:pt idx="6">
                  <c:v>VIAS DE INFLUENCIA DEL PEAJE PAJARITO </c:v>
                </c:pt>
              </c:strCache>
            </c:strRef>
          </c:cat>
          <c:val>
            <c:numRef>
              <c:f>'2016'!$S$4:$S$10</c:f>
              <c:numCache>
                <c:formatCode>General</c:formatCode>
                <c:ptCount val="7"/>
                <c:pt idx="1">
                  <c:v>29457.5</c:v>
                </c:pt>
                <c:pt idx="2">
                  <c:v>14608.1</c:v>
                </c:pt>
                <c:pt idx="3">
                  <c:v>35595.160000000003</c:v>
                </c:pt>
                <c:pt idx="4">
                  <c:v>124693</c:v>
                </c:pt>
                <c:pt idx="5">
                  <c:v>17147.38</c:v>
                </c:pt>
                <c:pt idx="6">
                  <c:v>19394.7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F-4CD8-9609-21E1A9050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85376543"/>
        <c:axId val="485372703"/>
      </c:barChart>
      <c:catAx>
        <c:axId val="4853765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72703"/>
        <c:crosses val="autoZero"/>
        <c:auto val="1"/>
        <c:lblAlgn val="ctr"/>
        <c:lblOffset val="100"/>
        <c:noMultiLvlLbl val="0"/>
      </c:catAx>
      <c:valAx>
        <c:axId val="4853727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485376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'2012'!$V$5:$V$10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2132.8999999999996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A-46F2-A58F-89AF7303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4034992"/>
        <c:axId val="14059536"/>
      </c:barChart>
      <c:catAx>
        <c:axId val="1403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59536"/>
        <c:crosses val="autoZero"/>
        <c:auto val="1"/>
        <c:lblAlgn val="ctr"/>
        <c:lblOffset val="100"/>
        <c:noMultiLvlLbl val="0"/>
      </c:catAx>
      <c:valAx>
        <c:axId val="1405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3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'2017'!$I$5:$I$10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17</c:v>
                </c:pt>
                <c:pt idx="3">
                  <c:v>14</c:v>
                </c:pt>
                <c:pt idx="4">
                  <c:v>8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1-40C2-83CB-477856278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538734544"/>
        <c:axId val="538734960"/>
      </c:barChart>
      <c:catAx>
        <c:axId val="53873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4960"/>
        <c:crosses val="autoZero"/>
        <c:auto val="1"/>
        <c:lblAlgn val="ctr"/>
        <c:lblOffset val="100"/>
        <c:noMultiLvlLbl val="0"/>
      </c:catAx>
      <c:valAx>
        <c:axId val="5387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53873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'2017'!$J$5:$J$10</c:f>
              <c:numCache>
                <c:formatCode>General</c:formatCode>
                <c:ptCount val="6"/>
                <c:pt idx="0">
                  <c:v>49</c:v>
                </c:pt>
                <c:pt idx="1">
                  <c:v>14.7</c:v>
                </c:pt>
                <c:pt idx="2">
                  <c:v>135</c:v>
                </c:pt>
                <c:pt idx="3">
                  <c:v>1000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9-4EBF-B520-31795A943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70228096"/>
        <c:axId val="1170227264"/>
      </c:barChart>
      <c:catAx>
        <c:axId val="1170228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27264"/>
        <c:crosses val="autoZero"/>
        <c:auto val="1"/>
        <c:lblAlgn val="ctr"/>
        <c:lblOffset val="100"/>
        <c:noMultiLvlLbl val="0"/>
      </c:catAx>
      <c:valAx>
        <c:axId val="117022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2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'2017'!$L$5:$L$10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B-4118-BE96-3DDAF544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44072032"/>
        <c:axId val="1244071200"/>
      </c:barChart>
      <c:catAx>
        <c:axId val="12440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44071200"/>
        <c:crosses val="autoZero"/>
        <c:auto val="1"/>
        <c:lblAlgn val="ctr"/>
        <c:lblOffset val="100"/>
        <c:noMultiLvlLbl val="0"/>
      </c:catAx>
      <c:valAx>
        <c:axId val="124407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4407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'2017'!$P$4</c:f>
              <c:strCache>
                <c:ptCount val="1"/>
                <c:pt idx="0">
                  <c:v>Limpieza de obras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'2017'!$P$5:$P$10</c:f>
              <c:numCache>
                <c:formatCode>General</c:formatCode>
                <c:ptCount val="6"/>
                <c:pt idx="0">
                  <c:v>893</c:v>
                </c:pt>
                <c:pt idx="1">
                  <c:v>84</c:v>
                </c:pt>
                <c:pt idx="2">
                  <c:v>2234</c:v>
                </c:pt>
                <c:pt idx="3">
                  <c:v>1058</c:v>
                </c:pt>
                <c:pt idx="4">
                  <c:v>3618</c:v>
                </c:pt>
                <c:pt idx="5">
                  <c:v>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5-4AFD-B39D-CCA0BA1A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65145184"/>
        <c:axId val="1165140192"/>
      </c:barChart>
      <c:catAx>
        <c:axId val="1165145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0192"/>
        <c:crosses val="autoZero"/>
        <c:auto val="1"/>
        <c:lblAlgn val="ctr"/>
        <c:lblOffset val="100"/>
        <c:noMultiLvlLbl val="0"/>
      </c:catAx>
      <c:valAx>
        <c:axId val="11651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145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'2017'!$Q$4</c:f>
              <c:strCache>
                <c:ptCount val="1"/>
                <c:pt idx="0">
                  <c:v>Limpieza de cunetas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'2017'!$Q$5:$Q$10</c:f>
              <c:numCache>
                <c:formatCode>General</c:formatCode>
                <c:ptCount val="6"/>
                <c:pt idx="0">
                  <c:v>166550</c:v>
                </c:pt>
                <c:pt idx="1">
                  <c:v>52400</c:v>
                </c:pt>
                <c:pt idx="2">
                  <c:v>227653.6</c:v>
                </c:pt>
                <c:pt idx="3">
                  <c:v>224730</c:v>
                </c:pt>
                <c:pt idx="4">
                  <c:v>584605</c:v>
                </c:pt>
                <c:pt idx="5">
                  <c:v>158993.68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0-4CA9-AC38-2EC5583F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96027520"/>
        <c:axId val="1296032096"/>
      </c:barChart>
      <c:catAx>
        <c:axId val="1296027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96032096"/>
        <c:crosses val="autoZero"/>
        <c:auto val="1"/>
        <c:lblAlgn val="ctr"/>
        <c:lblOffset val="100"/>
        <c:noMultiLvlLbl val="0"/>
      </c:catAx>
      <c:valAx>
        <c:axId val="129603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9602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'2017'!$R$4</c:f>
              <c:strCache>
                <c:ptCount val="1"/>
                <c:pt idx="0">
                  <c:v>Rocería (Ha)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'2017'!$R$5:$R$10</c:f>
              <c:numCache>
                <c:formatCode>General</c:formatCode>
                <c:ptCount val="6"/>
                <c:pt idx="0">
                  <c:v>51.7</c:v>
                </c:pt>
                <c:pt idx="1">
                  <c:v>99</c:v>
                </c:pt>
                <c:pt idx="2">
                  <c:v>144.4</c:v>
                </c:pt>
                <c:pt idx="3">
                  <c:v>93.6</c:v>
                </c:pt>
                <c:pt idx="4">
                  <c:v>244.2</c:v>
                </c:pt>
                <c:pt idx="5">
                  <c:v>152.85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C-47D4-A9F5-38D7F44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00260592"/>
        <c:axId val="1200258096"/>
      </c:barChart>
      <c:catAx>
        <c:axId val="120026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58096"/>
        <c:crosses val="autoZero"/>
        <c:auto val="1"/>
        <c:lblAlgn val="ctr"/>
        <c:lblOffset val="100"/>
        <c:noMultiLvlLbl val="0"/>
      </c:catAx>
      <c:valAx>
        <c:axId val="120025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60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'2017'!$U$4</c:f>
              <c:strCache>
                <c:ptCount val="1"/>
                <c:pt idx="0">
                  <c:v>Pavimentación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'2017'!$U$5:$U$10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4216</c:v>
                </c:pt>
                <c:pt idx="4">
                  <c:v>106.99999999999999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D-4078-9527-C5B71644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70222688"/>
        <c:axId val="1170226016"/>
      </c:barChart>
      <c:catAx>
        <c:axId val="1170222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26016"/>
        <c:crosses val="autoZero"/>
        <c:auto val="1"/>
        <c:lblAlgn val="ctr"/>
        <c:lblOffset val="100"/>
        <c:noMultiLvlLbl val="0"/>
      </c:catAx>
      <c:valAx>
        <c:axId val="117022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7022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'2017'!$V$4</c:f>
              <c:strCache>
                <c:ptCount val="1"/>
                <c:pt idx="0">
                  <c:v>Bacheos y parcheos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'2017'!$V$5:$V$10</c:f>
              <c:numCache>
                <c:formatCode>General</c:formatCode>
                <c:ptCount val="6"/>
                <c:pt idx="0">
                  <c:v>10610.999999999998</c:v>
                </c:pt>
                <c:pt idx="1">
                  <c:v>7450</c:v>
                </c:pt>
                <c:pt idx="2">
                  <c:v>93</c:v>
                </c:pt>
                <c:pt idx="3">
                  <c:v>4392</c:v>
                </c:pt>
                <c:pt idx="4">
                  <c:v>6008.9999999999991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5-4EB5-BC80-AC3BD00ED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5699296"/>
        <c:axId val="1195692224"/>
      </c:barChart>
      <c:catAx>
        <c:axId val="1195699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5692224"/>
        <c:crosses val="autoZero"/>
        <c:auto val="1"/>
        <c:lblAlgn val="ctr"/>
        <c:lblOffset val="100"/>
        <c:noMultiLvlLbl val="0"/>
      </c:catAx>
      <c:valAx>
        <c:axId val="119569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569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'2017'!$Z$4</c:f>
              <c:strCache>
                <c:ptCount val="1"/>
                <c:pt idx="0">
                  <c:v>Construcción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'2017'!$Z$5:$Z$10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9-4DDE-85D4-34126D8E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5695552"/>
        <c:axId val="1195695136"/>
      </c:barChart>
      <c:catAx>
        <c:axId val="1195695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5695136"/>
        <c:crosses val="autoZero"/>
        <c:auto val="1"/>
        <c:lblAlgn val="ctr"/>
        <c:lblOffset val="100"/>
        <c:noMultiLvlLbl val="0"/>
      </c:catAx>
      <c:valAx>
        <c:axId val="119569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569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'2017'!$AA$5:$AA$10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D-4C06-B8D7-6FEDB1B8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204992"/>
        <c:axId val="1199202496"/>
      </c:barChart>
      <c:catAx>
        <c:axId val="119920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202496"/>
        <c:crosses val="autoZero"/>
        <c:auto val="1"/>
        <c:lblAlgn val="ctr"/>
        <c:lblOffset val="100"/>
        <c:noMultiLvlLbl val="0"/>
      </c:catAx>
      <c:valAx>
        <c:axId val="1199202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20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'2012'!$AA$4</c:f>
              <c:strCache>
                <c:ptCount val="1"/>
                <c:pt idx="0">
                  <c:v>Mantenimiento de puente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'2012'!$H$5:$H$10</c:f>
              <c:strCache>
                <c:ptCount val="6"/>
                <c:pt idx="0">
                  <c:v>NORDESTE Y MAGDALENA MEDIO</c:v>
                </c:pt>
                <c:pt idx="1">
                  <c:v>OCCIDENTE</c:v>
                </c:pt>
                <c:pt idx="2">
                  <c:v>SUROESTE</c:v>
                </c:pt>
                <c:pt idx="3">
                  <c:v>URABÁ</c:v>
                </c:pt>
                <c:pt idx="4">
                  <c:v>ORIENTE</c:v>
                </c:pt>
                <c:pt idx="5">
                  <c:v>NORTE Y BAJO CAUCA</c:v>
                </c:pt>
              </c:strCache>
            </c:strRef>
          </c:cat>
          <c:val>
            <c:numRef>
              <c:f>'2012'!$AA$5:$AA$10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3-493E-B4F7-87B92D1E1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4034992"/>
        <c:axId val="14059536"/>
      </c:barChart>
      <c:catAx>
        <c:axId val="14034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59536"/>
        <c:crosses val="autoZero"/>
        <c:auto val="1"/>
        <c:lblAlgn val="ctr"/>
        <c:lblOffset val="100"/>
        <c:noMultiLvlLbl val="0"/>
      </c:catAx>
      <c:valAx>
        <c:axId val="14059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403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'2017'!$E$3:$E$4</c:f>
              <c:strCache>
                <c:ptCount val="2"/>
                <c:pt idx="0">
                  <c:v>Valor final contrato de obra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'2017'!$H$5:$H$10</c:f>
              <c:strCache>
                <c:ptCount val="6"/>
                <c:pt idx="0">
                  <c:v> VIAS DE INFLUENCIA DEL PEAJE DE PAJARITO</c:v>
                </c:pt>
                <c:pt idx="1">
                  <c:v> NORDESTE Y MAGDALENA MEDIO</c:v>
                </c:pt>
                <c:pt idx="2">
                  <c:v>NORTE Y BAJO CAUCA </c:v>
                </c:pt>
                <c:pt idx="3">
                  <c:v>ORIENTE</c:v>
                </c:pt>
                <c:pt idx="4">
                  <c:v>SUROESTE</c:v>
                </c:pt>
                <c:pt idx="5">
                  <c:v>OCCIDENTE Y URABA </c:v>
                </c:pt>
              </c:strCache>
            </c:strRef>
          </c:cat>
          <c:val>
            <c:numRef>
              <c:f>'2017'!$E$5:$E$10</c:f>
              <c:numCache>
                <c:formatCode>_-"$"\ * #,##0_-;\-"$"\ * #,##0_-;_-"$"\ * "-"_-;_-@_-</c:formatCode>
                <c:ptCount val="6"/>
                <c:pt idx="0">
                  <c:v>1952872479</c:v>
                </c:pt>
                <c:pt idx="1">
                  <c:v>4937970479</c:v>
                </c:pt>
                <c:pt idx="2">
                  <c:v>4139044164</c:v>
                </c:pt>
                <c:pt idx="3">
                  <c:v>5128428073</c:v>
                </c:pt>
                <c:pt idx="4">
                  <c:v>4131669988</c:v>
                </c:pt>
                <c:pt idx="5">
                  <c:v>4145311783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4-4482-B6B8-4BE6CCCD0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99198752"/>
        <c:axId val="1165886832"/>
      </c:barChart>
      <c:catAx>
        <c:axId val="1199198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65886832"/>
        <c:crosses val="autoZero"/>
        <c:auto val="1"/>
        <c:lblAlgn val="ctr"/>
        <c:lblOffset val="100"/>
        <c:noMultiLvlLbl val="0"/>
      </c:catAx>
      <c:valAx>
        <c:axId val="116588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9919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'2017'!$M$3</c:f>
              <c:strCache>
                <c:ptCount val="1"/>
                <c:pt idx="0">
                  <c:v>Estructuras de contención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'2017'!$H$4:$H$10</c:f>
              <c:strCache>
                <c:ptCount val="7"/>
                <c:pt idx="1">
                  <c:v> VIAS DE INFLUENCIA DEL PEAJE DE PAJARITO</c:v>
                </c:pt>
                <c:pt idx="2">
                  <c:v> NORDESTE Y MAGDALENA MEDIO</c:v>
                </c:pt>
                <c:pt idx="3">
                  <c:v>NORTE Y BAJO CAUCA </c:v>
                </c:pt>
                <c:pt idx="4">
                  <c:v>ORIENTE</c:v>
                </c:pt>
                <c:pt idx="5">
                  <c:v>SUROESTE</c:v>
                </c:pt>
                <c:pt idx="6">
                  <c:v>OCCIDENTE Y URABA </c:v>
                </c:pt>
              </c:strCache>
            </c:strRef>
          </c:cat>
          <c:val>
            <c:numRef>
              <c:f>'2017'!$M$4:$M$10</c:f>
              <c:numCache>
                <c:formatCode>General</c:formatCode>
                <c:ptCount val="7"/>
                <c:pt idx="1">
                  <c:v>4</c:v>
                </c:pt>
                <c:pt idx="2">
                  <c:v>9</c:v>
                </c:pt>
                <c:pt idx="3">
                  <c:v>13</c:v>
                </c:pt>
                <c:pt idx="4">
                  <c:v>15</c:v>
                </c:pt>
                <c:pt idx="5">
                  <c:v>10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B-482D-A4BB-525B02295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3162159"/>
        <c:axId val="943172239"/>
      </c:barChart>
      <c:catAx>
        <c:axId val="943162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72239"/>
        <c:crosses val="autoZero"/>
        <c:auto val="1"/>
        <c:lblAlgn val="ctr"/>
        <c:lblOffset val="100"/>
        <c:noMultiLvlLbl val="0"/>
      </c:catAx>
      <c:valAx>
        <c:axId val="943172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621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'2017'!$N$3</c:f>
              <c:strCache>
                <c:ptCount val="1"/>
                <c:pt idx="0">
                  <c:v>Mantenimiento mecánico con o sin adición de material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'2017'!$H$4:$H$10</c:f>
              <c:strCache>
                <c:ptCount val="7"/>
                <c:pt idx="1">
                  <c:v> VIAS DE INFLUENCIA DEL PEAJE DE PAJARITO</c:v>
                </c:pt>
                <c:pt idx="2">
                  <c:v> NORDESTE Y MAGDALENA MEDIO</c:v>
                </c:pt>
                <c:pt idx="3">
                  <c:v>NORTE Y BAJO CAUCA </c:v>
                </c:pt>
                <c:pt idx="4">
                  <c:v>ORIENTE</c:v>
                </c:pt>
                <c:pt idx="5">
                  <c:v>SUROESTE</c:v>
                </c:pt>
                <c:pt idx="6">
                  <c:v>OCCIDENTE Y URABA </c:v>
                </c:pt>
              </c:strCache>
            </c:strRef>
          </c:cat>
          <c:val>
            <c:numRef>
              <c:f>'2017'!$N$4:$N$10</c:f>
              <c:numCache>
                <c:formatCode>General</c:formatCode>
                <c:ptCount val="7"/>
                <c:pt idx="1">
                  <c:v>143.19999999999999</c:v>
                </c:pt>
                <c:pt idx="2">
                  <c:v>13636</c:v>
                </c:pt>
                <c:pt idx="3">
                  <c:v>17254</c:v>
                </c:pt>
                <c:pt idx="4">
                  <c:v>14813.1</c:v>
                </c:pt>
                <c:pt idx="5">
                  <c:v>10069.1</c:v>
                </c:pt>
                <c:pt idx="6">
                  <c:v>16242.61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F50-8D90-0FC823FE1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3172719"/>
        <c:axId val="943153039"/>
      </c:barChart>
      <c:catAx>
        <c:axId val="9431727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53039"/>
        <c:crosses val="autoZero"/>
        <c:auto val="1"/>
        <c:lblAlgn val="ctr"/>
        <c:lblOffset val="100"/>
        <c:noMultiLvlLbl val="0"/>
      </c:catAx>
      <c:valAx>
        <c:axId val="9431530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72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'2017'!$O$3</c:f>
              <c:strCache>
                <c:ptCount val="1"/>
                <c:pt idx="0">
                  <c:v>Mantenimiento Mecánico (m2)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'2017'!$H$4:$H$10</c:f>
              <c:strCache>
                <c:ptCount val="7"/>
                <c:pt idx="1">
                  <c:v> VIAS DE INFLUENCIA DEL PEAJE DE PAJARITO</c:v>
                </c:pt>
                <c:pt idx="2">
                  <c:v> NORDESTE Y MAGDALENA MEDIO</c:v>
                </c:pt>
                <c:pt idx="3">
                  <c:v>NORTE Y BAJO CAUCA </c:v>
                </c:pt>
                <c:pt idx="4">
                  <c:v>ORIENTE</c:v>
                </c:pt>
                <c:pt idx="5">
                  <c:v>SUROESTE</c:v>
                </c:pt>
                <c:pt idx="6">
                  <c:v>OCCIDENTE Y URABA </c:v>
                </c:pt>
              </c:strCache>
            </c:strRef>
          </c:cat>
          <c:val>
            <c:numRef>
              <c:f>'2017'!$O$4:$O$10</c:f>
              <c:numCache>
                <c:formatCode>General</c:formatCode>
                <c:ptCount val="7"/>
                <c:pt idx="1">
                  <c:v>0</c:v>
                </c:pt>
                <c:pt idx="2">
                  <c:v>760789</c:v>
                </c:pt>
                <c:pt idx="3">
                  <c:v>403342.5</c:v>
                </c:pt>
                <c:pt idx="4">
                  <c:v>239670.5</c:v>
                </c:pt>
                <c:pt idx="5">
                  <c:v>457445</c:v>
                </c:pt>
                <c:pt idx="6">
                  <c:v>1121503.3999999999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3-4D42-AB25-21486CED1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3165039"/>
        <c:axId val="943171279"/>
      </c:barChart>
      <c:catAx>
        <c:axId val="9431650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71279"/>
        <c:crosses val="autoZero"/>
        <c:auto val="1"/>
        <c:lblAlgn val="ctr"/>
        <c:lblOffset val="100"/>
        <c:noMultiLvlLbl val="0"/>
      </c:catAx>
      <c:valAx>
        <c:axId val="943171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65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'2017'!$S$3</c:f>
              <c:strCache>
                <c:ptCount val="1"/>
                <c:pt idx="0">
                  <c:v>Remoción de derrumbes (m3)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'2017'!$H$4:$H$10</c:f>
              <c:strCache>
                <c:ptCount val="7"/>
                <c:pt idx="1">
                  <c:v> VIAS DE INFLUENCIA DEL PEAJE DE PAJARITO</c:v>
                </c:pt>
                <c:pt idx="2">
                  <c:v> NORDESTE Y MAGDALENA MEDIO</c:v>
                </c:pt>
                <c:pt idx="3">
                  <c:v>NORTE Y BAJO CAUCA </c:v>
                </c:pt>
                <c:pt idx="4">
                  <c:v>ORIENTE</c:v>
                </c:pt>
                <c:pt idx="5">
                  <c:v>SUROESTE</c:v>
                </c:pt>
                <c:pt idx="6">
                  <c:v>OCCIDENTE Y URABA </c:v>
                </c:pt>
              </c:strCache>
            </c:strRef>
          </c:cat>
          <c:val>
            <c:numRef>
              <c:f>'2017'!$S$4:$S$10</c:f>
              <c:numCache>
                <c:formatCode>General</c:formatCode>
                <c:ptCount val="7"/>
                <c:pt idx="1">
                  <c:v>1982.9</c:v>
                </c:pt>
                <c:pt idx="2">
                  <c:v>66402</c:v>
                </c:pt>
                <c:pt idx="3">
                  <c:v>4202</c:v>
                </c:pt>
                <c:pt idx="4">
                  <c:v>4368</c:v>
                </c:pt>
                <c:pt idx="5">
                  <c:v>17293.900000000001</c:v>
                </c:pt>
                <c:pt idx="6">
                  <c:v>47283.9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11F-871B-4F04F0ED0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3188559"/>
        <c:axId val="943192399"/>
      </c:barChart>
      <c:catAx>
        <c:axId val="9431885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92399"/>
        <c:crosses val="autoZero"/>
        <c:auto val="1"/>
        <c:lblAlgn val="ctr"/>
        <c:lblOffset val="100"/>
        <c:noMultiLvlLbl val="0"/>
      </c:catAx>
      <c:valAx>
        <c:axId val="9431923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88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'2017'!$AB$3</c:f>
              <c:strCache>
                <c:ptCount val="1"/>
                <c:pt idx="0">
                  <c:v>Señales verticales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'2017'!$H$4:$H$10</c:f>
              <c:strCache>
                <c:ptCount val="7"/>
                <c:pt idx="1">
                  <c:v> VIAS DE INFLUENCIA DEL PEAJE DE PAJARITO</c:v>
                </c:pt>
                <c:pt idx="2">
                  <c:v> NORDESTE Y MAGDALENA MEDIO</c:v>
                </c:pt>
                <c:pt idx="3">
                  <c:v>NORTE Y BAJO CAUCA </c:v>
                </c:pt>
                <c:pt idx="4">
                  <c:v>ORIENTE</c:v>
                </c:pt>
                <c:pt idx="5">
                  <c:v>SUROESTE</c:v>
                </c:pt>
                <c:pt idx="6">
                  <c:v>OCCIDENTE Y URABA </c:v>
                </c:pt>
              </c:strCache>
            </c:strRef>
          </c:cat>
          <c:val>
            <c:numRef>
              <c:f>'2017'!$AB$4:$AB$10</c:f>
              <c:numCache>
                <c:formatCode>General</c:formatCode>
                <c:ptCount val="7"/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2-45AF-A83D-53DDD9941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943202479"/>
        <c:axId val="943198639"/>
      </c:barChart>
      <c:catAx>
        <c:axId val="943202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198639"/>
        <c:crosses val="autoZero"/>
        <c:auto val="1"/>
        <c:lblAlgn val="ctr"/>
        <c:lblOffset val="100"/>
        <c:noMultiLvlLbl val="0"/>
      </c:catAx>
      <c:valAx>
        <c:axId val="943198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9432024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'2018'!$I$4</c:f>
              <c:strCache>
                <c:ptCount val="1"/>
                <c:pt idx="0">
                  <c:v>Obras transversales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'2018'!$I$5:$I$10</c:f>
              <c:numCache>
                <c:formatCode>General</c:formatCode>
                <c:ptCount val="6"/>
                <c:pt idx="0">
                  <c:v>4</c:v>
                </c:pt>
                <c:pt idx="1">
                  <c:v>22</c:v>
                </c:pt>
                <c:pt idx="2">
                  <c:v>3</c:v>
                </c:pt>
                <c:pt idx="3">
                  <c:v>0</c:v>
                </c:pt>
                <c:pt idx="4">
                  <c:v>35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8-4099-B1A3-8108F997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200262672"/>
        <c:axId val="1200261424"/>
      </c:barChart>
      <c:catAx>
        <c:axId val="1200262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61424"/>
        <c:crosses val="autoZero"/>
        <c:auto val="1"/>
        <c:lblAlgn val="ctr"/>
        <c:lblOffset val="100"/>
        <c:noMultiLvlLbl val="0"/>
      </c:catAx>
      <c:valAx>
        <c:axId val="1200261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20026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'2018'!$J$4</c:f>
              <c:strCache>
                <c:ptCount val="1"/>
                <c:pt idx="0">
                  <c:v>Elementos de drenaje vial (ml)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'2018'!$J$5:$J$10</c:f>
              <c:numCache>
                <c:formatCode>General</c:formatCode>
                <c:ptCount val="6"/>
                <c:pt idx="0">
                  <c:v>802</c:v>
                </c:pt>
                <c:pt idx="1">
                  <c:v>1988.5</c:v>
                </c:pt>
                <c:pt idx="2">
                  <c:v>3000</c:v>
                </c:pt>
                <c:pt idx="3">
                  <c:v>0</c:v>
                </c:pt>
                <c:pt idx="4">
                  <c:v>311.39999999999998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0-4479-9207-B457C6C85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303888672"/>
        <c:axId val="1303889088"/>
      </c:barChart>
      <c:catAx>
        <c:axId val="1303888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03889088"/>
        <c:crosses val="autoZero"/>
        <c:auto val="1"/>
        <c:lblAlgn val="ctr"/>
        <c:lblOffset val="100"/>
        <c:noMultiLvlLbl val="0"/>
      </c:catAx>
      <c:valAx>
        <c:axId val="130388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3038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'2018'!$K$4</c:f>
              <c:strCache>
                <c:ptCount val="1"/>
                <c:pt idx="0">
                  <c:v>Box coulvert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'2018'!$K$5:$K$10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1-416D-9C3F-87DF31D1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735455"/>
        <c:axId val="1132734975"/>
      </c:barChart>
      <c:catAx>
        <c:axId val="11327354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34975"/>
        <c:crosses val="autoZero"/>
        <c:auto val="1"/>
        <c:lblAlgn val="ctr"/>
        <c:lblOffset val="100"/>
        <c:noMultiLvlLbl val="0"/>
      </c:catAx>
      <c:valAx>
        <c:axId val="11327349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35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U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'2018'!$L$4</c:f>
              <c:strCache>
                <c:ptCount val="1"/>
                <c:pt idx="0">
                  <c:v>Disipadores (unidad)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'2018'!$H$5:$H$10</c:f>
              <c:strCache>
                <c:ptCount val="6"/>
                <c:pt idx="0">
                  <c:v>SUROESTE</c:v>
                </c:pt>
                <c:pt idx="1">
                  <c:v>NORTE Y BAJO CAUCA</c:v>
                </c:pt>
                <c:pt idx="2">
                  <c:v>VIAS DE INFLUENCIA DEL PEAJE PAJARITO </c:v>
                </c:pt>
                <c:pt idx="3">
                  <c:v>ORIENTE</c:v>
                </c:pt>
                <c:pt idx="4">
                  <c:v>OCCIDENTE Y URABA</c:v>
                </c:pt>
                <c:pt idx="5">
                  <c:v>NORDESTE Y MAGDALENA MEDIO</c:v>
                </c:pt>
              </c:strCache>
            </c:strRef>
          </c:cat>
          <c:val>
            <c:numRef>
              <c:f>'2018'!$L$5:$L$10</c:f>
              <c:numCache>
                <c:formatCode>General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DF3-85A0-12D55BD24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132726335"/>
        <c:axId val="1132730655"/>
      </c:barChart>
      <c:catAx>
        <c:axId val="11327263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30655"/>
        <c:crosses val="autoZero"/>
        <c:auto val="1"/>
        <c:lblAlgn val="ctr"/>
        <c:lblOffset val="100"/>
        <c:noMultiLvlLbl val="0"/>
      </c:catAx>
      <c:valAx>
        <c:axId val="11327306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U"/>
          </a:p>
        </c:txPr>
        <c:crossAx val="11327263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3.xml"/><Relationship Id="rId13" Type="http://schemas.openxmlformats.org/officeDocument/2006/relationships/chart" Target="../charts/chart158.xml"/><Relationship Id="rId3" Type="http://schemas.openxmlformats.org/officeDocument/2006/relationships/chart" Target="../charts/chart148.xml"/><Relationship Id="rId7" Type="http://schemas.openxmlformats.org/officeDocument/2006/relationships/chart" Target="../charts/chart152.xml"/><Relationship Id="rId12" Type="http://schemas.openxmlformats.org/officeDocument/2006/relationships/chart" Target="../charts/chart157.xml"/><Relationship Id="rId17" Type="http://schemas.openxmlformats.org/officeDocument/2006/relationships/chart" Target="../charts/chart162.xml"/><Relationship Id="rId2" Type="http://schemas.openxmlformats.org/officeDocument/2006/relationships/chart" Target="../charts/chart147.xml"/><Relationship Id="rId16" Type="http://schemas.openxmlformats.org/officeDocument/2006/relationships/chart" Target="../charts/chart161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11" Type="http://schemas.openxmlformats.org/officeDocument/2006/relationships/chart" Target="../charts/chart156.xml"/><Relationship Id="rId5" Type="http://schemas.openxmlformats.org/officeDocument/2006/relationships/chart" Target="../charts/chart150.xml"/><Relationship Id="rId15" Type="http://schemas.openxmlformats.org/officeDocument/2006/relationships/chart" Target="../charts/chart160.xml"/><Relationship Id="rId10" Type="http://schemas.openxmlformats.org/officeDocument/2006/relationships/chart" Target="../charts/chart155.xml"/><Relationship Id="rId4" Type="http://schemas.openxmlformats.org/officeDocument/2006/relationships/chart" Target="../charts/chart149.xml"/><Relationship Id="rId9" Type="http://schemas.openxmlformats.org/officeDocument/2006/relationships/chart" Target="../charts/chart154.xml"/><Relationship Id="rId14" Type="http://schemas.openxmlformats.org/officeDocument/2006/relationships/chart" Target="../charts/chart15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0.xml"/><Relationship Id="rId13" Type="http://schemas.openxmlformats.org/officeDocument/2006/relationships/chart" Target="../charts/chart175.xml"/><Relationship Id="rId18" Type="http://schemas.openxmlformats.org/officeDocument/2006/relationships/chart" Target="../charts/chart180.xml"/><Relationship Id="rId3" Type="http://schemas.openxmlformats.org/officeDocument/2006/relationships/chart" Target="../charts/chart165.xml"/><Relationship Id="rId7" Type="http://schemas.openxmlformats.org/officeDocument/2006/relationships/chart" Target="../charts/chart169.xml"/><Relationship Id="rId12" Type="http://schemas.openxmlformats.org/officeDocument/2006/relationships/chart" Target="../charts/chart174.xml"/><Relationship Id="rId17" Type="http://schemas.openxmlformats.org/officeDocument/2006/relationships/chart" Target="../charts/chart179.xml"/><Relationship Id="rId2" Type="http://schemas.openxmlformats.org/officeDocument/2006/relationships/chart" Target="../charts/chart164.xml"/><Relationship Id="rId16" Type="http://schemas.openxmlformats.org/officeDocument/2006/relationships/chart" Target="../charts/chart178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11" Type="http://schemas.openxmlformats.org/officeDocument/2006/relationships/chart" Target="../charts/chart173.xml"/><Relationship Id="rId5" Type="http://schemas.openxmlformats.org/officeDocument/2006/relationships/chart" Target="../charts/chart167.xml"/><Relationship Id="rId15" Type="http://schemas.openxmlformats.org/officeDocument/2006/relationships/chart" Target="../charts/chart177.xml"/><Relationship Id="rId10" Type="http://schemas.openxmlformats.org/officeDocument/2006/relationships/chart" Target="../charts/chart172.xml"/><Relationship Id="rId19" Type="http://schemas.openxmlformats.org/officeDocument/2006/relationships/chart" Target="../charts/chart181.xml"/><Relationship Id="rId4" Type="http://schemas.openxmlformats.org/officeDocument/2006/relationships/chart" Target="../charts/chart166.xml"/><Relationship Id="rId9" Type="http://schemas.openxmlformats.org/officeDocument/2006/relationships/chart" Target="../charts/chart171.xml"/><Relationship Id="rId14" Type="http://schemas.openxmlformats.org/officeDocument/2006/relationships/chart" Target="../charts/chart17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9.xml"/><Relationship Id="rId13" Type="http://schemas.openxmlformats.org/officeDocument/2006/relationships/chart" Target="../charts/chart194.xml"/><Relationship Id="rId18" Type="http://schemas.openxmlformats.org/officeDocument/2006/relationships/chart" Target="../charts/chart199.xml"/><Relationship Id="rId3" Type="http://schemas.openxmlformats.org/officeDocument/2006/relationships/chart" Target="../charts/chart184.xml"/><Relationship Id="rId21" Type="http://schemas.openxmlformats.org/officeDocument/2006/relationships/chart" Target="../charts/chart202.xml"/><Relationship Id="rId7" Type="http://schemas.openxmlformats.org/officeDocument/2006/relationships/chart" Target="../charts/chart188.xml"/><Relationship Id="rId12" Type="http://schemas.openxmlformats.org/officeDocument/2006/relationships/chart" Target="../charts/chart193.xml"/><Relationship Id="rId17" Type="http://schemas.openxmlformats.org/officeDocument/2006/relationships/chart" Target="../charts/chart198.xml"/><Relationship Id="rId2" Type="http://schemas.openxmlformats.org/officeDocument/2006/relationships/chart" Target="../charts/chart183.xml"/><Relationship Id="rId16" Type="http://schemas.openxmlformats.org/officeDocument/2006/relationships/chart" Target="../charts/chart197.xml"/><Relationship Id="rId20" Type="http://schemas.openxmlformats.org/officeDocument/2006/relationships/chart" Target="../charts/chart201.xml"/><Relationship Id="rId1" Type="http://schemas.openxmlformats.org/officeDocument/2006/relationships/chart" Target="../charts/chart182.xml"/><Relationship Id="rId6" Type="http://schemas.openxmlformats.org/officeDocument/2006/relationships/chart" Target="../charts/chart187.xml"/><Relationship Id="rId11" Type="http://schemas.openxmlformats.org/officeDocument/2006/relationships/chart" Target="../charts/chart192.xml"/><Relationship Id="rId5" Type="http://schemas.openxmlformats.org/officeDocument/2006/relationships/chart" Target="../charts/chart186.xml"/><Relationship Id="rId15" Type="http://schemas.openxmlformats.org/officeDocument/2006/relationships/chart" Target="../charts/chart196.xml"/><Relationship Id="rId10" Type="http://schemas.openxmlformats.org/officeDocument/2006/relationships/chart" Target="../charts/chart191.xml"/><Relationship Id="rId19" Type="http://schemas.openxmlformats.org/officeDocument/2006/relationships/chart" Target="../charts/chart200.xml"/><Relationship Id="rId4" Type="http://schemas.openxmlformats.org/officeDocument/2006/relationships/chart" Target="../charts/chart185.xml"/><Relationship Id="rId9" Type="http://schemas.openxmlformats.org/officeDocument/2006/relationships/chart" Target="../charts/chart190.xml"/><Relationship Id="rId14" Type="http://schemas.openxmlformats.org/officeDocument/2006/relationships/chart" Target="../charts/chart195.xml"/><Relationship Id="rId22" Type="http://schemas.openxmlformats.org/officeDocument/2006/relationships/chart" Target="../charts/chart20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13" Type="http://schemas.openxmlformats.org/officeDocument/2006/relationships/chart" Target="../charts/chart216.xml"/><Relationship Id="rId18" Type="http://schemas.openxmlformats.org/officeDocument/2006/relationships/chart" Target="../charts/chart221.xml"/><Relationship Id="rId3" Type="http://schemas.openxmlformats.org/officeDocument/2006/relationships/chart" Target="../charts/chart206.xml"/><Relationship Id="rId21" Type="http://schemas.openxmlformats.org/officeDocument/2006/relationships/chart" Target="../charts/chart224.xml"/><Relationship Id="rId7" Type="http://schemas.openxmlformats.org/officeDocument/2006/relationships/chart" Target="../charts/chart210.xml"/><Relationship Id="rId12" Type="http://schemas.openxmlformats.org/officeDocument/2006/relationships/chart" Target="../charts/chart215.xml"/><Relationship Id="rId17" Type="http://schemas.openxmlformats.org/officeDocument/2006/relationships/chart" Target="../charts/chart220.xml"/><Relationship Id="rId2" Type="http://schemas.openxmlformats.org/officeDocument/2006/relationships/chart" Target="../charts/chart205.xml"/><Relationship Id="rId16" Type="http://schemas.openxmlformats.org/officeDocument/2006/relationships/chart" Target="../charts/chart219.xml"/><Relationship Id="rId20" Type="http://schemas.openxmlformats.org/officeDocument/2006/relationships/chart" Target="../charts/chart223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11" Type="http://schemas.openxmlformats.org/officeDocument/2006/relationships/chart" Target="../charts/chart214.xml"/><Relationship Id="rId5" Type="http://schemas.openxmlformats.org/officeDocument/2006/relationships/chart" Target="../charts/chart208.xml"/><Relationship Id="rId15" Type="http://schemas.openxmlformats.org/officeDocument/2006/relationships/chart" Target="../charts/chart218.xml"/><Relationship Id="rId10" Type="http://schemas.openxmlformats.org/officeDocument/2006/relationships/chart" Target="../charts/chart213.xml"/><Relationship Id="rId19" Type="http://schemas.openxmlformats.org/officeDocument/2006/relationships/chart" Target="../charts/chart222.xml"/><Relationship Id="rId4" Type="http://schemas.openxmlformats.org/officeDocument/2006/relationships/chart" Target="../charts/chart207.xml"/><Relationship Id="rId9" Type="http://schemas.openxmlformats.org/officeDocument/2006/relationships/chart" Target="../charts/chart212.xml"/><Relationship Id="rId14" Type="http://schemas.openxmlformats.org/officeDocument/2006/relationships/chart" Target="../charts/chart217.xml"/><Relationship Id="rId22" Type="http://schemas.openxmlformats.org/officeDocument/2006/relationships/chart" Target="../charts/chart22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13" Type="http://schemas.openxmlformats.org/officeDocument/2006/relationships/chart" Target="../charts/chart62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Relationship Id="rId14" Type="http://schemas.openxmlformats.org/officeDocument/2006/relationships/chart" Target="../charts/chart6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10" Type="http://schemas.openxmlformats.org/officeDocument/2006/relationships/chart" Target="../charts/chart105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2" Type="http://schemas.openxmlformats.org/officeDocument/2006/relationships/chart" Target="../charts/chart131.xml"/><Relationship Id="rId16" Type="http://schemas.openxmlformats.org/officeDocument/2006/relationships/chart" Target="../charts/chart145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5" Type="http://schemas.openxmlformats.org/officeDocument/2006/relationships/chart" Target="../charts/chart144.xml"/><Relationship Id="rId10" Type="http://schemas.openxmlformats.org/officeDocument/2006/relationships/chart" Target="../charts/chart139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Relationship Id="rId14" Type="http://schemas.openxmlformats.org/officeDocument/2006/relationships/chart" Target="../charts/chart1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517072</xdr:colOff>
      <xdr:row>27</xdr:row>
      <xdr:rowOff>136080</xdr:rowOff>
    </xdr:from>
    <xdr:to>
      <xdr:col>4</xdr:col>
      <xdr:colOff>2081893</xdr:colOff>
      <xdr:row>44</xdr:row>
      <xdr:rowOff>13607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108857</xdr:colOff>
      <xdr:row>27</xdr:row>
      <xdr:rowOff>136080</xdr:rowOff>
    </xdr:from>
    <xdr:to>
      <xdr:col>7</xdr:col>
      <xdr:colOff>408214</xdr:colOff>
      <xdr:row>43</xdr:row>
      <xdr:rowOff>163285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802820</xdr:colOff>
      <xdr:row>27</xdr:row>
      <xdr:rowOff>149687</xdr:rowOff>
    </xdr:from>
    <xdr:to>
      <xdr:col>10</xdr:col>
      <xdr:colOff>911679</xdr:colOff>
      <xdr:row>43</xdr:row>
      <xdr:rowOff>149679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136071</xdr:colOff>
      <xdr:row>46</xdr:row>
      <xdr:rowOff>10</xdr:rowOff>
    </xdr:from>
    <xdr:to>
      <xdr:col>7</xdr:col>
      <xdr:colOff>435427</xdr:colOff>
      <xdr:row>63</xdr:row>
      <xdr:rowOff>136072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816429</xdr:colOff>
      <xdr:row>45</xdr:row>
      <xdr:rowOff>176893</xdr:rowOff>
    </xdr:from>
    <xdr:to>
      <xdr:col>10</xdr:col>
      <xdr:colOff>938893</xdr:colOff>
      <xdr:row>63</xdr:row>
      <xdr:rowOff>122455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1524000</xdr:colOff>
      <xdr:row>46</xdr:row>
      <xdr:rowOff>40830</xdr:rowOff>
    </xdr:from>
    <xdr:to>
      <xdr:col>14</xdr:col>
      <xdr:colOff>381000</xdr:colOff>
      <xdr:row>63</xdr:row>
      <xdr:rowOff>95249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816428</xdr:colOff>
      <xdr:row>46</xdr:row>
      <xdr:rowOff>68045</xdr:rowOff>
    </xdr:from>
    <xdr:to>
      <xdr:col>17</xdr:col>
      <xdr:colOff>1102178</xdr:colOff>
      <xdr:row>63</xdr:row>
      <xdr:rowOff>54429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535781</xdr:colOff>
      <xdr:row>66</xdr:row>
      <xdr:rowOff>11906</xdr:rowOff>
    </xdr:from>
    <xdr:to>
      <xdr:col>4</xdr:col>
      <xdr:colOff>1952625</xdr:colOff>
      <xdr:row>82</xdr:row>
      <xdr:rowOff>188790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107156</xdr:colOff>
      <xdr:row>66</xdr:row>
      <xdr:rowOff>11907</xdr:rowOff>
    </xdr:from>
    <xdr:to>
      <xdr:col>7</xdr:col>
      <xdr:colOff>392906</xdr:colOff>
      <xdr:row>82</xdr:row>
      <xdr:rowOff>188791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881062</xdr:colOff>
      <xdr:row>66</xdr:row>
      <xdr:rowOff>71446</xdr:rowOff>
    </xdr:from>
    <xdr:to>
      <xdr:col>10</xdr:col>
      <xdr:colOff>988218</xdr:colOff>
      <xdr:row>83</xdr:row>
      <xdr:rowOff>11906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23813</xdr:colOff>
      <xdr:row>66</xdr:row>
      <xdr:rowOff>59532</xdr:rowOff>
    </xdr:from>
    <xdr:to>
      <xdr:col>14</xdr:col>
      <xdr:colOff>738188</xdr:colOff>
      <xdr:row>82</xdr:row>
      <xdr:rowOff>190492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28</xdr:row>
      <xdr:rowOff>0</xdr:rowOff>
    </xdr:from>
    <xdr:to>
      <xdr:col>14</xdr:col>
      <xdr:colOff>127000</xdr:colOff>
      <xdr:row>42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DB250A6-1FBA-43E0-945D-15F0AC4A8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777875</xdr:colOff>
      <xdr:row>28</xdr:row>
      <xdr:rowOff>0</xdr:rowOff>
    </xdr:from>
    <xdr:to>
      <xdr:col>17</xdr:col>
      <xdr:colOff>746125</xdr:colOff>
      <xdr:row>42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70F332D-60E7-4529-AD39-2D8D01CFB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4</xdr:col>
      <xdr:colOff>1889125</xdr:colOff>
      <xdr:row>60</xdr:row>
      <xdr:rowOff>76200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BDCE41C5-C1DD-4D32-A9AF-535D3EF16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680357</xdr:colOff>
      <xdr:row>24</xdr:row>
      <xdr:rowOff>13607</xdr:rowOff>
    </xdr:from>
    <xdr:to>
      <xdr:col>4</xdr:col>
      <xdr:colOff>1224643</xdr:colOff>
      <xdr:row>38</xdr:row>
      <xdr:rowOff>89807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99D817-D2F4-4563-A3FD-59CC38415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24</xdr:row>
      <xdr:rowOff>0</xdr:rowOff>
    </xdr:from>
    <xdr:to>
      <xdr:col>7</xdr:col>
      <xdr:colOff>898071</xdr:colOff>
      <xdr:row>38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637A5C9-8D72-4FA0-8441-6E7F5946A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24</xdr:row>
      <xdr:rowOff>0</xdr:rowOff>
    </xdr:from>
    <xdr:to>
      <xdr:col>10</xdr:col>
      <xdr:colOff>1496786</xdr:colOff>
      <xdr:row>38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DEFFB0-63B4-48AC-97B3-3B680200A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24</xdr:row>
      <xdr:rowOff>0</xdr:rowOff>
    </xdr:from>
    <xdr:to>
      <xdr:col>15</xdr:col>
      <xdr:colOff>108857</xdr:colOff>
      <xdr:row>38</xdr:row>
      <xdr:rowOff>76200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D545B48-BB68-4D42-A1F5-E15192B27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13607</xdr:colOff>
      <xdr:row>41</xdr:row>
      <xdr:rowOff>13607</xdr:rowOff>
    </xdr:from>
    <xdr:to>
      <xdr:col>15</xdr:col>
      <xdr:colOff>122464</xdr:colOff>
      <xdr:row>55</xdr:row>
      <xdr:rowOff>89807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9667850-DE54-4549-8B2B-65700721A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4</xdr:col>
      <xdr:colOff>1306286</xdr:colOff>
      <xdr:row>72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3788A5-60F8-4E02-90B3-5BE73BFA6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58</xdr:row>
      <xdr:rowOff>0</xdr:rowOff>
    </xdr:from>
    <xdr:to>
      <xdr:col>7</xdr:col>
      <xdr:colOff>898071</xdr:colOff>
      <xdr:row>72</xdr:row>
      <xdr:rowOff>76200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7A40B00C-C690-488A-BED3-6E49A94A5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4</xdr:col>
      <xdr:colOff>1306286</xdr:colOff>
      <xdr:row>89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60BEDAF2-1AA7-46DC-8ED6-07263B69E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75</xdr:row>
      <xdr:rowOff>0</xdr:rowOff>
    </xdr:from>
    <xdr:to>
      <xdr:col>7</xdr:col>
      <xdr:colOff>898071</xdr:colOff>
      <xdr:row>89</xdr:row>
      <xdr:rowOff>76200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0A42994-2818-4AA3-86EA-8793A88F4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75</xdr:row>
      <xdr:rowOff>0</xdr:rowOff>
    </xdr:from>
    <xdr:to>
      <xdr:col>10</xdr:col>
      <xdr:colOff>1496786</xdr:colOff>
      <xdr:row>89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CC118763-9573-485A-8AE4-035EEAB92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75</xdr:row>
      <xdr:rowOff>0</xdr:rowOff>
    </xdr:from>
    <xdr:to>
      <xdr:col>15</xdr:col>
      <xdr:colOff>108857</xdr:colOff>
      <xdr:row>89</xdr:row>
      <xdr:rowOff>76200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5659096-9D50-4F65-8713-9CE93250C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4</xdr:col>
      <xdr:colOff>1299882</xdr:colOff>
      <xdr:row>54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B07FF3E-A1BA-48C9-A2AE-E718270AF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7</xdr:col>
      <xdr:colOff>907676</xdr:colOff>
      <xdr:row>54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EBFACB-8EA0-4E81-A9E7-D62673AAE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40</xdr:row>
      <xdr:rowOff>0</xdr:rowOff>
    </xdr:from>
    <xdr:to>
      <xdr:col>10</xdr:col>
      <xdr:colOff>1501588</xdr:colOff>
      <xdr:row>54</xdr:row>
      <xdr:rowOff>76200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A5A5B27-2F08-4319-B1F4-4D790DFF6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10</xdr:col>
      <xdr:colOff>1501588</xdr:colOff>
      <xdr:row>72</xdr:row>
      <xdr:rowOff>76200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1DA5098-3CB4-465E-8B61-AEE811BE9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0</xdr:colOff>
      <xdr:row>58</xdr:row>
      <xdr:rowOff>0</xdr:rowOff>
    </xdr:from>
    <xdr:to>
      <xdr:col>15</xdr:col>
      <xdr:colOff>108857</xdr:colOff>
      <xdr:row>72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FDCC822-474B-467C-9F78-B4E696C03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4</xdr:col>
      <xdr:colOff>1789906</xdr:colOff>
      <xdr:row>106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CA7361B-D6FC-4820-9783-11B8A89DA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4</xdr:col>
      <xdr:colOff>1291167</xdr:colOff>
      <xdr:row>38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C1F3109-AAEB-40F3-8E3C-02A29AA01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24</xdr:row>
      <xdr:rowOff>0</xdr:rowOff>
    </xdr:from>
    <xdr:to>
      <xdr:col>7</xdr:col>
      <xdr:colOff>804333</xdr:colOff>
      <xdr:row>38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BD5710D-F99E-41ED-9490-E0608718E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24</xdr:row>
      <xdr:rowOff>0</xdr:rowOff>
    </xdr:from>
    <xdr:to>
      <xdr:col>10</xdr:col>
      <xdr:colOff>1502833</xdr:colOff>
      <xdr:row>38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A6BA992-13EE-4585-A76C-F4475D7D9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690562</xdr:colOff>
      <xdr:row>23</xdr:row>
      <xdr:rowOff>142875</xdr:rowOff>
    </xdr:from>
    <xdr:to>
      <xdr:col>14</xdr:col>
      <xdr:colOff>1262062</xdr:colOff>
      <xdr:row>38</xdr:row>
      <xdr:rowOff>28575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0A64F71-78C9-4227-A8EB-AC8E85E46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666750</xdr:colOff>
      <xdr:row>40</xdr:row>
      <xdr:rowOff>0</xdr:rowOff>
    </xdr:from>
    <xdr:to>
      <xdr:col>14</xdr:col>
      <xdr:colOff>1238250</xdr:colOff>
      <xdr:row>54</xdr:row>
      <xdr:rowOff>76200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E05689B-7786-4E65-A10D-801B317C8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57</xdr:row>
      <xdr:rowOff>0</xdr:rowOff>
    </xdr:from>
    <xdr:to>
      <xdr:col>4</xdr:col>
      <xdr:colOff>1285875</xdr:colOff>
      <xdr:row>71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074CC95-9BA3-4992-8010-2EC7DF19F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57</xdr:row>
      <xdr:rowOff>0</xdr:rowOff>
    </xdr:from>
    <xdr:to>
      <xdr:col>7</xdr:col>
      <xdr:colOff>809625</xdr:colOff>
      <xdr:row>71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52321DD-64DE-4321-BA20-A19A57958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4</xdr:col>
      <xdr:colOff>1285875</xdr:colOff>
      <xdr:row>88</xdr:row>
      <xdr:rowOff>76200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470B01C-21A8-48B6-BCA6-B20927C77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74</xdr:row>
      <xdr:rowOff>0</xdr:rowOff>
    </xdr:from>
    <xdr:to>
      <xdr:col>7</xdr:col>
      <xdr:colOff>809625</xdr:colOff>
      <xdr:row>88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CABDCBF-D149-41EC-9EE1-B3D15A30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74</xdr:row>
      <xdr:rowOff>0</xdr:rowOff>
    </xdr:from>
    <xdr:to>
      <xdr:col>10</xdr:col>
      <xdr:colOff>1500188</xdr:colOff>
      <xdr:row>88</xdr:row>
      <xdr:rowOff>76200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CE05997E-83E4-4F84-9C61-B623FF70A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690562</xdr:colOff>
      <xdr:row>73</xdr:row>
      <xdr:rowOff>154781</xdr:rowOff>
    </xdr:from>
    <xdr:to>
      <xdr:col>14</xdr:col>
      <xdr:colOff>1262062</xdr:colOff>
      <xdr:row>88</xdr:row>
      <xdr:rowOff>40481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50378ED-DA96-4AF6-9F39-FCA15225B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91</xdr:row>
      <xdr:rowOff>0</xdr:rowOff>
    </xdr:from>
    <xdr:to>
      <xdr:col>4</xdr:col>
      <xdr:colOff>1285875</xdr:colOff>
      <xdr:row>105</xdr:row>
      <xdr:rowOff>76200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FA1D803B-ABF0-4FC6-B0D1-A6C392E59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91</xdr:row>
      <xdr:rowOff>0</xdr:rowOff>
    </xdr:from>
    <xdr:to>
      <xdr:col>7</xdr:col>
      <xdr:colOff>809625</xdr:colOff>
      <xdr:row>105</xdr:row>
      <xdr:rowOff>76200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4A87B68D-8B23-451C-8E7D-A366CD3E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4</xdr:col>
      <xdr:colOff>1291167</xdr:colOff>
      <xdr:row>54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41AC48-2E47-4D67-86E6-55CE0E303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2190751</xdr:colOff>
      <xdr:row>40</xdr:row>
      <xdr:rowOff>23813</xdr:rowOff>
    </xdr:from>
    <xdr:to>
      <xdr:col>7</xdr:col>
      <xdr:colOff>785813</xdr:colOff>
      <xdr:row>54</xdr:row>
      <xdr:rowOff>100013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75AAF0C-D503-41EA-9260-92B224AE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1476375</xdr:colOff>
      <xdr:row>39</xdr:row>
      <xdr:rowOff>178594</xdr:rowOff>
    </xdr:from>
    <xdr:to>
      <xdr:col>10</xdr:col>
      <xdr:colOff>1440657</xdr:colOff>
      <xdr:row>54</xdr:row>
      <xdr:rowOff>64294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1F734E7-7B89-45E9-B499-CE0801A85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57</xdr:row>
      <xdr:rowOff>0</xdr:rowOff>
    </xdr:from>
    <xdr:to>
      <xdr:col>10</xdr:col>
      <xdr:colOff>1500188</xdr:colOff>
      <xdr:row>71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5025F71-874F-4A9A-AEA6-98F56779D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595312</xdr:colOff>
      <xdr:row>57</xdr:row>
      <xdr:rowOff>47625</xdr:rowOff>
    </xdr:from>
    <xdr:to>
      <xdr:col>14</xdr:col>
      <xdr:colOff>1166812</xdr:colOff>
      <xdr:row>71</xdr:row>
      <xdr:rowOff>123825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CEB214D2-C589-4E32-BB7F-5D2EDF9EB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91</xdr:row>
      <xdr:rowOff>0</xdr:rowOff>
    </xdr:from>
    <xdr:to>
      <xdr:col>11</xdr:col>
      <xdr:colOff>440531</xdr:colOff>
      <xdr:row>105</xdr:row>
      <xdr:rowOff>76200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9CBFA78-9214-49C5-B2AD-F15C4B75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18</xdr:row>
      <xdr:rowOff>9525</xdr:rowOff>
    </xdr:from>
    <xdr:to>
      <xdr:col>6</xdr:col>
      <xdr:colOff>295275</xdr:colOff>
      <xdr:row>32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18</xdr:row>
      <xdr:rowOff>9525</xdr:rowOff>
    </xdr:from>
    <xdr:to>
      <xdr:col>12</xdr:col>
      <xdr:colOff>533400</xdr:colOff>
      <xdr:row>32</xdr:row>
      <xdr:rowOff>85725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247650</xdr:colOff>
      <xdr:row>18</xdr:row>
      <xdr:rowOff>0</xdr:rowOff>
    </xdr:from>
    <xdr:to>
      <xdr:col>18</xdr:col>
      <xdr:colOff>723900</xdr:colOff>
      <xdr:row>32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47625</xdr:colOff>
      <xdr:row>34</xdr:row>
      <xdr:rowOff>76200</xdr:rowOff>
    </xdr:from>
    <xdr:to>
      <xdr:col>6</xdr:col>
      <xdr:colOff>333375</xdr:colOff>
      <xdr:row>48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50</xdr:row>
      <xdr:rowOff>0</xdr:rowOff>
    </xdr:from>
    <xdr:to>
      <xdr:col>12</xdr:col>
      <xdr:colOff>523875</xdr:colOff>
      <xdr:row>64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219075</xdr:colOff>
      <xdr:row>50</xdr:row>
      <xdr:rowOff>9525</xdr:rowOff>
    </xdr:from>
    <xdr:to>
      <xdr:col>18</xdr:col>
      <xdr:colOff>695325</xdr:colOff>
      <xdr:row>64</xdr:row>
      <xdr:rowOff>85725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6</xdr:col>
      <xdr:colOff>285750</xdr:colOff>
      <xdr:row>80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82</xdr:row>
      <xdr:rowOff>0</xdr:rowOff>
    </xdr:from>
    <xdr:to>
      <xdr:col>6</xdr:col>
      <xdr:colOff>285750</xdr:colOff>
      <xdr:row>96</xdr:row>
      <xdr:rowOff>76200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C0C8E81-87D3-4651-A26B-4507E93A3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82</xdr:row>
      <xdr:rowOff>0</xdr:rowOff>
    </xdr:from>
    <xdr:to>
      <xdr:col>12</xdr:col>
      <xdr:colOff>523875</xdr:colOff>
      <xdr:row>96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3649453-08DC-4876-ACAE-CED92360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242359</xdr:colOff>
      <xdr:row>82</xdr:row>
      <xdr:rowOff>2116</xdr:rowOff>
    </xdr:from>
    <xdr:to>
      <xdr:col>18</xdr:col>
      <xdr:colOff>718609</xdr:colOff>
      <xdr:row>96</xdr:row>
      <xdr:rowOff>78316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04D562F-C84B-4943-A7E8-D45D0FC2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6</xdr:col>
      <xdr:colOff>285750</xdr:colOff>
      <xdr:row>112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2A8F9D3-56CF-41B3-8B06-65E115A6C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98</xdr:row>
      <xdr:rowOff>0</xdr:rowOff>
    </xdr:from>
    <xdr:to>
      <xdr:col>12</xdr:col>
      <xdr:colOff>523875</xdr:colOff>
      <xdr:row>112</xdr:row>
      <xdr:rowOff>76200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F2561B00-7A79-4DD3-AB07-9127CFF74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161925</xdr:colOff>
      <xdr:row>98</xdr:row>
      <xdr:rowOff>9525</xdr:rowOff>
    </xdr:from>
    <xdr:to>
      <xdr:col>18</xdr:col>
      <xdr:colOff>638175</xdr:colOff>
      <xdr:row>112</xdr:row>
      <xdr:rowOff>85725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5704ECA-2B28-46B7-8CB5-7D08370BE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6</xdr:col>
      <xdr:colOff>285750</xdr:colOff>
      <xdr:row>128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F24EB91-BFD6-4B28-A92D-8A8AC50DE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34</xdr:row>
      <xdr:rowOff>0</xdr:rowOff>
    </xdr:from>
    <xdr:to>
      <xdr:col>12</xdr:col>
      <xdr:colOff>526676</xdr:colOff>
      <xdr:row>48</xdr:row>
      <xdr:rowOff>76200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37DEE34-5CF4-4009-9BC4-4CB636B4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257736</xdr:colOff>
      <xdr:row>33</xdr:row>
      <xdr:rowOff>168089</xdr:rowOff>
    </xdr:from>
    <xdr:to>
      <xdr:col>18</xdr:col>
      <xdr:colOff>728383</xdr:colOff>
      <xdr:row>48</xdr:row>
      <xdr:rowOff>53789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FCEA78A-1B93-4422-BD4B-0AB3B4404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313765</xdr:colOff>
      <xdr:row>49</xdr:row>
      <xdr:rowOff>179294</xdr:rowOff>
    </xdr:from>
    <xdr:to>
      <xdr:col>5</xdr:col>
      <xdr:colOff>717177</xdr:colOff>
      <xdr:row>64</xdr:row>
      <xdr:rowOff>64994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E2C4364F-1559-4C50-A127-3E96FA47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313764</xdr:colOff>
      <xdr:row>66</xdr:row>
      <xdr:rowOff>0</xdr:rowOff>
    </xdr:from>
    <xdr:to>
      <xdr:col>19</xdr:col>
      <xdr:colOff>22411</xdr:colOff>
      <xdr:row>80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B4811DC-06CF-464C-ABFF-E5385369F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112059</xdr:colOff>
      <xdr:row>66</xdr:row>
      <xdr:rowOff>22412</xdr:rowOff>
    </xdr:from>
    <xdr:to>
      <xdr:col>12</xdr:col>
      <xdr:colOff>638735</xdr:colOff>
      <xdr:row>80</xdr:row>
      <xdr:rowOff>98612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5559CE6-5636-4DA7-9AE1-8A8D42BF8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114</xdr:row>
      <xdr:rowOff>0</xdr:rowOff>
    </xdr:from>
    <xdr:to>
      <xdr:col>12</xdr:col>
      <xdr:colOff>523875</xdr:colOff>
      <xdr:row>128</xdr:row>
      <xdr:rowOff>76200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B8E204F8-3CC1-4418-9669-C2B1CBC70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190500</xdr:colOff>
      <xdr:row>114</xdr:row>
      <xdr:rowOff>23812</xdr:rowOff>
    </xdr:from>
    <xdr:to>
      <xdr:col>18</xdr:col>
      <xdr:colOff>666750</xdr:colOff>
      <xdr:row>128</xdr:row>
      <xdr:rowOff>100012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ABF7C90-FE12-4A8F-9EE5-C7262189E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20</xdr:col>
      <xdr:colOff>0</xdr:colOff>
      <xdr:row>18</xdr:row>
      <xdr:rowOff>0</xdr:rowOff>
    </xdr:from>
    <xdr:to>
      <xdr:col>26</xdr:col>
      <xdr:colOff>0</xdr:colOff>
      <xdr:row>32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B23E410-E93A-46D8-9E40-CA360DF0E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4</xdr:col>
      <xdr:colOff>381000</xdr:colOff>
      <xdr:row>25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59CE01-DA75-4557-878E-6B0FE6A04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29765</xdr:colOff>
      <xdr:row>11</xdr:row>
      <xdr:rowOff>3571</xdr:rowOff>
    </xdr:from>
    <xdr:to>
      <xdr:col>9</xdr:col>
      <xdr:colOff>1553765</xdr:colOff>
      <xdr:row>25</xdr:row>
      <xdr:rowOff>79771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B1BEB31-D182-C8BF-5662-4934047860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89296</xdr:colOff>
      <xdr:row>11</xdr:row>
      <xdr:rowOff>15477</xdr:rowOff>
    </xdr:from>
    <xdr:to>
      <xdr:col>14</xdr:col>
      <xdr:colOff>363140</xdr:colOff>
      <xdr:row>25</xdr:row>
      <xdr:rowOff>91677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83569E-3B77-47C6-A0ED-6D33ADD332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756046</xdr:colOff>
      <xdr:row>11</xdr:row>
      <xdr:rowOff>27383</xdr:rowOff>
    </xdr:from>
    <xdr:to>
      <xdr:col>18</xdr:col>
      <xdr:colOff>603250</xdr:colOff>
      <xdr:row>25</xdr:row>
      <xdr:rowOff>103583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74B9093-14DC-AE60-670F-75862F522A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744141</xdr:colOff>
      <xdr:row>26</xdr:row>
      <xdr:rowOff>39290</xdr:rowOff>
    </xdr:from>
    <xdr:to>
      <xdr:col>4</xdr:col>
      <xdr:colOff>363141</xdr:colOff>
      <xdr:row>40</xdr:row>
      <xdr:rowOff>115490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41B9D8B-D12A-F7C9-94DB-A241833072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26</xdr:row>
      <xdr:rowOff>83343</xdr:rowOff>
    </xdr:from>
    <xdr:to>
      <xdr:col>9</xdr:col>
      <xdr:colOff>1524000</xdr:colOff>
      <xdr:row>40</xdr:row>
      <xdr:rowOff>159543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5316F34-3606-4324-8391-A02A7A7B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178594</xdr:colOff>
      <xdr:row>26</xdr:row>
      <xdr:rowOff>95250</xdr:rowOff>
    </xdr:from>
    <xdr:to>
      <xdr:col>14</xdr:col>
      <xdr:colOff>452438</xdr:colOff>
      <xdr:row>40</xdr:row>
      <xdr:rowOff>171450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CAA014-26D8-46D5-A832-FB0E53F1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900906</xdr:colOff>
      <xdr:row>26</xdr:row>
      <xdr:rowOff>111125</xdr:rowOff>
    </xdr:from>
    <xdr:to>
      <xdr:col>18</xdr:col>
      <xdr:colOff>646906</xdr:colOff>
      <xdr:row>40</xdr:row>
      <xdr:rowOff>187325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0828EBA-0D3A-40BE-B494-D0AA239E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11906</xdr:colOff>
      <xdr:row>42</xdr:row>
      <xdr:rowOff>23813</xdr:rowOff>
    </xdr:from>
    <xdr:to>
      <xdr:col>4</xdr:col>
      <xdr:colOff>392906</xdr:colOff>
      <xdr:row>56</xdr:row>
      <xdr:rowOff>100013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0670953-1F3A-4FF1-BD64-13F3A1E45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42</xdr:row>
      <xdr:rowOff>0</xdr:rowOff>
    </xdr:from>
    <xdr:to>
      <xdr:col>9</xdr:col>
      <xdr:colOff>1524000</xdr:colOff>
      <xdr:row>56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DF884D2-D492-4539-9B5C-28FDFA44D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226219</xdr:colOff>
      <xdr:row>42</xdr:row>
      <xdr:rowOff>0</xdr:rowOff>
    </xdr:from>
    <xdr:to>
      <xdr:col>14</xdr:col>
      <xdr:colOff>500063</xdr:colOff>
      <xdr:row>56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0E6CBA6-6C15-4E6C-B4A4-5491A638B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928687</xdr:colOff>
      <xdr:row>41</xdr:row>
      <xdr:rowOff>186531</xdr:rowOff>
    </xdr:from>
    <xdr:to>
      <xdr:col>18</xdr:col>
      <xdr:colOff>674687</xdr:colOff>
      <xdr:row>56</xdr:row>
      <xdr:rowOff>72231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4A3F0BA-69A9-41A7-8E83-8A90C2642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4</xdr:col>
      <xdr:colOff>381000</xdr:colOff>
      <xdr:row>72</xdr:row>
      <xdr:rowOff>76200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047B844-D7E2-4FA4-824F-275F41128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58</xdr:row>
      <xdr:rowOff>0</xdr:rowOff>
    </xdr:from>
    <xdr:to>
      <xdr:col>9</xdr:col>
      <xdr:colOff>1524000</xdr:colOff>
      <xdr:row>72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715F906E-4DD9-4BDB-8F4E-A176F3660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226218</xdr:colOff>
      <xdr:row>57</xdr:row>
      <xdr:rowOff>166688</xdr:rowOff>
    </xdr:from>
    <xdr:to>
      <xdr:col>14</xdr:col>
      <xdr:colOff>500062</xdr:colOff>
      <xdr:row>72</xdr:row>
      <xdr:rowOff>52388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C93E169A-2AA2-4B92-879D-595FA6CA4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968375</xdr:colOff>
      <xdr:row>58</xdr:row>
      <xdr:rowOff>3969</xdr:rowOff>
    </xdr:from>
    <xdr:to>
      <xdr:col>18</xdr:col>
      <xdr:colOff>714375</xdr:colOff>
      <xdr:row>72</xdr:row>
      <xdr:rowOff>80169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8E450C8-4600-42DC-B454-8194B6E60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4</xdr:col>
      <xdr:colOff>381000</xdr:colOff>
      <xdr:row>88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063BD6C-0DFA-4B09-9610-0A4AAF5DB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190500</xdr:colOff>
      <xdr:row>74</xdr:row>
      <xdr:rowOff>0</xdr:rowOff>
    </xdr:from>
    <xdr:to>
      <xdr:col>14</xdr:col>
      <xdr:colOff>464344</xdr:colOff>
      <xdr:row>88</xdr:row>
      <xdr:rowOff>76200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F0053EA7-D353-4E0B-92B2-680F7CEB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984250</xdr:colOff>
      <xdr:row>74</xdr:row>
      <xdr:rowOff>19843</xdr:rowOff>
    </xdr:from>
    <xdr:to>
      <xdr:col>18</xdr:col>
      <xdr:colOff>730250</xdr:colOff>
      <xdr:row>88</xdr:row>
      <xdr:rowOff>96043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3B72AE71-23C4-4ED6-9645-9CFB6D9F2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90</xdr:row>
      <xdr:rowOff>0</xdr:rowOff>
    </xdr:from>
    <xdr:to>
      <xdr:col>4</xdr:col>
      <xdr:colOff>381000</xdr:colOff>
      <xdr:row>104</xdr:row>
      <xdr:rowOff>76200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9537DB87-BA0D-4001-A36C-B05ED335E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90</xdr:row>
      <xdr:rowOff>0</xdr:rowOff>
    </xdr:from>
    <xdr:to>
      <xdr:col>9</xdr:col>
      <xdr:colOff>1524000</xdr:colOff>
      <xdr:row>104</xdr:row>
      <xdr:rowOff>76200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0099809-6BFD-4857-AE00-AA2CFEEF9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119062</xdr:colOff>
      <xdr:row>73</xdr:row>
      <xdr:rowOff>142875</xdr:rowOff>
    </xdr:from>
    <xdr:to>
      <xdr:col>9</xdr:col>
      <xdr:colOff>1476375</xdr:colOff>
      <xdr:row>88</xdr:row>
      <xdr:rowOff>142874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C37A42-3D21-4593-8688-1492B7C78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408214</xdr:colOff>
      <xdr:row>27</xdr:row>
      <xdr:rowOff>27213</xdr:rowOff>
    </xdr:from>
    <xdr:to>
      <xdr:col>7</xdr:col>
      <xdr:colOff>1442357</xdr:colOff>
      <xdr:row>41</xdr:row>
      <xdr:rowOff>103413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52A22A9-9434-4CCA-B69F-DF69D21DC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27</xdr:row>
      <xdr:rowOff>0</xdr:rowOff>
    </xdr:from>
    <xdr:to>
      <xdr:col>4</xdr:col>
      <xdr:colOff>2068286</xdr:colOff>
      <xdr:row>41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5CF0ACD-0ABC-42DF-9F25-EE20202D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748393</xdr:colOff>
      <xdr:row>27</xdr:row>
      <xdr:rowOff>40821</xdr:rowOff>
    </xdr:from>
    <xdr:to>
      <xdr:col>11</xdr:col>
      <xdr:colOff>707572</xdr:colOff>
      <xdr:row>41</xdr:row>
      <xdr:rowOff>117021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2997E33-1F74-470A-B793-467B93E12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340178</xdr:colOff>
      <xdr:row>27</xdr:row>
      <xdr:rowOff>54429</xdr:rowOff>
    </xdr:from>
    <xdr:to>
      <xdr:col>15</xdr:col>
      <xdr:colOff>449035</xdr:colOff>
      <xdr:row>41</xdr:row>
      <xdr:rowOff>130629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9F31B8-554F-4592-B59B-A981A55BE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326571</xdr:colOff>
      <xdr:row>44</xdr:row>
      <xdr:rowOff>13607</xdr:rowOff>
    </xdr:from>
    <xdr:to>
      <xdr:col>15</xdr:col>
      <xdr:colOff>435428</xdr:colOff>
      <xdr:row>58</xdr:row>
      <xdr:rowOff>89807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25ED8FA-F518-4E42-902A-0962A3EBE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61</xdr:row>
      <xdr:rowOff>0</xdr:rowOff>
    </xdr:from>
    <xdr:to>
      <xdr:col>4</xdr:col>
      <xdr:colOff>2068286</xdr:colOff>
      <xdr:row>75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B821A4C-CC19-4685-B357-6AD4FF3C9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408214</xdr:colOff>
      <xdr:row>61</xdr:row>
      <xdr:rowOff>13607</xdr:rowOff>
    </xdr:from>
    <xdr:to>
      <xdr:col>7</xdr:col>
      <xdr:colOff>1442357</xdr:colOff>
      <xdr:row>75</xdr:row>
      <xdr:rowOff>89807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DE81029C-ACC6-44B3-9FA6-98D45F26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231321</xdr:colOff>
      <xdr:row>61</xdr:row>
      <xdr:rowOff>81642</xdr:rowOff>
    </xdr:from>
    <xdr:to>
      <xdr:col>15</xdr:col>
      <xdr:colOff>340178</xdr:colOff>
      <xdr:row>75</xdr:row>
      <xdr:rowOff>157842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D667A963-40D9-4B71-8A85-387812FB1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78</xdr:row>
      <xdr:rowOff>0</xdr:rowOff>
    </xdr:from>
    <xdr:to>
      <xdr:col>4</xdr:col>
      <xdr:colOff>2068286</xdr:colOff>
      <xdr:row>92</xdr:row>
      <xdr:rowOff>76200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EC81E2ED-0E18-4BC5-91E9-B596F3F03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462643</xdr:colOff>
      <xdr:row>78</xdr:row>
      <xdr:rowOff>27214</xdr:rowOff>
    </xdr:from>
    <xdr:to>
      <xdr:col>7</xdr:col>
      <xdr:colOff>1496786</xdr:colOff>
      <xdr:row>92</xdr:row>
      <xdr:rowOff>103414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D33D2136-8CBA-4833-BDE4-8F4D63F23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748393</xdr:colOff>
      <xdr:row>78</xdr:row>
      <xdr:rowOff>40821</xdr:rowOff>
    </xdr:from>
    <xdr:to>
      <xdr:col>11</xdr:col>
      <xdr:colOff>707572</xdr:colOff>
      <xdr:row>92</xdr:row>
      <xdr:rowOff>117021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4EA5197-1693-4060-A696-9E9E97791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176893</xdr:colOff>
      <xdr:row>78</xdr:row>
      <xdr:rowOff>13607</xdr:rowOff>
    </xdr:from>
    <xdr:to>
      <xdr:col>15</xdr:col>
      <xdr:colOff>285750</xdr:colOff>
      <xdr:row>92</xdr:row>
      <xdr:rowOff>89807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41C1EACE-9EEF-4153-A268-DA50AD390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95</xdr:row>
      <xdr:rowOff>0</xdr:rowOff>
    </xdr:from>
    <xdr:to>
      <xdr:col>4</xdr:col>
      <xdr:colOff>2068286</xdr:colOff>
      <xdr:row>109</xdr:row>
      <xdr:rowOff>76200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1C7F83D-0AB8-4947-9B01-F0490BF9B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408214</xdr:colOff>
      <xdr:row>95</xdr:row>
      <xdr:rowOff>27214</xdr:rowOff>
    </xdr:from>
    <xdr:to>
      <xdr:col>7</xdr:col>
      <xdr:colOff>1442357</xdr:colOff>
      <xdr:row>109</xdr:row>
      <xdr:rowOff>103414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A37F913A-E43B-4C8A-9CDB-71835B84F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544285</xdr:colOff>
      <xdr:row>95</xdr:row>
      <xdr:rowOff>27214</xdr:rowOff>
    </xdr:from>
    <xdr:to>
      <xdr:col>11</xdr:col>
      <xdr:colOff>503464</xdr:colOff>
      <xdr:row>109</xdr:row>
      <xdr:rowOff>103414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3ECB4A-BD6C-41E9-8CDC-EB59907F7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349250</xdr:colOff>
      <xdr:row>43</xdr:row>
      <xdr:rowOff>79375</xdr:rowOff>
    </xdr:from>
    <xdr:to>
      <xdr:col>4</xdr:col>
      <xdr:colOff>1952625</xdr:colOff>
      <xdr:row>57</xdr:row>
      <xdr:rowOff>155575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9E4642-CD99-4D05-B60F-0AEE364D5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1031875</xdr:colOff>
      <xdr:row>43</xdr:row>
      <xdr:rowOff>79375</xdr:rowOff>
    </xdr:from>
    <xdr:to>
      <xdr:col>7</xdr:col>
      <xdr:colOff>841375</xdr:colOff>
      <xdr:row>57</xdr:row>
      <xdr:rowOff>155575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025F662-6EDE-46FD-825D-553FE5533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682625</xdr:colOff>
      <xdr:row>43</xdr:row>
      <xdr:rowOff>95250</xdr:rowOff>
    </xdr:from>
    <xdr:to>
      <xdr:col>11</xdr:col>
      <xdr:colOff>635000</xdr:colOff>
      <xdr:row>57</xdr:row>
      <xdr:rowOff>171450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A6284C9-76D0-407A-B667-24E6F5ADB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777875</xdr:colOff>
      <xdr:row>60</xdr:row>
      <xdr:rowOff>174625</xdr:rowOff>
    </xdr:from>
    <xdr:to>
      <xdr:col>11</xdr:col>
      <xdr:colOff>730250</xdr:colOff>
      <xdr:row>75</xdr:row>
      <xdr:rowOff>60325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AA76864-04D3-4987-B638-5AE9283C9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597957</xdr:colOff>
      <xdr:row>22</xdr:row>
      <xdr:rowOff>148174</xdr:rowOff>
    </xdr:from>
    <xdr:to>
      <xdr:col>4</xdr:col>
      <xdr:colOff>1476374</xdr:colOff>
      <xdr:row>37</xdr:row>
      <xdr:rowOff>33874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1836208</xdr:colOff>
      <xdr:row>22</xdr:row>
      <xdr:rowOff>137590</xdr:rowOff>
    </xdr:from>
    <xdr:to>
      <xdr:col>7</xdr:col>
      <xdr:colOff>460374</xdr:colOff>
      <xdr:row>37</xdr:row>
      <xdr:rowOff>23290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957791</xdr:colOff>
      <xdr:row>22</xdr:row>
      <xdr:rowOff>169340</xdr:rowOff>
    </xdr:from>
    <xdr:to>
      <xdr:col>10</xdr:col>
      <xdr:colOff>926041</xdr:colOff>
      <xdr:row>37</xdr:row>
      <xdr:rowOff>55040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1434041</xdr:colOff>
      <xdr:row>22</xdr:row>
      <xdr:rowOff>148174</xdr:rowOff>
    </xdr:from>
    <xdr:to>
      <xdr:col>14</xdr:col>
      <xdr:colOff>470958</xdr:colOff>
      <xdr:row>37</xdr:row>
      <xdr:rowOff>33874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1455208</xdr:colOff>
      <xdr:row>40</xdr:row>
      <xdr:rowOff>10590</xdr:rowOff>
    </xdr:from>
    <xdr:to>
      <xdr:col>14</xdr:col>
      <xdr:colOff>492125</xdr:colOff>
      <xdr:row>54</xdr:row>
      <xdr:rowOff>86790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576790</xdr:colOff>
      <xdr:row>55</xdr:row>
      <xdr:rowOff>179924</xdr:rowOff>
    </xdr:from>
    <xdr:to>
      <xdr:col>4</xdr:col>
      <xdr:colOff>1455207</xdr:colOff>
      <xdr:row>70</xdr:row>
      <xdr:rowOff>65624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1836207</xdr:colOff>
      <xdr:row>55</xdr:row>
      <xdr:rowOff>179922</xdr:rowOff>
    </xdr:from>
    <xdr:to>
      <xdr:col>7</xdr:col>
      <xdr:colOff>460373</xdr:colOff>
      <xdr:row>70</xdr:row>
      <xdr:rowOff>65622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1486958</xdr:colOff>
      <xdr:row>56</xdr:row>
      <xdr:rowOff>42338</xdr:rowOff>
    </xdr:from>
    <xdr:to>
      <xdr:col>14</xdr:col>
      <xdr:colOff>523875</xdr:colOff>
      <xdr:row>70</xdr:row>
      <xdr:rowOff>118538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587374</xdr:colOff>
      <xdr:row>72</xdr:row>
      <xdr:rowOff>21174</xdr:rowOff>
    </xdr:from>
    <xdr:to>
      <xdr:col>4</xdr:col>
      <xdr:colOff>1465791</xdr:colOff>
      <xdr:row>86</xdr:row>
      <xdr:rowOff>97374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2000250</xdr:colOff>
      <xdr:row>72</xdr:row>
      <xdr:rowOff>21167</xdr:rowOff>
    </xdr:from>
    <xdr:to>
      <xdr:col>7</xdr:col>
      <xdr:colOff>624416</xdr:colOff>
      <xdr:row>86</xdr:row>
      <xdr:rowOff>97367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1143000</xdr:colOff>
      <xdr:row>72</xdr:row>
      <xdr:rowOff>21167</xdr:rowOff>
    </xdr:from>
    <xdr:to>
      <xdr:col>10</xdr:col>
      <xdr:colOff>1111250</xdr:colOff>
      <xdr:row>86</xdr:row>
      <xdr:rowOff>97367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72</xdr:row>
      <xdr:rowOff>0</xdr:rowOff>
    </xdr:from>
    <xdr:to>
      <xdr:col>14</xdr:col>
      <xdr:colOff>571500</xdr:colOff>
      <xdr:row>86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4</xdr:col>
      <xdr:colOff>1651000</xdr:colOff>
      <xdr:row>53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290828C-B497-4B09-B76D-4AC31D9B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1841500</xdr:colOff>
      <xdr:row>38</xdr:row>
      <xdr:rowOff>158750</xdr:rowOff>
    </xdr:from>
    <xdr:to>
      <xdr:col>7</xdr:col>
      <xdr:colOff>460375</xdr:colOff>
      <xdr:row>53</xdr:row>
      <xdr:rowOff>44450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E914F9E-31D4-47D4-846B-D4A947B92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1000125</xdr:colOff>
      <xdr:row>39</xdr:row>
      <xdr:rowOff>15875</xdr:rowOff>
    </xdr:from>
    <xdr:to>
      <xdr:col>10</xdr:col>
      <xdr:colOff>952500</xdr:colOff>
      <xdr:row>53</xdr:row>
      <xdr:rowOff>92075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1469CCF-A7FE-44B0-9FF1-72FE59745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1056410</xdr:colOff>
      <xdr:row>55</xdr:row>
      <xdr:rowOff>121227</xdr:rowOff>
    </xdr:from>
    <xdr:to>
      <xdr:col>10</xdr:col>
      <xdr:colOff>1004455</xdr:colOff>
      <xdr:row>70</xdr:row>
      <xdr:rowOff>6927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0F60C0-E2E9-4C61-A8E4-B92A35A38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375046</xdr:colOff>
      <xdr:row>26</xdr:row>
      <xdr:rowOff>23821</xdr:rowOff>
    </xdr:from>
    <xdr:to>
      <xdr:col>4</xdr:col>
      <xdr:colOff>1256108</xdr:colOff>
      <xdr:row>40</xdr:row>
      <xdr:rowOff>100021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1756171</xdr:colOff>
      <xdr:row>26</xdr:row>
      <xdr:rowOff>83352</xdr:rowOff>
    </xdr:from>
    <xdr:to>
      <xdr:col>7</xdr:col>
      <xdr:colOff>291703</xdr:colOff>
      <xdr:row>40</xdr:row>
      <xdr:rowOff>159552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744140</xdr:colOff>
      <xdr:row>26</xdr:row>
      <xdr:rowOff>95257</xdr:rowOff>
    </xdr:from>
    <xdr:to>
      <xdr:col>10</xdr:col>
      <xdr:colOff>708421</xdr:colOff>
      <xdr:row>40</xdr:row>
      <xdr:rowOff>171457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815578</xdr:colOff>
      <xdr:row>42</xdr:row>
      <xdr:rowOff>83351</xdr:rowOff>
    </xdr:from>
    <xdr:to>
      <xdr:col>10</xdr:col>
      <xdr:colOff>779859</xdr:colOff>
      <xdr:row>56</xdr:row>
      <xdr:rowOff>159551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1113233</xdr:colOff>
      <xdr:row>42</xdr:row>
      <xdr:rowOff>83352</xdr:rowOff>
    </xdr:from>
    <xdr:to>
      <xdr:col>14</xdr:col>
      <xdr:colOff>148827</xdr:colOff>
      <xdr:row>56</xdr:row>
      <xdr:rowOff>159552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345281</xdr:colOff>
      <xdr:row>58</xdr:row>
      <xdr:rowOff>59532</xdr:rowOff>
    </xdr:from>
    <xdr:to>
      <xdr:col>4</xdr:col>
      <xdr:colOff>1226343</xdr:colOff>
      <xdr:row>72</xdr:row>
      <xdr:rowOff>135732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827485</xdr:colOff>
      <xdr:row>58</xdr:row>
      <xdr:rowOff>154791</xdr:rowOff>
    </xdr:from>
    <xdr:to>
      <xdr:col>10</xdr:col>
      <xdr:colOff>791766</xdr:colOff>
      <xdr:row>73</xdr:row>
      <xdr:rowOff>40491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1273968</xdr:colOff>
      <xdr:row>59</xdr:row>
      <xdr:rowOff>0</xdr:rowOff>
    </xdr:from>
    <xdr:to>
      <xdr:col>14</xdr:col>
      <xdr:colOff>309562</xdr:colOff>
      <xdr:row>73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321469</xdr:colOff>
      <xdr:row>74</xdr:row>
      <xdr:rowOff>142875</xdr:rowOff>
    </xdr:from>
    <xdr:to>
      <xdr:col>4</xdr:col>
      <xdr:colOff>1202531</xdr:colOff>
      <xdr:row>89</xdr:row>
      <xdr:rowOff>28575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1809749</xdr:colOff>
      <xdr:row>75</xdr:row>
      <xdr:rowOff>0</xdr:rowOff>
    </xdr:from>
    <xdr:to>
      <xdr:col>7</xdr:col>
      <xdr:colOff>345281</xdr:colOff>
      <xdr:row>89</xdr:row>
      <xdr:rowOff>76200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313765</xdr:colOff>
      <xdr:row>42</xdr:row>
      <xdr:rowOff>22412</xdr:rowOff>
    </xdr:from>
    <xdr:to>
      <xdr:col>4</xdr:col>
      <xdr:colOff>1199030</xdr:colOff>
      <xdr:row>56</xdr:row>
      <xdr:rowOff>98612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E5B71D0-44BE-4EA7-BCA2-022669B99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1714500</xdr:colOff>
      <xdr:row>42</xdr:row>
      <xdr:rowOff>89647</xdr:rowOff>
    </xdr:from>
    <xdr:to>
      <xdr:col>7</xdr:col>
      <xdr:colOff>257735</xdr:colOff>
      <xdr:row>56</xdr:row>
      <xdr:rowOff>165847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6027436-D13B-4FB1-979D-62AF816AB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1815353</xdr:colOff>
      <xdr:row>58</xdr:row>
      <xdr:rowOff>33618</xdr:rowOff>
    </xdr:from>
    <xdr:to>
      <xdr:col>7</xdr:col>
      <xdr:colOff>358588</xdr:colOff>
      <xdr:row>72</xdr:row>
      <xdr:rowOff>109818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8121FD8B-40F1-47E8-B695-9365A83FD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1016000</xdr:colOff>
      <xdr:row>26</xdr:row>
      <xdr:rowOff>142875</xdr:rowOff>
    </xdr:from>
    <xdr:to>
      <xdr:col>14</xdr:col>
      <xdr:colOff>47625</xdr:colOff>
      <xdr:row>41</xdr:row>
      <xdr:rowOff>28575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61F6C5-4388-479C-B0EB-93B94EAB0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17858</xdr:colOff>
      <xdr:row>26</xdr:row>
      <xdr:rowOff>95259</xdr:rowOff>
    </xdr:from>
    <xdr:to>
      <xdr:col>4</xdr:col>
      <xdr:colOff>1613295</xdr:colOff>
      <xdr:row>40</xdr:row>
      <xdr:rowOff>171459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2000250</xdr:colOff>
      <xdr:row>26</xdr:row>
      <xdr:rowOff>142874</xdr:rowOff>
    </xdr:from>
    <xdr:to>
      <xdr:col>7</xdr:col>
      <xdr:colOff>285750</xdr:colOff>
      <xdr:row>41</xdr:row>
      <xdr:rowOff>28574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702469</xdr:colOff>
      <xdr:row>27</xdr:row>
      <xdr:rowOff>1</xdr:rowOff>
    </xdr:from>
    <xdr:to>
      <xdr:col>9</xdr:col>
      <xdr:colOff>1678782</xdr:colOff>
      <xdr:row>41</xdr:row>
      <xdr:rowOff>76201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1285875</xdr:colOff>
      <xdr:row>43</xdr:row>
      <xdr:rowOff>23813</xdr:rowOff>
    </xdr:from>
    <xdr:to>
      <xdr:col>10</xdr:col>
      <xdr:colOff>464344</xdr:colOff>
      <xdr:row>57</xdr:row>
      <xdr:rowOff>100013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1154907</xdr:colOff>
      <xdr:row>43</xdr:row>
      <xdr:rowOff>11907</xdr:rowOff>
    </xdr:from>
    <xdr:to>
      <xdr:col>13</xdr:col>
      <xdr:colOff>1714501</xdr:colOff>
      <xdr:row>57</xdr:row>
      <xdr:rowOff>88107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750095</xdr:colOff>
      <xdr:row>59</xdr:row>
      <xdr:rowOff>71437</xdr:rowOff>
    </xdr:from>
    <xdr:to>
      <xdr:col>4</xdr:col>
      <xdr:colOff>1583532</xdr:colOff>
      <xdr:row>73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1321593</xdr:colOff>
      <xdr:row>59</xdr:row>
      <xdr:rowOff>71438</xdr:rowOff>
    </xdr:from>
    <xdr:to>
      <xdr:col>10</xdr:col>
      <xdr:colOff>500062</xdr:colOff>
      <xdr:row>73</xdr:row>
      <xdr:rowOff>147638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1178719</xdr:colOff>
      <xdr:row>59</xdr:row>
      <xdr:rowOff>83343</xdr:rowOff>
    </xdr:from>
    <xdr:to>
      <xdr:col>13</xdr:col>
      <xdr:colOff>1738313</xdr:colOff>
      <xdr:row>73</xdr:row>
      <xdr:rowOff>159543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4</xdr:col>
      <xdr:colOff>1595437</xdr:colOff>
      <xdr:row>90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76</xdr:row>
      <xdr:rowOff>0</xdr:rowOff>
    </xdr:from>
    <xdr:to>
      <xdr:col>7</xdr:col>
      <xdr:colOff>690562</xdr:colOff>
      <xdr:row>90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76</xdr:row>
      <xdr:rowOff>0</xdr:rowOff>
    </xdr:from>
    <xdr:to>
      <xdr:col>10</xdr:col>
      <xdr:colOff>976312</xdr:colOff>
      <xdr:row>90</xdr:row>
      <xdr:rowOff>76200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1524000</xdr:colOff>
      <xdr:row>76</xdr:row>
      <xdr:rowOff>11907</xdr:rowOff>
    </xdr:from>
    <xdr:to>
      <xdr:col>14</xdr:col>
      <xdr:colOff>297656</xdr:colOff>
      <xdr:row>90</xdr:row>
      <xdr:rowOff>88107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412750</xdr:colOff>
      <xdr:row>27</xdr:row>
      <xdr:rowOff>0</xdr:rowOff>
    </xdr:from>
    <xdr:to>
      <xdr:col>13</xdr:col>
      <xdr:colOff>968375</xdr:colOff>
      <xdr:row>41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D77D0A-BAC7-4892-9773-C53AD8BC2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603250</xdr:colOff>
      <xdr:row>43</xdr:row>
      <xdr:rowOff>15875</xdr:rowOff>
    </xdr:from>
    <xdr:to>
      <xdr:col>4</xdr:col>
      <xdr:colOff>1460500</xdr:colOff>
      <xdr:row>57</xdr:row>
      <xdr:rowOff>92075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314643E-9544-41DF-8D17-A487446B9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2270125</xdr:colOff>
      <xdr:row>42</xdr:row>
      <xdr:rowOff>174625</xdr:rowOff>
    </xdr:from>
    <xdr:to>
      <xdr:col>7</xdr:col>
      <xdr:colOff>539750</xdr:colOff>
      <xdr:row>57</xdr:row>
      <xdr:rowOff>60325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6FE1248-5E4F-4F23-A01F-F76CB57FF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2254250</xdr:colOff>
      <xdr:row>59</xdr:row>
      <xdr:rowOff>15875</xdr:rowOff>
    </xdr:from>
    <xdr:to>
      <xdr:col>7</xdr:col>
      <xdr:colOff>523875</xdr:colOff>
      <xdr:row>73</xdr:row>
      <xdr:rowOff>92075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D739C7-9220-4BB7-80B5-4805793F4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214313</xdr:colOff>
      <xdr:row>26</xdr:row>
      <xdr:rowOff>142875</xdr:rowOff>
    </xdr:from>
    <xdr:to>
      <xdr:col>4</xdr:col>
      <xdr:colOff>1750219</xdr:colOff>
      <xdr:row>41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7</xdr:col>
      <xdr:colOff>797718</xdr:colOff>
      <xdr:row>41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1500188</xdr:colOff>
      <xdr:row>41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1524000</xdr:colOff>
      <xdr:row>42</xdr:row>
      <xdr:rowOff>166688</xdr:rowOff>
    </xdr:from>
    <xdr:to>
      <xdr:col>10</xdr:col>
      <xdr:colOff>1488282</xdr:colOff>
      <xdr:row>57</xdr:row>
      <xdr:rowOff>52388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428625</xdr:colOff>
      <xdr:row>43</xdr:row>
      <xdr:rowOff>0</xdr:rowOff>
    </xdr:from>
    <xdr:to>
      <xdr:col>14</xdr:col>
      <xdr:colOff>1000125</xdr:colOff>
      <xdr:row>57</xdr:row>
      <xdr:rowOff>76200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250032</xdr:colOff>
      <xdr:row>59</xdr:row>
      <xdr:rowOff>0</xdr:rowOff>
    </xdr:from>
    <xdr:to>
      <xdr:col>4</xdr:col>
      <xdr:colOff>1785938</xdr:colOff>
      <xdr:row>73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59</xdr:row>
      <xdr:rowOff>0</xdr:rowOff>
    </xdr:from>
    <xdr:to>
      <xdr:col>10</xdr:col>
      <xdr:colOff>1500188</xdr:colOff>
      <xdr:row>73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452437</xdr:colOff>
      <xdr:row>59</xdr:row>
      <xdr:rowOff>23813</xdr:rowOff>
    </xdr:from>
    <xdr:to>
      <xdr:col>14</xdr:col>
      <xdr:colOff>1023937</xdr:colOff>
      <xdr:row>73</xdr:row>
      <xdr:rowOff>100013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226219</xdr:colOff>
      <xdr:row>75</xdr:row>
      <xdr:rowOff>11907</xdr:rowOff>
    </xdr:from>
    <xdr:to>
      <xdr:col>4</xdr:col>
      <xdr:colOff>1762125</xdr:colOff>
      <xdr:row>89</xdr:row>
      <xdr:rowOff>88107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83344</xdr:colOff>
      <xdr:row>75</xdr:row>
      <xdr:rowOff>47625</xdr:rowOff>
    </xdr:from>
    <xdr:to>
      <xdr:col>7</xdr:col>
      <xdr:colOff>881062</xdr:colOff>
      <xdr:row>89</xdr:row>
      <xdr:rowOff>123825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381000</xdr:colOff>
      <xdr:row>75</xdr:row>
      <xdr:rowOff>11906</xdr:rowOff>
    </xdr:from>
    <xdr:to>
      <xdr:col>14</xdr:col>
      <xdr:colOff>1440656</xdr:colOff>
      <xdr:row>89</xdr:row>
      <xdr:rowOff>88106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428625</xdr:colOff>
      <xdr:row>26</xdr:row>
      <xdr:rowOff>142875</xdr:rowOff>
    </xdr:from>
    <xdr:to>
      <xdr:col>14</xdr:col>
      <xdr:colOff>1000125</xdr:colOff>
      <xdr:row>41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A2B043B-FF38-4188-952F-C6B9E0963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254000</xdr:colOff>
      <xdr:row>42</xdr:row>
      <xdr:rowOff>79375</xdr:rowOff>
    </xdr:from>
    <xdr:to>
      <xdr:col>4</xdr:col>
      <xdr:colOff>1809750</xdr:colOff>
      <xdr:row>56</xdr:row>
      <xdr:rowOff>155575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77CF5FE-56BD-4148-ADBE-759F581CB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43</xdr:row>
      <xdr:rowOff>0</xdr:rowOff>
    </xdr:from>
    <xdr:to>
      <xdr:col>7</xdr:col>
      <xdr:colOff>793750</xdr:colOff>
      <xdr:row>57</xdr:row>
      <xdr:rowOff>76200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4B8CDC4-605C-41DD-9805-556A5A580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59</xdr:row>
      <xdr:rowOff>0</xdr:rowOff>
    </xdr:from>
    <xdr:to>
      <xdr:col>7</xdr:col>
      <xdr:colOff>793750</xdr:colOff>
      <xdr:row>73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482F2E-D1A2-40F1-BC24-CF4F14440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1428750</xdr:colOff>
      <xdr:row>75</xdr:row>
      <xdr:rowOff>15875</xdr:rowOff>
    </xdr:from>
    <xdr:to>
      <xdr:col>10</xdr:col>
      <xdr:colOff>1381125</xdr:colOff>
      <xdr:row>89</xdr:row>
      <xdr:rowOff>92075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D996644-553B-4519-B30F-CAF25078B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176893</xdr:colOff>
      <xdr:row>27</xdr:row>
      <xdr:rowOff>40821</xdr:rowOff>
    </xdr:from>
    <xdr:to>
      <xdr:col>4</xdr:col>
      <xdr:colOff>721179</xdr:colOff>
      <xdr:row>41</xdr:row>
      <xdr:rowOff>117021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1027339</xdr:colOff>
      <xdr:row>27</xdr:row>
      <xdr:rowOff>68045</xdr:rowOff>
    </xdr:from>
    <xdr:to>
      <xdr:col>6</xdr:col>
      <xdr:colOff>1857374</xdr:colOff>
      <xdr:row>41</xdr:row>
      <xdr:rowOff>144245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27214</xdr:colOff>
      <xdr:row>27</xdr:row>
      <xdr:rowOff>68036</xdr:rowOff>
    </xdr:from>
    <xdr:to>
      <xdr:col>9</xdr:col>
      <xdr:colOff>1524000</xdr:colOff>
      <xdr:row>41</xdr:row>
      <xdr:rowOff>144236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6AC062-32E6-425B-84B5-83A96D430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449036</xdr:colOff>
      <xdr:row>27</xdr:row>
      <xdr:rowOff>81643</xdr:rowOff>
    </xdr:from>
    <xdr:to>
      <xdr:col>13</xdr:col>
      <xdr:colOff>1265464</xdr:colOff>
      <xdr:row>41</xdr:row>
      <xdr:rowOff>157843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1340C0D-D6DE-4303-8143-80D09444C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54429</xdr:colOff>
      <xdr:row>43</xdr:row>
      <xdr:rowOff>40822</xdr:rowOff>
    </xdr:from>
    <xdr:to>
      <xdr:col>10</xdr:col>
      <xdr:colOff>13608</xdr:colOff>
      <xdr:row>57</xdr:row>
      <xdr:rowOff>117022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FEF1DC7-9A9B-4FE5-81E3-127EBF857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449036</xdr:colOff>
      <xdr:row>43</xdr:row>
      <xdr:rowOff>54428</xdr:rowOff>
    </xdr:from>
    <xdr:to>
      <xdr:col>13</xdr:col>
      <xdr:colOff>1265464</xdr:colOff>
      <xdr:row>57</xdr:row>
      <xdr:rowOff>130628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3A4CBAE-AE93-4FCF-9B01-999E2BFA2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43</xdr:row>
      <xdr:rowOff>0</xdr:rowOff>
    </xdr:from>
    <xdr:to>
      <xdr:col>16</xdr:col>
      <xdr:colOff>1074964</xdr:colOff>
      <xdr:row>57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714EC93-4523-434E-8D4B-3F8498BD4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1074964</xdr:colOff>
      <xdr:row>59</xdr:row>
      <xdr:rowOff>108857</xdr:rowOff>
    </xdr:from>
    <xdr:to>
      <xdr:col>6</xdr:col>
      <xdr:colOff>1904999</xdr:colOff>
      <xdr:row>73</xdr:row>
      <xdr:rowOff>185057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8AAB0DA5-B500-41B8-8F47-2D1D1A619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68036</xdr:colOff>
      <xdr:row>59</xdr:row>
      <xdr:rowOff>108857</xdr:rowOff>
    </xdr:from>
    <xdr:to>
      <xdr:col>10</xdr:col>
      <xdr:colOff>27215</xdr:colOff>
      <xdr:row>73</xdr:row>
      <xdr:rowOff>185057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BF48015-9CF5-4F06-AE65-D2B57A68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449036</xdr:colOff>
      <xdr:row>59</xdr:row>
      <xdr:rowOff>108857</xdr:rowOff>
    </xdr:from>
    <xdr:to>
      <xdr:col>13</xdr:col>
      <xdr:colOff>1265464</xdr:colOff>
      <xdr:row>73</xdr:row>
      <xdr:rowOff>185057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CF48716-EF62-4B7B-A7D4-4F310FC0E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13607</xdr:colOff>
      <xdr:row>59</xdr:row>
      <xdr:rowOff>68035</xdr:rowOff>
    </xdr:from>
    <xdr:to>
      <xdr:col>16</xdr:col>
      <xdr:colOff>1088571</xdr:colOff>
      <xdr:row>73</xdr:row>
      <xdr:rowOff>144235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EE26FC5-3C8D-45D8-8CCC-1805BF0EA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285750</xdr:colOff>
      <xdr:row>75</xdr:row>
      <xdr:rowOff>122464</xdr:rowOff>
    </xdr:from>
    <xdr:to>
      <xdr:col>4</xdr:col>
      <xdr:colOff>830036</xdr:colOff>
      <xdr:row>90</xdr:row>
      <xdr:rowOff>8164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893E424-9B1C-4F62-8C85-D06EA7CA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1741714</xdr:colOff>
      <xdr:row>27</xdr:row>
      <xdr:rowOff>81643</xdr:rowOff>
    </xdr:from>
    <xdr:to>
      <xdr:col>16</xdr:col>
      <xdr:colOff>1034143</xdr:colOff>
      <xdr:row>41</xdr:row>
      <xdr:rowOff>157843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31948FC-58A2-4DE0-A1E3-209CD02B6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127000</xdr:colOff>
      <xdr:row>43</xdr:row>
      <xdr:rowOff>21167</xdr:rowOff>
    </xdr:from>
    <xdr:to>
      <xdr:col>4</xdr:col>
      <xdr:colOff>656167</xdr:colOff>
      <xdr:row>57</xdr:row>
      <xdr:rowOff>97367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E84CC0-5716-477F-A4FE-A26BF0F63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222250</xdr:colOff>
      <xdr:row>59</xdr:row>
      <xdr:rowOff>84667</xdr:rowOff>
    </xdr:from>
    <xdr:to>
      <xdr:col>4</xdr:col>
      <xdr:colOff>751417</xdr:colOff>
      <xdr:row>73</xdr:row>
      <xdr:rowOff>160867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8EC5438-4B2C-42B8-9270-0CAB6EF2C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1111250</xdr:colOff>
      <xdr:row>42</xdr:row>
      <xdr:rowOff>179917</xdr:rowOff>
    </xdr:from>
    <xdr:to>
      <xdr:col>6</xdr:col>
      <xdr:colOff>1936750</xdr:colOff>
      <xdr:row>57</xdr:row>
      <xdr:rowOff>65617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43EC768-B2DC-4EB9-A71F-53BD046AA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1746250</xdr:colOff>
      <xdr:row>75</xdr:row>
      <xdr:rowOff>142875</xdr:rowOff>
    </xdr:from>
    <xdr:to>
      <xdr:col>7</xdr:col>
      <xdr:colOff>853281</xdr:colOff>
      <xdr:row>90</xdr:row>
      <xdr:rowOff>28575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68279783-E8BE-48AF-A470-F4635BDEC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28</xdr:row>
      <xdr:rowOff>0</xdr:rowOff>
    </xdr:from>
    <xdr:to>
      <xdr:col>4</xdr:col>
      <xdr:colOff>1306286</xdr:colOff>
      <xdr:row>42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1347E59-D8C3-429E-A557-35F12DE3E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28</xdr:row>
      <xdr:rowOff>0</xdr:rowOff>
    </xdr:from>
    <xdr:to>
      <xdr:col>7</xdr:col>
      <xdr:colOff>381000</xdr:colOff>
      <xdr:row>42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80F9EC-94E1-46E3-BF1E-4D8DBDE3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10</xdr:col>
      <xdr:colOff>1496786</xdr:colOff>
      <xdr:row>42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E4E5E7-A664-449F-AD6F-CE009C8A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44</xdr:row>
      <xdr:rowOff>0</xdr:rowOff>
    </xdr:from>
    <xdr:to>
      <xdr:col>10</xdr:col>
      <xdr:colOff>1496786</xdr:colOff>
      <xdr:row>58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CAA36A-A243-4E86-B936-CDA9727F1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44</xdr:row>
      <xdr:rowOff>0</xdr:rowOff>
    </xdr:from>
    <xdr:to>
      <xdr:col>15</xdr:col>
      <xdr:colOff>108857</xdr:colOff>
      <xdr:row>58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5A75852-FE7C-465D-B9CC-98621B8E1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4</xdr:col>
      <xdr:colOff>1306286</xdr:colOff>
      <xdr:row>75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FB57770-F407-4BDD-B81B-C1E938B40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61</xdr:row>
      <xdr:rowOff>0</xdr:rowOff>
    </xdr:from>
    <xdr:to>
      <xdr:col>15</xdr:col>
      <xdr:colOff>108857</xdr:colOff>
      <xdr:row>75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244F20D1-FA04-40F6-B5B0-2513D040A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4</xdr:col>
      <xdr:colOff>1306286</xdr:colOff>
      <xdr:row>92</xdr:row>
      <xdr:rowOff>76200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EEE74380-DBC6-4BAE-AC6A-8FD9F28AA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27215</xdr:colOff>
      <xdr:row>78</xdr:row>
      <xdr:rowOff>54428</xdr:rowOff>
    </xdr:from>
    <xdr:to>
      <xdr:col>7</xdr:col>
      <xdr:colOff>408215</xdr:colOff>
      <xdr:row>92</xdr:row>
      <xdr:rowOff>130628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1463F536-556C-4991-81C2-C277EEFE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78</xdr:row>
      <xdr:rowOff>0</xdr:rowOff>
    </xdr:from>
    <xdr:to>
      <xdr:col>10</xdr:col>
      <xdr:colOff>1496786</xdr:colOff>
      <xdr:row>92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5F75501-72D2-4709-A0C3-B52A5CF57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78</xdr:row>
      <xdr:rowOff>0</xdr:rowOff>
    </xdr:from>
    <xdr:to>
      <xdr:col>15</xdr:col>
      <xdr:colOff>108857</xdr:colOff>
      <xdr:row>92</xdr:row>
      <xdr:rowOff>76200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5084A7E4-9652-4F12-9C4B-C96BF8EC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1202532</xdr:colOff>
      <xdr:row>28</xdr:row>
      <xdr:rowOff>47625</xdr:rowOff>
    </xdr:from>
    <xdr:to>
      <xdr:col>15</xdr:col>
      <xdr:colOff>47625</xdr:colOff>
      <xdr:row>42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087E0B-60A8-44D3-92A8-55CB05DEA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4</xdr:col>
      <xdr:colOff>1285875</xdr:colOff>
      <xdr:row>58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C0E8C4-E5FA-40B0-8053-6ACC544EF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0</xdr:colOff>
      <xdr:row>44</xdr:row>
      <xdr:rowOff>0</xdr:rowOff>
    </xdr:from>
    <xdr:to>
      <xdr:col>7</xdr:col>
      <xdr:colOff>392907</xdr:colOff>
      <xdr:row>58</xdr:row>
      <xdr:rowOff>76200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D20106B-C623-41CD-B2F1-33803EB59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238125</xdr:colOff>
      <xdr:row>61</xdr:row>
      <xdr:rowOff>119063</xdr:rowOff>
    </xdr:from>
    <xdr:to>
      <xdr:col>7</xdr:col>
      <xdr:colOff>631032</xdr:colOff>
      <xdr:row>76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EED3F4-0021-4662-9F39-1E58E4FD9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10</xdr:col>
      <xdr:colOff>1500188</xdr:colOff>
      <xdr:row>75</xdr:row>
      <xdr:rowOff>76200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2E9D565F-A94C-4AA9-8F88-9AA35CEA6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4</xdr:col>
      <xdr:colOff>1794442</xdr:colOff>
      <xdr:row>108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4CA93E-E76F-485A-8F19-6206347C6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340178</xdr:colOff>
      <xdr:row>26</xdr:row>
      <xdr:rowOff>13607</xdr:rowOff>
    </xdr:from>
    <xdr:to>
      <xdr:col>4</xdr:col>
      <xdr:colOff>884464</xdr:colOff>
      <xdr:row>40</xdr:row>
      <xdr:rowOff>89807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5F85AC1-9FF1-4E45-A5F7-799D3B437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1551214</xdr:colOff>
      <xdr:row>26</xdr:row>
      <xdr:rowOff>40822</xdr:rowOff>
    </xdr:from>
    <xdr:to>
      <xdr:col>7</xdr:col>
      <xdr:colOff>108857</xdr:colOff>
      <xdr:row>40</xdr:row>
      <xdr:rowOff>117022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55591-908E-40C5-974F-76CF15404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693965</xdr:colOff>
      <xdr:row>26</xdr:row>
      <xdr:rowOff>27213</xdr:rowOff>
    </xdr:from>
    <xdr:to>
      <xdr:col>10</xdr:col>
      <xdr:colOff>653143</xdr:colOff>
      <xdr:row>40</xdr:row>
      <xdr:rowOff>103413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51FFA5C-F3A3-4C2D-A909-0FB2C14D2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680357</xdr:colOff>
      <xdr:row>43</xdr:row>
      <xdr:rowOff>0</xdr:rowOff>
    </xdr:from>
    <xdr:to>
      <xdr:col>10</xdr:col>
      <xdr:colOff>639535</xdr:colOff>
      <xdr:row>57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A0F8FF1-EEB8-4767-A94A-B4BA1F77F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14</xdr:col>
      <xdr:colOff>571500</xdr:colOff>
      <xdr:row>57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2BE5314-9BA4-4A27-A255-528A8401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408214</xdr:colOff>
      <xdr:row>59</xdr:row>
      <xdr:rowOff>0</xdr:rowOff>
    </xdr:from>
    <xdr:to>
      <xdr:col>4</xdr:col>
      <xdr:colOff>952500</xdr:colOff>
      <xdr:row>73</xdr:row>
      <xdr:rowOff>76200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B01E4-B1B1-46EE-B291-66325AC7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59</xdr:row>
      <xdr:rowOff>0</xdr:rowOff>
    </xdr:from>
    <xdr:to>
      <xdr:col>14</xdr:col>
      <xdr:colOff>571500</xdr:colOff>
      <xdr:row>73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79CDAFA-D1BA-4822-BC2C-DAD2DFC52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381000</xdr:colOff>
      <xdr:row>75</xdr:row>
      <xdr:rowOff>136072</xdr:rowOff>
    </xdr:from>
    <xdr:to>
      <xdr:col>4</xdr:col>
      <xdr:colOff>925286</xdr:colOff>
      <xdr:row>90</xdr:row>
      <xdr:rowOff>21772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DE60F9B-547F-4608-BEEB-B6318234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1483179</xdr:colOff>
      <xdr:row>75</xdr:row>
      <xdr:rowOff>149678</xdr:rowOff>
    </xdr:from>
    <xdr:to>
      <xdr:col>7</xdr:col>
      <xdr:colOff>40822</xdr:colOff>
      <xdr:row>90</xdr:row>
      <xdr:rowOff>35378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1DCC70F-69C6-4544-8DBF-0645BE4B9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653143</xdr:colOff>
      <xdr:row>75</xdr:row>
      <xdr:rowOff>176893</xdr:rowOff>
    </xdr:from>
    <xdr:to>
      <xdr:col>10</xdr:col>
      <xdr:colOff>612321</xdr:colOff>
      <xdr:row>90</xdr:row>
      <xdr:rowOff>62593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DEF8949-979E-488E-9C11-8BD834635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26</xdr:row>
      <xdr:rowOff>0</xdr:rowOff>
    </xdr:from>
    <xdr:to>
      <xdr:col>14</xdr:col>
      <xdr:colOff>571500</xdr:colOff>
      <xdr:row>40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EE6A548-B4F8-4090-A143-6C6AFE2A6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381000</xdr:colOff>
      <xdr:row>42</xdr:row>
      <xdr:rowOff>138546</xdr:rowOff>
    </xdr:from>
    <xdr:to>
      <xdr:col>4</xdr:col>
      <xdr:colOff>900545</xdr:colOff>
      <xdr:row>57</xdr:row>
      <xdr:rowOff>24246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DAC03C-9BD6-4C50-8C43-7F0CEA9DB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1385455</xdr:colOff>
      <xdr:row>42</xdr:row>
      <xdr:rowOff>121227</xdr:rowOff>
    </xdr:from>
    <xdr:to>
      <xdr:col>6</xdr:col>
      <xdr:colOff>2199410</xdr:colOff>
      <xdr:row>57</xdr:row>
      <xdr:rowOff>6927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DD2167-709C-48BF-9A1A-B4BBE1B34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1385455</xdr:colOff>
      <xdr:row>59</xdr:row>
      <xdr:rowOff>86591</xdr:rowOff>
    </xdr:from>
    <xdr:to>
      <xdr:col>6</xdr:col>
      <xdr:colOff>2199410</xdr:colOff>
      <xdr:row>73</xdr:row>
      <xdr:rowOff>162791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2C367FC-E1DD-4084-AB32-2729A4E8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744682</xdr:colOff>
      <xdr:row>59</xdr:row>
      <xdr:rowOff>17318</xdr:rowOff>
    </xdr:from>
    <xdr:to>
      <xdr:col>10</xdr:col>
      <xdr:colOff>692728</xdr:colOff>
      <xdr:row>73</xdr:row>
      <xdr:rowOff>93518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5B7EAFD-A2F9-4478-95D2-10F4FF510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0</xdr:colOff>
      <xdr:row>76</xdr:row>
      <xdr:rowOff>0</xdr:rowOff>
    </xdr:from>
    <xdr:to>
      <xdr:col>14</xdr:col>
      <xdr:colOff>1059656</xdr:colOff>
      <xdr:row>90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F8867B4-203F-4343-B0D9-36BA33923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K55"/>
  <sheetViews>
    <sheetView tabSelected="1" zoomScale="60" zoomScaleNormal="60" workbookViewId="0"/>
  </sheetViews>
  <sheetFormatPr baseColWidth="10" defaultRowHeight="15" x14ac:dyDescent="0.25"/>
  <cols>
    <col min="4" max="4" width="19.140625" bestFit="1" customWidth="1"/>
    <col min="5" max="5" width="29.7109375" bestFit="1" customWidth="1"/>
    <col min="6" max="6" width="255.42578125" customWidth="1"/>
  </cols>
  <sheetData>
    <row r="2" spans="2:11" x14ac:dyDescent="0.25">
      <c r="B2" s="7" t="s">
        <v>0</v>
      </c>
      <c r="C2" s="7" t="s">
        <v>1</v>
      </c>
      <c r="D2" s="7" t="s">
        <v>2</v>
      </c>
      <c r="E2" s="7" t="s">
        <v>96</v>
      </c>
      <c r="F2" s="61" t="s">
        <v>3</v>
      </c>
      <c r="G2" s="62"/>
      <c r="H2" s="62"/>
      <c r="I2" s="62"/>
      <c r="J2" s="62"/>
      <c r="K2" s="63"/>
    </row>
    <row r="3" spans="2:11" x14ac:dyDescent="0.25">
      <c r="B3" s="3">
        <v>1</v>
      </c>
      <c r="C3" s="58">
        <v>2012</v>
      </c>
      <c r="D3" s="3" t="s">
        <v>78</v>
      </c>
      <c r="E3" s="3" t="s">
        <v>79</v>
      </c>
      <c r="F3" s="64" t="s">
        <v>80</v>
      </c>
      <c r="G3" s="65"/>
      <c r="H3" s="65"/>
      <c r="I3" s="65"/>
      <c r="J3" s="65"/>
      <c r="K3" s="66"/>
    </row>
    <row r="4" spans="2:11" x14ac:dyDescent="0.25">
      <c r="B4" s="3">
        <v>2</v>
      </c>
      <c r="C4" s="58"/>
      <c r="D4" s="3" t="s">
        <v>86</v>
      </c>
      <c r="E4" s="3" t="s">
        <v>91</v>
      </c>
      <c r="F4" s="64" t="s">
        <v>81</v>
      </c>
      <c r="G4" s="65"/>
      <c r="H4" s="65"/>
      <c r="I4" s="65"/>
      <c r="J4" s="65"/>
      <c r="K4" s="66"/>
    </row>
    <row r="5" spans="2:11" x14ac:dyDescent="0.25">
      <c r="B5" s="3">
        <v>3</v>
      </c>
      <c r="C5" s="58"/>
      <c r="D5" s="3" t="s">
        <v>87</v>
      </c>
      <c r="E5" s="3" t="s">
        <v>92</v>
      </c>
      <c r="F5" s="64" t="s">
        <v>82</v>
      </c>
      <c r="G5" s="65"/>
      <c r="H5" s="65"/>
      <c r="I5" s="65"/>
      <c r="J5" s="65"/>
      <c r="K5" s="66"/>
    </row>
    <row r="6" spans="2:11" x14ac:dyDescent="0.25">
      <c r="B6" s="3">
        <v>4</v>
      </c>
      <c r="C6" s="58"/>
      <c r="D6" s="3" t="s">
        <v>88</v>
      </c>
      <c r="E6" s="3" t="s">
        <v>93</v>
      </c>
      <c r="F6" s="64" t="s">
        <v>83</v>
      </c>
      <c r="G6" s="65"/>
      <c r="H6" s="65"/>
      <c r="I6" s="65"/>
      <c r="J6" s="65"/>
      <c r="K6" s="66"/>
    </row>
    <row r="7" spans="2:11" x14ac:dyDescent="0.25">
      <c r="B7" s="3">
        <v>5</v>
      </c>
      <c r="C7" s="58"/>
      <c r="D7" s="3" t="s">
        <v>89</v>
      </c>
      <c r="E7" s="3" t="s">
        <v>94</v>
      </c>
      <c r="F7" s="64" t="s">
        <v>84</v>
      </c>
      <c r="G7" s="65"/>
      <c r="H7" s="65"/>
      <c r="I7" s="65"/>
      <c r="J7" s="65"/>
      <c r="K7" s="66"/>
    </row>
    <row r="8" spans="2:11" x14ac:dyDescent="0.25">
      <c r="B8" s="3">
        <v>6</v>
      </c>
      <c r="C8" s="58"/>
      <c r="D8" s="3" t="s">
        <v>90</v>
      </c>
      <c r="E8" s="3" t="s">
        <v>95</v>
      </c>
      <c r="F8" s="64" t="s">
        <v>85</v>
      </c>
      <c r="G8" s="65"/>
      <c r="H8" s="65"/>
      <c r="I8" s="65"/>
      <c r="J8" s="65"/>
      <c r="K8" s="66"/>
    </row>
    <row r="9" spans="2:11" x14ac:dyDescent="0.25">
      <c r="B9" s="3">
        <v>7</v>
      </c>
      <c r="C9" s="58">
        <v>2013</v>
      </c>
      <c r="D9" s="3" t="s">
        <v>62</v>
      </c>
      <c r="E9" s="3" t="s">
        <v>63</v>
      </c>
      <c r="F9" s="64" t="s">
        <v>64</v>
      </c>
      <c r="G9" s="65"/>
      <c r="H9" s="65"/>
      <c r="I9" s="65"/>
      <c r="J9" s="65"/>
      <c r="K9" s="66"/>
    </row>
    <row r="10" spans="2:11" x14ac:dyDescent="0.25">
      <c r="B10" s="3">
        <v>8</v>
      </c>
      <c r="C10" s="58"/>
      <c r="D10" s="3" t="s">
        <v>65</v>
      </c>
      <c r="E10" s="3" t="s">
        <v>66</v>
      </c>
      <c r="F10" s="64" t="s">
        <v>67</v>
      </c>
      <c r="G10" s="65"/>
      <c r="H10" s="65"/>
      <c r="I10" s="65"/>
      <c r="J10" s="65"/>
      <c r="K10" s="66"/>
    </row>
    <row r="11" spans="2:11" x14ac:dyDescent="0.25">
      <c r="B11" s="3">
        <v>9</v>
      </c>
      <c r="C11" s="58"/>
      <c r="D11" s="3" t="s">
        <v>68</v>
      </c>
      <c r="E11" s="3" t="s">
        <v>69</v>
      </c>
      <c r="F11" s="64" t="s">
        <v>70</v>
      </c>
      <c r="G11" s="65"/>
      <c r="H11" s="65"/>
      <c r="I11" s="65"/>
      <c r="J11" s="65"/>
      <c r="K11" s="66"/>
    </row>
    <row r="12" spans="2:11" x14ac:dyDescent="0.25">
      <c r="B12" s="3">
        <v>10</v>
      </c>
      <c r="C12" s="58"/>
      <c r="D12" s="3" t="s">
        <v>71</v>
      </c>
      <c r="E12" s="3" t="s">
        <v>72</v>
      </c>
      <c r="F12" s="64" t="s">
        <v>73</v>
      </c>
      <c r="G12" s="65"/>
      <c r="H12" s="65"/>
      <c r="I12" s="65"/>
      <c r="J12" s="65"/>
      <c r="K12" s="66"/>
    </row>
    <row r="13" spans="2:11" x14ac:dyDescent="0.25">
      <c r="B13" s="3">
        <v>11</v>
      </c>
      <c r="C13" s="58"/>
      <c r="D13" s="3" t="s">
        <v>74</v>
      </c>
      <c r="E13" s="3" t="s">
        <v>75</v>
      </c>
      <c r="F13" s="64" t="s">
        <v>76</v>
      </c>
      <c r="G13" s="65"/>
      <c r="H13" s="65"/>
      <c r="I13" s="65"/>
      <c r="J13" s="65"/>
      <c r="K13" s="66"/>
    </row>
    <row r="14" spans="2:11" x14ac:dyDescent="0.25">
      <c r="B14" s="3">
        <v>12</v>
      </c>
      <c r="C14" s="58"/>
      <c r="D14" s="3">
        <v>4600000896</v>
      </c>
      <c r="E14" s="3">
        <v>4600000897</v>
      </c>
      <c r="F14" s="64" t="s">
        <v>77</v>
      </c>
      <c r="G14" s="65"/>
      <c r="H14" s="65"/>
      <c r="I14" s="65"/>
      <c r="J14" s="65"/>
      <c r="K14" s="66"/>
    </row>
    <row r="15" spans="2:11" x14ac:dyDescent="0.25">
      <c r="B15" s="3">
        <v>13</v>
      </c>
      <c r="C15" s="58">
        <v>2014</v>
      </c>
      <c r="D15" s="3">
        <v>4600001884</v>
      </c>
      <c r="E15" s="3">
        <v>4600001932</v>
      </c>
      <c r="F15" s="64" t="s">
        <v>60</v>
      </c>
      <c r="G15" s="65"/>
      <c r="H15" s="65"/>
      <c r="I15" s="65"/>
      <c r="J15" s="65"/>
      <c r="K15" s="66"/>
    </row>
    <row r="16" spans="2:11" x14ac:dyDescent="0.25">
      <c r="B16" s="3">
        <v>14</v>
      </c>
      <c r="C16" s="58"/>
      <c r="D16" s="3">
        <v>4600001939</v>
      </c>
      <c r="E16" s="3">
        <v>4600001885</v>
      </c>
      <c r="F16" s="64" t="s">
        <v>61</v>
      </c>
      <c r="G16" s="65"/>
      <c r="H16" s="65"/>
      <c r="I16" s="65"/>
      <c r="J16" s="65"/>
      <c r="K16" s="66"/>
    </row>
    <row r="17" spans="2:11" x14ac:dyDescent="0.25">
      <c r="B17" s="3">
        <v>15</v>
      </c>
      <c r="C17" s="58">
        <v>2015</v>
      </c>
      <c r="D17" s="3">
        <v>4600004086</v>
      </c>
      <c r="E17" s="3">
        <v>4600004434</v>
      </c>
      <c r="F17" s="64" t="s">
        <v>56</v>
      </c>
      <c r="G17" s="65"/>
      <c r="H17" s="65"/>
      <c r="I17" s="65"/>
      <c r="J17" s="65"/>
      <c r="K17" s="66"/>
    </row>
    <row r="18" spans="2:11" x14ac:dyDescent="0.25">
      <c r="B18" s="3">
        <v>16</v>
      </c>
      <c r="C18" s="58"/>
      <c r="D18" s="3">
        <v>4600004484</v>
      </c>
      <c r="E18" s="3">
        <v>4600004530</v>
      </c>
      <c r="F18" s="64" t="s">
        <v>57</v>
      </c>
      <c r="G18" s="65"/>
      <c r="H18" s="65"/>
      <c r="I18" s="65"/>
      <c r="J18" s="65"/>
      <c r="K18" s="66"/>
    </row>
    <row r="19" spans="2:11" x14ac:dyDescent="0.25">
      <c r="B19" s="3">
        <v>17</v>
      </c>
      <c r="C19" s="58"/>
      <c r="D19" s="3">
        <v>4600004485</v>
      </c>
      <c r="E19" s="3">
        <v>4600004528</v>
      </c>
      <c r="F19" s="53" t="s">
        <v>58</v>
      </c>
      <c r="G19" s="54"/>
      <c r="H19" s="54"/>
      <c r="I19" s="54"/>
      <c r="J19" s="54"/>
      <c r="K19" s="55"/>
    </row>
    <row r="20" spans="2:11" x14ac:dyDescent="0.25">
      <c r="B20" s="3">
        <v>18</v>
      </c>
      <c r="C20" s="58"/>
      <c r="D20" s="3">
        <v>4600004783</v>
      </c>
      <c r="E20" s="3">
        <v>4600004784</v>
      </c>
      <c r="F20" s="64" t="s">
        <v>59</v>
      </c>
      <c r="G20" s="65"/>
      <c r="H20" s="65"/>
      <c r="I20" s="65"/>
      <c r="J20" s="65"/>
      <c r="K20" s="66"/>
    </row>
    <row r="21" spans="2:11" x14ac:dyDescent="0.25">
      <c r="B21" s="3">
        <v>19</v>
      </c>
      <c r="C21" s="58">
        <v>2016</v>
      </c>
      <c r="D21" s="3">
        <v>4600005372</v>
      </c>
      <c r="E21" s="3">
        <v>4600005623</v>
      </c>
      <c r="F21" s="64" t="s">
        <v>50</v>
      </c>
      <c r="G21" s="65"/>
      <c r="H21" s="65"/>
      <c r="I21" s="65"/>
      <c r="J21" s="65"/>
      <c r="K21" s="66"/>
    </row>
    <row r="22" spans="2:11" x14ac:dyDescent="0.25">
      <c r="B22" s="3">
        <v>20</v>
      </c>
      <c r="C22" s="58"/>
      <c r="D22" s="3">
        <v>4600005373</v>
      </c>
      <c r="E22" s="3">
        <v>4600005581</v>
      </c>
      <c r="F22" s="64" t="s">
        <v>51</v>
      </c>
      <c r="G22" s="65"/>
      <c r="H22" s="65"/>
      <c r="I22" s="65"/>
      <c r="J22" s="65"/>
      <c r="K22" s="66"/>
    </row>
    <row r="23" spans="2:11" x14ac:dyDescent="0.25">
      <c r="B23" s="3">
        <v>21</v>
      </c>
      <c r="C23" s="58"/>
      <c r="D23" s="3">
        <v>4600005377</v>
      </c>
      <c r="E23" s="3">
        <v>4600005624</v>
      </c>
      <c r="F23" s="64" t="s">
        <v>52</v>
      </c>
      <c r="G23" s="65"/>
      <c r="H23" s="65"/>
      <c r="I23" s="65"/>
      <c r="J23" s="65"/>
      <c r="K23" s="66"/>
    </row>
    <row r="24" spans="2:11" x14ac:dyDescent="0.25">
      <c r="B24" s="3">
        <v>22</v>
      </c>
      <c r="C24" s="58"/>
      <c r="D24" s="3">
        <v>4600005393</v>
      </c>
      <c r="E24" s="3">
        <v>4600005566</v>
      </c>
      <c r="F24" s="64" t="s">
        <v>53</v>
      </c>
      <c r="G24" s="65"/>
      <c r="H24" s="65"/>
      <c r="I24" s="65"/>
      <c r="J24" s="65"/>
      <c r="K24" s="66"/>
    </row>
    <row r="25" spans="2:11" x14ac:dyDescent="0.25">
      <c r="B25" s="3">
        <v>23</v>
      </c>
      <c r="C25" s="58"/>
      <c r="D25" s="3">
        <v>4600005394</v>
      </c>
      <c r="E25" s="3">
        <v>4600005563</v>
      </c>
      <c r="F25" s="64" t="s">
        <v>54</v>
      </c>
      <c r="G25" s="65"/>
      <c r="H25" s="65"/>
      <c r="I25" s="65"/>
      <c r="J25" s="65"/>
      <c r="K25" s="66"/>
    </row>
    <row r="26" spans="2:11" x14ac:dyDescent="0.25">
      <c r="B26" s="3">
        <v>24</v>
      </c>
      <c r="C26" s="58"/>
      <c r="D26" s="3">
        <v>4600005515</v>
      </c>
      <c r="E26" s="3">
        <v>4600005622</v>
      </c>
      <c r="F26" s="64" t="s">
        <v>55</v>
      </c>
      <c r="G26" s="65"/>
      <c r="H26" s="65"/>
      <c r="I26" s="65"/>
      <c r="J26" s="65"/>
      <c r="K26" s="66"/>
    </row>
    <row r="27" spans="2:11" x14ac:dyDescent="0.25">
      <c r="B27" s="3">
        <v>25</v>
      </c>
      <c r="C27" s="58">
        <v>2017</v>
      </c>
      <c r="D27" s="5">
        <v>4600007136</v>
      </c>
      <c r="E27" s="5">
        <v>4600007209</v>
      </c>
      <c r="F27" s="64" t="s">
        <v>46</v>
      </c>
      <c r="G27" s="65"/>
      <c r="H27" s="65"/>
      <c r="I27" s="65"/>
      <c r="J27" s="65"/>
      <c r="K27" s="66"/>
    </row>
    <row r="28" spans="2:11" x14ac:dyDescent="0.25">
      <c r="B28" s="3">
        <v>26</v>
      </c>
      <c r="C28" s="58"/>
      <c r="D28" s="3">
        <v>4600007146</v>
      </c>
      <c r="E28" s="3">
        <v>4600007228</v>
      </c>
      <c r="F28" s="64" t="s">
        <v>47</v>
      </c>
      <c r="G28" s="65"/>
      <c r="H28" s="65"/>
      <c r="I28" s="65"/>
      <c r="J28" s="65"/>
      <c r="K28" s="66"/>
    </row>
    <row r="29" spans="2:11" x14ac:dyDescent="0.25">
      <c r="B29" s="3">
        <v>27</v>
      </c>
      <c r="C29" s="58"/>
      <c r="D29" s="3">
        <v>4600007149</v>
      </c>
      <c r="E29" s="3">
        <v>4600007198</v>
      </c>
      <c r="F29" s="64" t="s">
        <v>48</v>
      </c>
      <c r="G29" s="65"/>
      <c r="H29" s="65"/>
      <c r="I29" s="65"/>
      <c r="J29" s="65"/>
      <c r="K29" s="66"/>
    </row>
    <row r="30" spans="2:11" x14ac:dyDescent="0.25">
      <c r="B30" s="3">
        <v>28</v>
      </c>
      <c r="C30" s="58"/>
      <c r="D30" s="3">
        <v>4600007151</v>
      </c>
      <c r="E30" s="3">
        <v>4600007218</v>
      </c>
      <c r="F30" s="64" t="s">
        <v>39</v>
      </c>
      <c r="G30" s="65"/>
      <c r="H30" s="65"/>
      <c r="I30" s="65"/>
      <c r="J30" s="65"/>
      <c r="K30" s="66"/>
    </row>
    <row r="31" spans="2:11" x14ac:dyDescent="0.25">
      <c r="B31" s="3">
        <v>29</v>
      </c>
      <c r="C31" s="58"/>
      <c r="D31" s="3">
        <v>4600007152</v>
      </c>
      <c r="E31" s="3">
        <v>4600007222</v>
      </c>
      <c r="F31" s="64" t="s">
        <v>30</v>
      </c>
      <c r="G31" s="65"/>
      <c r="H31" s="65"/>
      <c r="I31" s="65"/>
      <c r="J31" s="65"/>
      <c r="K31" s="66"/>
    </row>
    <row r="32" spans="2:11" x14ac:dyDescent="0.25">
      <c r="B32" s="3">
        <v>30</v>
      </c>
      <c r="C32" s="58"/>
      <c r="D32" s="3">
        <v>4600007155</v>
      </c>
      <c r="E32" s="3">
        <v>4600007208</v>
      </c>
      <c r="F32" s="64" t="s">
        <v>49</v>
      </c>
      <c r="G32" s="65"/>
      <c r="H32" s="65"/>
      <c r="I32" s="65"/>
      <c r="J32" s="65"/>
      <c r="K32" s="66"/>
    </row>
    <row r="33" spans="2:11" x14ac:dyDescent="0.25">
      <c r="B33" s="3">
        <v>31</v>
      </c>
      <c r="C33" s="58">
        <v>2018</v>
      </c>
      <c r="D33" s="3" t="s">
        <v>28</v>
      </c>
      <c r="E33" s="3" t="s">
        <v>29</v>
      </c>
      <c r="F33" s="64" t="s">
        <v>30</v>
      </c>
      <c r="G33" s="65"/>
      <c r="H33" s="65"/>
      <c r="I33" s="65"/>
      <c r="J33" s="65"/>
      <c r="K33" s="66"/>
    </row>
    <row r="34" spans="2:11" x14ac:dyDescent="0.25">
      <c r="B34" s="3">
        <v>32</v>
      </c>
      <c r="C34" s="58"/>
      <c r="D34" s="3" t="s">
        <v>31</v>
      </c>
      <c r="E34" s="3" t="s">
        <v>32</v>
      </c>
      <c r="F34" s="64" t="s">
        <v>33</v>
      </c>
      <c r="G34" s="65"/>
      <c r="H34" s="65"/>
      <c r="I34" s="65"/>
      <c r="J34" s="65"/>
      <c r="K34" s="66"/>
    </row>
    <row r="35" spans="2:11" x14ac:dyDescent="0.25">
      <c r="B35" s="3">
        <v>33</v>
      </c>
      <c r="C35" s="58"/>
      <c r="D35" s="3" t="s">
        <v>34</v>
      </c>
      <c r="E35" s="3" t="s">
        <v>35</v>
      </c>
      <c r="F35" s="64" t="s">
        <v>36</v>
      </c>
      <c r="G35" s="65"/>
      <c r="H35" s="65"/>
      <c r="I35" s="65"/>
      <c r="J35" s="65"/>
      <c r="K35" s="66"/>
    </row>
    <row r="36" spans="2:11" x14ac:dyDescent="0.25">
      <c r="B36" s="3">
        <v>34</v>
      </c>
      <c r="C36" s="58"/>
      <c r="D36" s="3" t="s">
        <v>37</v>
      </c>
      <c r="E36" s="3" t="s">
        <v>38</v>
      </c>
      <c r="F36" s="64" t="s">
        <v>39</v>
      </c>
      <c r="G36" s="65"/>
      <c r="H36" s="65"/>
      <c r="I36" s="65"/>
      <c r="J36" s="65"/>
      <c r="K36" s="66"/>
    </row>
    <row r="37" spans="2:11" x14ac:dyDescent="0.25">
      <c r="B37" s="3">
        <v>35</v>
      </c>
      <c r="C37" s="58"/>
      <c r="D37" s="3" t="s">
        <v>40</v>
      </c>
      <c r="E37" s="3" t="s">
        <v>41</v>
      </c>
      <c r="F37" s="64" t="s">
        <v>42</v>
      </c>
      <c r="G37" s="65"/>
      <c r="H37" s="65"/>
      <c r="I37" s="65"/>
      <c r="J37" s="65"/>
      <c r="K37" s="66"/>
    </row>
    <row r="38" spans="2:11" x14ac:dyDescent="0.25">
      <c r="B38" s="3">
        <v>36</v>
      </c>
      <c r="C38" s="58"/>
      <c r="D38" s="3" t="s">
        <v>43</v>
      </c>
      <c r="E38" s="3" t="s">
        <v>44</v>
      </c>
      <c r="F38" s="64" t="s">
        <v>45</v>
      </c>
      <c r="G38" s="65"/>
      <c r="H38" s="65"/>
      <c r="I38" s="65"/>
      <c r="J38" s="65"/>
      <c r="K38" s="66"/>
    </row>
    <row r="39" spans="2:11" x14ac:dyDescent="0.25">
      <c r="B39" s="3">
        <v>37</v>
      </c>
      <c r="C39" s="60">
        <v>2019</v>
      </c>
      <c r="D39" s="3" t="s">
        <v>12</v>
      </c>
      <c r="E39" s="3" t="s">
        <v>13</v>
      </c>
      <c r="F39" s="64" t="s">
        <v>14</v>
      </c>
      <c r="G39" s="65"/>
      <c r="H39" s="65"/>
      <c r="I39" s="65"/>
      <c r="J39" s="65"/>
      <c r="K39" s="66"/>
    </row>
    <row r="40" spans="2:11" x14ac:dyDescent="0.25">
      <c r="B40" s="3">
        <v>38</v>
      </c>
      <c r="C40" s="60"/>
      <c r="D40" s="3" t="s">
        <v>15</v>
      </c>
      <c r="E40" s="3" t="s">
        <v>16</v>
      </c>
      <c r="F40" s="64" t="s">
        <v>17</v>
      </c>
      <c r="G40" s="65"/>
      <c r="H40" s="65"/>
      <c r="I40" s="65"/>
      <c r="J40" s="65"/>
      <c r="K40" s="66"/>
    </row>
    <row r="41" spans="2:11" x14ac:dyDescent="0.25">
      <c r="B41" s="3">
        <v>39</v>
      </c>
      <c r="C41" s="60"/>
      <c r="D41" s="3" t="s">
        <v>18</v>
      </c>
      <c r="E41" s="3" t="s">
        <v>19</v>
      </c>
      <c r="F41" s="64" t="s">
        <v>20</v>
      </c>
      <c r="G41" s="65"/>
      <c r="H41" s="65"/>
      <c r="I41" s="65"/>
      <c r="J41" s="65"/>
      <c r="K41" s="66"/>
    </row>
    <row r="42" spans="2:11" x14ac:dyDescent="0.25">
      <c r="B42" s="3">
        <v>40</v>
      </c>
      <c r="C42" s="60"/>
      <c r="D42" s="3" t="s">
        <v>21</v>
      </c>
      <c r="E42" s="3" t="s">
        <v>22</v>
      </c>
      <c r="F42" s="64" t="s">
        <v>23</v>
      </c>
      <c r="G42" s="65"/>
      <c r="H42" s="65"/>
      <c r="I42" s="65"/>
      <c r="J42" s="65"/>
      <c r="K42" s="66"/>
    </row>
    <row r="43" spans="2:11" x14ac:dyDescent="0.25">
      <c r="B43" s="3">
        <v>41</v>
      </c>
      <c r="C43" s="60"/>
      <c r="D43" s="3" t="s">
        <v>24</v>
      </c>
      <c r="E43" s="3" t="s">
        <v>25</v>
      </c>
      <c r="F43" s="4" t="s">
        <v>26</v>
      </c>
      <c r="G43" s="52"/>
      <c r="H43" s="52"/>
      <c r="I43" s="52"/>
      <c r="J43" s="52"/>
      <c r="K43" s="52"/>
    </row>
    <row r="44" spans="2:11" x14ac:dyDescent="0.25">
      <c r="B44" s="3">
        <v>42</v>
      </c>
      <c r="C44" s="60"/>
      <c r="D44" s="3">
        <v>4600010158</v>
      </c>
      <c r="E44" s="3">
        <v>4600010165</v>
      </c>
      <c r="F44" s="64" t="s">
        <v>27</v>
      </c>
      <c r="G44" s="65"/>
      <c r="H44" s="65"/>
      <c r="I44" s="65"/>
      <c r="J44" s="65"/>
      <c r="K44" s="66"/>
    </row>
    <row r="45" spans="2:11" x14ac:dyDescent="0.25">
      <c r="B45" s="3">
        <v>43</v>
      </c>
      <c r="C45" s="58">
        <v>2020</v>
      </c>
      <c r="D45" s="3">
        <v>4600010831</v>
      </c>
      <c r="E45" s="3">
        <v>4600010878</v>
      </c>
      <c r="F45" s="64" t="s">
        <v>7</v>
      </c>
      <c r="G45" s="65"/>
      <c r="H45" s="65"/>
      <c r="I45" s="65"/>
      <c r="J45" s="65"/>
      <c r="K45" s="66"/>
    </row>
    <row r="46" spans="2:11" x14ac:dyDescent="0.25">
      <c r="B46" s="3">
        <v>44</v>
      </c>
      <c r="C46" s="58"/>
      <c r="D46" s="3">
        <v>4600010847</v>
      </c>
      <c r="E46" s="3">
        <v>4600010861</v>
      </c>
      <c r="F46" s="64" t="s">
        <v>8</v>
      </c>
      <c r="G46" s="65"/>
      <c r="H46" s="65"/>
      <c r="I46" s="65"/>
      <c r="J46" s="65"/>
      <c r="K46" s="66"/>
    </row>
    <row r="47" spans="2:11" x14ac:dyDescent="0.25">
      <c r="B47" s="3">
        <v>45</v>
      </c>
      <c r="C47" s="58"/>
      <c r="D47" s="3">
        <v>4600010855</v>
      </c>
      <c r="E47" s="3">
        <v>4600010852</v>
      </c>
      <c r="F47" s="64" t="s">
        <v>9</v>
      </c>
      <c r="G47" s="65"/>
      <c r="H47" s="65"/>
      <c r="I47" s="65"/>
      <c r="J47" s="65"/>
      <c r="K47" s="66"/>
    </row>
    <row r="48" spans="2:11" x14ac:dyDescent="0.25">
      <c r="B48" s="3">
        <v>46</v>
      </c>
      <c r="C48" s="58"/>
      <c r="D48" s="3">
        <v>4600010869</v>
      </c>
      <c r="E48" s="3">
        <v>4600010896</v>
      </c>
      <c r="F48" s="64" t="s">
        <v>10</v>
      </c>
      <c r="G48" s="65"/>
      <c r="H48" s="65"/>
      <c r="I48" s="65"/>
      <c r="J48" s="65"/>
      <c r="K48" s="66"/>
    </row>
    <row r="49" spans="2:11" x14ac:dyDescent="0.25">
      <c r="B49" s="3">
        <v>47</v>
      </c>
      <c r="C49" s="58"/>
      <c r="D49" s="3">
        <v>4600010884</v>
      </c>
      <c r="E49" s="3">
        <v>4600010871</v>
      </c>
      <c r="F49" s="64" t="s">
        <v>11</v>
      </c>
      <c r="G49" s="65"/>
      <c r="H49" s="65"/>
      <c r="I49" s="65"/>
      <c r="J49" s="65"/>
      <c r="K49" s="66"/>
    </row>
    <row r="50" spans="2:11" x14ac:dyDescent="0.25">
      <c r="B50" s="3">
        <v>48</v>
      </c>
      <c r="C50" s="59">
        <v>2021</v>
      </c>
      <c r="D50" s="3">
        <v>4600012998</v>
      </c>
      <c r="E50" s="3">
        <v>4600012893</v>
      </c>
      <c r="F50" s="64" t="s">
        <v>4</v>
      </c>
      <c r="G50" s="65"/>
      <c r="H50" s="65"/>
      <c r="I50" s="65"/>
      <c r="J50" s="65"/>
      <c r="K50" s="66"/>
    </row>
    <row r="51" spans="2:11" x14ac:dyDescent="0.25">
      <c r="B51" s="3">
        <v>49</v>
      </c>
      <c r="C51" s="59"/>
      <c r="D51" s="3">
        <v>4600013148</v>
      </c>
      <c r="E51" s="3">
        <v>4600012908</v>
      </c>
      <c r="F51" s="64" t="s">
        <v>5</v>
      </c>
      <c r="G51" s="65"/>
      <c r="H51" s="65"/>
      <c r="I51" s="65"/>
      <c r="J51" s="65"/>
      <c r="K51" s="66"/>
    </row>
    <row r="52" spans="2:11" x14ac:dyDescent="0.25">
      <c r="B52" s="3">
        <v>50</v>
      </c>
      <c r="C52" s="59"/>
      <c r="D52" s="3">
        <v>4600012737</v>
      </c>
      <c r="E52" s="3">
        <v>4600012795</v>
      </c>
      <c r="F52" s="67" t="s">
        <v>6</v>
      </c>
      <c r="G52" s="68"/>
      <c r="H52" s="68"/>
      <c r="I52" s="68"/>
      <c r="J52" s="68"/>
      <c r="K52" s="69"/>
    </row>
    <row r="53" spans="2:11" x14ac:dyDescent="0.25">
      <c r="B53" s="3">
        <v>51</v>
      </c>
      <c r="C53" s="59">
        <v>2022</v>
      </c>
      <c r="D53" s="2">
        <v>4600014472</v>
      </c>
      <c r="E53" s="2">
        <v>4600014521</v>
      </c>
      <c r="F53" s="64" t="s">
        <v>4</v>
      </c>
      <c r="G53" s="65"/>
      <c r="H53" s="65"/>
      <c r="I53" s="65"/>
      <c r="J53" s="65"/>
      <c r="K53" s="66"/>
    </row>
    <row r="54" spans="2:11" x14ac:dyDescent="0.25">
      <c r="B54" s="3">
        <v>52</v>
      </c>
      <c r="C54" s="59"/>
      <c r="D54" s="3">
        <v>4600014620</v>
      </c>
      <c r="E54" s="3">
        <v>4600014679</v>
      </c>
      <c r="F54" s="64" t="s">
        <v>5</v>
      </c>
      <c r="G54" s="65"/>
      <c r="H54" s="65"/>
      <c r="I54" s="65"/>
      <c r="J54" s="65"/>
      <c r="K54" s="66"/>
    </row>
    <row r="55" spans="2:11" x14ac:dyDescent="0.25">
      <c r="B55" s="3">
        <v>53</v>
      </c>
      <c r="C55" s="59"/>
      <c r="D55" s="3">
        <v>4600014079</v>
      </c>
      <c r="E55" s="3">
        <v>4600014329</v>
      </c>
      <c r="F55" s="64" t="s">
        <v>6</v>
      </c>
      <c r="G55" s="65"/>
      <c r="H55" s="65"/>
      <c r="I55" s="65"/>
      <c r="J55" s="65"/>
      <c r="K55" s="66"/>
    </row>
  </sheetData>
  <mergeCells count="63">
    <mergeCell ref="F42:K42"/>
    <mergeCell ref="F39:K39"/>
    <mergeCell ref="F36:K36"/>
    <mergeCell ref="F40:K40"/>
    <mergeCell ref="F38:K38"/>
    <mergeCell ref="F41:K41"/>
    <mergeCell ref="F32:K32"/>
    <mergeCell ref="F35:K35"/>
    <mergeCell ref="F33:K33"/>
    <mergeCell ref="F34:K34"/>
    <mergeCell ref="F37:K37"/>
    <mergeCell ref="F31:K31"/>
    <mergeCell ref="F29:K29"/>
    <mergeCell ref="F23:K23"/>
    <mergeCell ref="F24:K24"/>
    <mergeCell ref="F30:K30"/>
    <mergeCell ref="F22:K22"/>
    <mergeCell ref="F26:K26"/>
    <mergeCell ref="F28:K28"/>
    <mergeCell ref="F27:K27"/>
    <mergeCell ref="F25:K25"/>
    <mergeCell ref="F6:K6"/>
    <mergeCell ref="F10:K10"/>
    <mergeCell ref="F21:K21"/>
    <mergeCell ref="F18:K18"/>
    <mergeCell ref="F13:K13"/>
    <mergeCell ref="F8:K8"/>
    <mergeCell ref="F7:K7"/>
    <mergeCell ref="F9:K9"/>
    <mergeCell ref="F12:K12"/>
    <mergeCell ref="F11:K11"/>
    <mergeCell ref="F14:K14"/>
    <mergeCell ref="F15:K15"/>
    <mergeCell ref="F17:K17"/>
    <mergeCell ref="F16:K16"/>
    <mergeCell ref="F20:K20"/>
    <mergeCell ref="F2:K2"/>
    <mergeCell ref="F3:K3"/>
    <mergeCell ref="F4:K4"/>
    <mergeCell ref="F5:K5"/>
    <mergeCell ref="F55:K55"/>
    <mergeCell ref="F54:K54"/>
    <mergeCell ref="F53:K53"/>
    <mergeCell ref="F52:K52"/>
    <mergeCell ref="F51:K51"/>
    <mergeCell ref="F50:K50"/>
    <mergeCell ref="F49:K49"/>
    <mergeCell ref="F48:K48"/>
    <mergeCell ref="F47:K47"/>
    <mergeCell ref="F46:K46"/>
    <mergeCell ref="F45:K45"/>
    <mergeCell ref="F44:K44"/>
    <mergeCell ref="C21:C26"/>
    <mergeCell ref="C17:C20"/>
    <mergeCell ref="C15:C16"/>
    <mergeCell ref="C9:C14"/>
    <mergeCell ref="C3:C8"/>
    <mergeCell ref="C27:C32"/>
    <mergeCell ref="C53:C55"/>
    <mergeCell ref="C50:C52"/>
    <mergeCell ref="C45:C49"/>
    <mergeCell ref="C39:C44"/>
    <mergeCell ref="C33:C38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B23"/>
  <sheetViews>
    <sheetView zoomScale="60" zoomScaleNormal="60" workbookViewId="0"/>
  </sheetViews>
  <sheetFormatPr baseColWidth="10" defaultColWidth="11.42578125" defaultRowHeight="15" x14ac:dyDescent="0.25"/>
  <cols>
    <col min="1" max="2" width="11.42578125" style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4.140625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5.85546875" style="1" bestFit="1" customWidth="1"/>
    <col min="19" max="19" width="16.140625" style="1" bestFit="1" customWidth="1"/>
    <col min="20" max="20" width="15.140625" style="1" bestFit="1" customWidth="1"/>
    <col min="21" max="16384" width="11.42578125" style="1"/>
  </cols>
  <sheetData>
    <row r="2" spans="2:28" x14ac:dyDescent="0.25">
      <c r="B2" s="71" t="s">
        <v>169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159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9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23" t="s">
        <v>107</v>
      </c>
      <c r="Q4" s="23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75" x14ac:dyDescent="0.25">
      <c r="B5" s="3">
        <v>43</v>
      </c>
      <c r="C5" s="3">
        <v>4600010831</v>
      </c>
      <c r="D5" s="3">
        <v>4600010878</v>
      </c>
      <c r="E5" s="12">
        <v>9873865274</v>
      </c>
      <c r="F5" s="18">
        <f>E5/$E$23</f>
        <v>11248.384061116218</v>
      </c>
      <c r="G5" s="9" t="s">
        <v>7</v>
      </c>
      <c r="H5" s="10" t="s">
        <v>117</v>
      </c>
      <c r="I5" s="10">
        <v>3</v>
      </c>
      <c r="J5" s="10">
        <v>71.900000000000006</v>
      </c>
      <c r="K5" s="10">
        <v>0</v>
      </c>
      <c r="L5" s="3">
        <v>0</v>
      </c>
      <c r="M5" s="3">
        <v>18</v>
      </c>
      <c r="N5" s="3">
        <v>33444.870000000003</v>
      </c>
      <c r="O5" s="3">
        <v>1226874</v>
      </c>
      <c r="P5" s="3">
        <v>901</v>
      </c>
      <c r="Q5" s="3">
        <v>282690.98</v>
      </c>
      <c r="R5" s="3">
        <v>135.53</v>
      </c>
      <c r="S5" s="3">
        <v>58114.12</v>
      </c>
      <c r="T5" s="10">
        <v>0</v>
      </c>
      <c r="U5" s="3">
        <f>315.64/0.1</f>
        <v>3156.3999999999996</v>
      </c>
      <c r="V5" s="3">
        <v>0</v>
      </c>
      <c r="W5" s="3">
        <v>0</v>
      </c>
      <c r="X5" s="3">
        <v>0</v>
      </c>
      <c r="Y5" s="3">
        <v>0</v>
      </c>
      <c r="Z5" s="3">
        <v>2</v>
      </c>
      <c r="AA5" s="3">
        <v>0</v>
      </c>
      <c r="AB5" s="3">
        <v>0</v>
      </c>
    </row>
    <row r="6" spans="2:28" ht="75" x14ac:dyDescent="0.25">
      <c r="B6" s="3">
        <v>44</v>
      </c>
      <c r="C6" s="3">
        <v>4600010847</v>
      </c>
      <c r="D6" s="3">
        <v>4600010861</v>
      </c>
      <c r="E6" s="12">
        <v>7250689730</v>
      </c>
      <c r="F6" s="18">
        <f>E6/$E$23</f>
        <v>8260.0420937271811</v>
      </c>
      <c r="G6" s="9" t="s">
        <v>8</v>
      </c>
      <c r="H6" s="3" t="s">
        <v>123</v>
      </c>
      <c r="I6" s="10">
        <v>3</v>
      </c>
      <c r="J6" s="10">
        <v>109.92</v>
      </c>
      <c r="K6" s="10">
        <v>0</v>
      </c>
      <c r="L6" s="3">
        <v>3</v>
      </c>
      <c r="M6" s="3">
        <v>11</v>
      </c>
      <c r="N6" s="3">
        <f>7215.85+14753.15</f>
        <v>21969</v>
      </c>
      <c r="O6" s="3">
        <v>919950</v>
      </c>
      <c r="P6" s="3">
        <v>1204</v>
      </c>
      <c r="Q6" s="3">
        <v>74697</v>
      </c>
      <c r="R6" s="3">
        <v>149.13999999999999</v>
      </c>
      <c r="S6" s="3">
        <v>36633.97</v>
      </c>
      <c r="T6" s="3">
        <v>15338.07</v>
      </c>
      <c r="U6" s="3">
        <f>608.35/0.1</f>
        <v>6083.5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1</v>
      </c>
      <c r="AB6" s="3">
        <v>0</v>
      </c>
    </row>
    <row r="7" spans="2:28" ht="75" x14ac:dyDescent="0.25">
      <c r="B7" s="3">
        <v>45</v>
      </c>
      <c r="C7" s="3">
        <v>4600010855</v>
      </c>
      <c r="D7" s="3">
        <v>4600010852</v>
      </c>
      <c r="E7" s="12">
        <v>10780239829</v>
      </c>
      <c r="F7" s="18">
        <f>E7/$E$23</f>
        <v>12280.932998634089</v>
      </c>
      <c r="G7" s="9" t="s">
        <v>9</v>
      </c>
      <c r="H7" s="3" t="s">
        <v>136</v>
      </c>
      <c r="I7" s="10">
        <v>6</v>
      </c>
      <c r="J7" s="10">
        <v>1350</v>
      </c>
      <c r="K7" s="10">
        <v>0</v>
      </c>
      <c r="L7" s="3">
        <v>1</v>
      </c>
      <c r="M7" s="3">
        <v>19</v>
      </c>
      <c r="N7" s="3">
        <v>2235.64</v>
      </c>
      <c r="O7" s="3">
        <v>207858</v>
      </c>
      <c r="P7" s="3">
        <v>2804</v>
      </c>
      <c r="Q7" s="3">
        <v>541100</v>
      </c>
      <c r="R7" s="3">
        <v>197.66</v>
      </c>
      <c r="S7" s="3">
        <v>57717.14</v>
      </c>
      <c r="T7" s="3">
        <v>11066.14</v>
      </c>
      <c r="U7" s="3">
        <v>0</v>
      </c>
      <c r="V7" s="3">
        <f>1374.82/0.1</f>
        <v>13748.199999999999</v>
      </c>
      <c r="W7" s="3">
        <v>0</v>
      </c>
      <c r="X7" s="3">
        <v>0</v>
      </c>
      <c r="Y7" s="3">
        <v>0</v>
      </c>
      <c r="Z7" s="3">
        <v>0</v>
      </c>
      <c r="AA7" s="3">
        <v>2</v>
      </c>
      <c r="AB7" s="3">
        <v>0</v>
      </c>
    </row>
    <row r="8" spans="2:28" ht="75" x14ac:dyDescent="0.25">
      <c r="B8" s="3">
        <v>46</v>
      </c>
      <c r="C8" s="3">
        <v>4600010869</v>
      </c>
      <c r="D8" s="3">
        <v>4600010896</v>
      </c>
      <c r="E8" s="12">
        <v>10256456299</v>
      </c>
      <c r="F8" s="18">
        <f>E8/$E$23</f>
        <v>11684.234730343824</v>
      </c>
      <c r="G8" s="9" t="s">
        <v>10</v>
      </c>
      <c r="H8" s="10" t="s">
        <v>137</v>
      </c>
      <c r="I8" s="10">
        <v>1</v>
      </c>
      <c r="J8" s="10">
        <v>0</v>
      </c>
      <c r="K8" s="10">
        <v>0</v>
      </c>
      <c r="L8" s="3">
        <v>0</v>
      </c>
      <c r="M8" s="3">
        <v>3</v>
      </c>
      <c r="N8" s="3">
        <v>4632.37</v>
      </c>
      <c r="O8" s="3">
        <v>169588</v>
      </c>
      <c r="P8" s="3">
        <v>0</v>
      </c>
      <c r="Q8" s="3">
        <v>19204.5</v>
      </c>
      <c r="R8" s="3">
        <v>26.65</v>
      </c>
      <c r="S8" s="3">
        <v>4478.88</v>
      </c>
      <c r="T8" s="3">
        <v>5379.35</v>
      </c>
      <c r="U8" s="3">
        <f>1633.93/0.1</f>
        <v>16339.3</v>
      </c>
      <c r="V8" s="3">
        <f>406/0.1</f>
        <v>4060</v>
      </c>
      <c r="W8" s="3">
        <v>0</v>
      </c>
      <c r="X8" s="3">
        <v>0</v>
      </c>
      <c r="Y8" s="3">
        <v>0</v>
      </c>
      <c r="Z8" s="3">
        <v>1</v>
      </c>
      <c r="AA8" s="3">
        <v>0</v>
      </c>
      <c r="AB8" s="3">
        <v>0</v>
      </c>
    </row>
    <row r="9" spans="2:28" ht="105" x14ac:dyDescent="0.25">
      <c r="B9" s="3">
        <v>47</v>
      </c>
      <c r="C9" s="3">
        <v>4600010884</v>
      </c>
      <c r="D9" s="3">
        <v>4600010871</v>
      </c>
      <c r="E9" s="12">
        <v>5839502164</v>
      </c>
      <c r="F9" s="18">
        <f>E9/$E$23</f>
        <v>6652.4062506052041</v>
      </c>
      <c r="G9" s="9" t="s">
        <v>11</v>
      </c>
      <c r="H9" s="3" t="s">
        <v>122</v>
      </c>
      <c r="I9" s="3">
        <v>2</v>
      </c>
      <c r="J9" s="3">
        <v>0</v>
      </c>
      <c r="K9" s="3">
        <v>0</v>
      </c>
      <c r="L9" s="3">
        <v>0</v>
      </c>
      <c r="M9" s="3">
        <v>4</v>
      </c>
      <c r="N9" s="3">
        <v>1844.92</v>
      </c>
      <c r="O9" s="3">
        <v>284635</v>
      </c>
      <c r="P9" s="3">
        <v>291</v>
      </c>
      <c r="Q9" s="3">
        <v>27300</v>
      </c>
      <c r="R9" s="3">
        <v>10.16</v>
      </c>
      <c r="S9" s="3">
        <v>63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</row>
    <row r="10" spans="2:28" s="24" customFormat="1" x14ac:dyDescent="0.25">
      <c r="B10" s="71" t="s">
        <v>106</v>
      </c>
      <c r="C10" s="71"/>
      <c r="D10" s="71"/>
      <c r="E10" s="16">
        <f>SUM(E5:E9)</f>
        <v>44000753296</v>
      </c>
      <c r="F10" s="29">
        <f>SUM(F5:F9)</f>
        <v>50126.000134426518</v>
      </c>
      <c r="G10" s="58"/>
      <c r="H10" s="58"/>
      <c r="I10" s="7">
        <f>SUM(I5:I9)</f>
        <v>15</v>
      </c>
      <c r="J10" s="7">
        <f>SUM(J5:J9)</f>
        <v>1531.82</v>
      </c>
      <c r="K10" s="7">
        <f>SUM(K5:K9)</f>
        <v>0</v>
      </c>
      <c r="L10" s="7">
        <f>SUM(L5:L9)</f>
        <v>4</v>
      </c>
      <c r="M10" s="7">
        <f t="shared" ref="M10:AB10" si="0">SUM(M5:M9)</f>
        <v>55</v>
      </c>
      <c r="N10" s="7">
        <f t="shared" si="0"/>
        <v>64126.8</v>
      </c>
      <c r="O10" s="7">
        <f t="shared" si="0"/>
        <v>2808905</v>
      </c>
      <c r="P10" s="7">
        <f t="shared" si="0"/>
        <v>5200</v>
      </c>
      <c r="Q10" s="7">
        <f t="shared" si="0"/>
        <v>944992.48</v>
      </c>
      <c r="R10" s="7">
        <f t="shared" si="0"/>
        <v>519.13999999999987</v>
      </c>
      <c r="S10" s="7">
        <f t="shared" si="0"/>
        <v>157007.10999999999</v>
      </c>
      <c r="T10" s="7">
        <f t="shared" si="0"/>
        <v>31783.559999999998</v>
      </c>
      <c r="U10" s="7">
        <f t="shared" si="0"/>
        <v>25579.199999999997</v>
      </c>
      <c r="V10" s="7">
        <f t="shared" si="0"/>
        <v>17808.199999999997</v>
      </c>
      <c r="W10" s="7">
        <f t="shared" si="0"/>
        <v>0</v>
      </c>
      <c r="X10" s="7">
        <f t="shared" si="0"/>
        <v>0</v>
      </c>
      <c r="Y10" s="7">
        <f t="shared" si="0"/>
        <v>0</v>
      </c>
      <c r="Z10" s="7">
        <f t="shared" si="0"/>
        <v>3</v>
      </c>
      <c r="AA10" s="7">
        <f t="shared" si="0"/>
        <v>3</v>
      </c>
      <c r="AB10" s="7">
        <f t="shared" si="0"/>
        <v>0</v>
      </c>
    </row>
    <row r="11" spans="2:28" s="24" customFormat="1" x14ac:dyDescent="0.25">
      <c r="E11" s="26"/>
      <c r="T11" s="1"/>
      <c r="U11" s="1"/>
      <c r="V11" s="1"/>
      <c r="W11" s="1"/>
      <c r="X11" s="1"/>
      <c r="Y11" s="1"/>
      <c r="Z11" s="1"/>
      <c r="AA11" s="1"/>
    </row>
    <row r="13" spans="2:28" x14ac:dyDescent="0.25">
      <c r="C13" s="77" t="s">
        <v>104</v>
      </c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</row>
    <row r="14" spans="2:28" x14ac:dyDescent="0.25">
      <c r="C14" s="78" t="s">
        <v>102</v>
      </c>
      <c r="D14" s="79"/>
      <c r="E14" s="80"/>
      <c r="F14" s="78" t="s">
        <v>103</v>
      </c>
      <c r="G14" s="79"/>
      <c r="H14" s="79"/>
      <c r="I14" s="79"/>
      <c r="J14" s="79"/>
      <c r="K14" s="79"/>
      <c r="L14" s="79"/>
      <c r="M14" s="79"/>
      <c r="N14" s="80"/>
    </row>
    <row r="15" spans="2:28" x14ac:dyDescent="0.25">
      <c r="C15" s="84" t="s">
        <v>171</v>
      </c>
      <c r="D15" s="84"/>
      <c r="E15" s="84"/>
      <c r="F15" s="76" t="s">
        <v>182</v>
      </c>
      <c r="G15" s="74"/>
      <c r="H15" s="74"/>
      <c r="I15" s="74"/>
      <c r="J15" s="74"/>
      <c r="K15" s="74"/>
      <c r="L15" s="74"/>
      <c r="M15" s="74"/>
      <c r="N15" s="75"/>
    </row>
    <row r="16" spans="2:28" x14ac:dyDescent="0.25">
      <c r="C16" s="84" t="s">
        <v>183</v>
      </c>
      <c r="D16" s="84"/>
      <c r="E16" s="84"/>
      <c r="F16" s="76" t="s">
        <v>111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100</v>
      </c>
      <c r="D17" s="84"/>
      <c r="E17" s="84"/>
      <c r="F17" s="76" t="s">
        <v>200</v>
      </c>
      <c r="G17" s="74"/>
      <c r="H17" s="74"/>
      <c r="I17" s="74"/>
      <c r="J17" s="74"/>
      <c r="K17" s="74"/>
      <c r="L17" s="74"/>
      <c r="M17" s="74"/>
      <c r="N17" s="75"/>
    </row>
    <row r="18" spans="3:14" ht="29.25" customHeight="1" x14ac:dyDescent="0.25">
      <c r="C18" s="72" t="s">
        <v>181</v>
      </c>
      <c r="D18" s="72"/>
      <c r="E18" s="72"/>
      <c r="F18" s="73" t="s">
        <v>184</v>
      </c>
      <c r="G18" s="74"/>
      <c r="H18" s="74"/>
      <c r="I18" s="74"/>
      <c r="J18" s="74"/>
      <c r="K18" s="74"/>
      <c r="L18" s="74"/>
      <c r="M18" s="74"/>
      <c r="N18" s="75"/>
    </row>
    <row r="19" spans="3:14" x14ac:dyDescent="0.25">
      <c r="C19" s="76" t="s">
        <v>112</v>
      </c>
      <c r="D19" s="74"/>
      <c r="E19" s="75"/>
      <c r="F19" s="76" t="s">
        <v>186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84" t="s">
        <v>97</v>
      </c>
      <c r="D20" s="84"/>
      <c r="E20" s="84"/>
      <c r="F20" s="76" t="s">
        <v>105</v>
      </c>
      <c r="G20" s="74"/>
      <c r="H20" s="74"/>
      <c r="I20" s="74"/>
      <c r="J20" s="74"/>
      <c r="K20" s="74"/>
      <c r="L20" s="74"/>
      <c r="M20" s="74"/>
      <c r="N20" s="75"/>
    </row>
    <row r="23" spans="3:14" x14ac:dyDescent="0.25">
      <c r="C23" s="78" t="s">
        <v>149</v>
      </c>
      <c r="D23" s="80"/>
      <c r="E23" s="19">
        <v>877803</v>
      </c>
    </row>
  </sheetData>
  <mergeCells count="36">
    <mergeCell ref="F19:N19"/>
    <mergeCell ref="F20:N20"/>
    <mergeCell ref="C23:D23"/>
    <mergeCell ref="B10:D10"/>
    <mergeCell ref="C14:E14"/>
    <mergeCell ref="C15:E15"/>
    <mergeCell ref="C19:E19"/>
    <mergeCell ref="C16:E16"/>
    <mergeCell ref="C17:E17"/>
    <mergeCell ref="C18:E18"/>
    <mergeCell ref="C20:E20"/>
    <mergeCell ref="F14:N14"/>
    <mergeCell ref="F15:N15"/>
    <mergeCell ref="F16:N16"/>
    <mergeCell ref="F17:N17"/>
    <mergeCell ref="F18:N18"/>
    <mergeCell ref="G10:H10"/>
    <mergeCell ref="AB3:AB4"/>
    <mergeCell ref="F3:F4"/>
    <mergeCell ref="I3:L3"/>
    <mergeCell ref="C13:N13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  <mergeCell ref="H3:H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AB21"/>
  <sheetViews>
    <sheetView zoomScale="60" zoomScaleNormal="60" workbookViewId="0"/>
  </sheetViews>
  <sheetFormatPr baseColWidth="10" defaultColWidth="11.42578125" defaultRowHeight="15" x14ac:dyDescent="0.25"/>
  <cols>
    <col min="1" max="2" width="11.42578125" style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2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16384" width="11.42578125" style="1"/>
  </cols>
  <sheetData>
    <row r="2" spans="2:28" x14ac:dyDescent="0.25">
      <c r="B2" s="71" t="s">
        <v>170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160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9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7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105" x14ac:dyDescent="0.25">
      <c r="B5" s="3">
        <v>48</v>
      </c>
      <c r="C5" s="3">
        <v>4600012998</v>
      </c>
      <c r="D5" s="3">
        <v>4600012893</v>
      </c>
      <c r="E5" s="12">
        <v>17285386429</v>
      </c>
      <c r="F5" s="18">
        <f>E5/$E$21</f>
        <v>19025.747671503072</v>
      </c>
      <c r="G5" s="9" t="s">
        <v>4</v>
      </c>
      <c r="H5" s="10" t="s">
        <v>138</v>
      </c>
      <c r="I5" s="10">
        <f>4+4</f>
        <v>8</v>
      </c>
      <c r="J5" s="10">
        <v>120</v>
      </c>
      <c r="K5" s="10">
        <v>1</v>
      </c>
      <c r="L5" s="3">
        <v>12</v>
      </c>
      <c r="M5" s="3">
        <v>23</v>
      </c>
      <c r="N5" s="3">
        <v>24446.6</v>
      </c>
      <c r="O5" s="3">
        <v>786908</v>
      </c>
      <c r="P5" s="3">
        <v>1454</v>
      </c>
      <c r="Q5" s="3">
        <v>382384</v>
      </c>
      <c r="R5" s="3">
        <v>123.97</v>
      </c>
      <c r="S5" s="3">
        <v>42808.47</v>
      </c>
      <c r="T5" s="10">
        <v>2296.5</v>
      </c>
      <c r="U5" s="3">
        <f>133.4/0.1</f>
        <v>1334</v>
      </c>
      <c r="V5" s="3">
        <f>3440.22/0.1</f>
        <v>34402.199999999997</v>
      </c>
      <c r="W5" s="3">
        <v>0</v>
      </c>
      <c r="X5" s="3">
        <v>0</v>
      </c>
      <c r="Y5" s="3">
        <v>0</v>
      </c>
      <c r="Z5" s="3">
        <v>0</v>
      </c>
      <c r="AA5" s="3">
        <v>3</v>
      </c>
      <c r="AB5" s="3">
        <v>6</v>
      </c>
    </row>
    <row r="6" spans="2:28" ht="135" x14ac:dyDescent="0.25">
      <c r="B6" s="3">
        <v>49</v>
      </c>
      <c r="C6" s="3">
        <v>4600013148</v>
      </c>
      <c r="D6" s="3">
        <v>4600012908</v>
      </c>
      <c r="E6" s="12">
        <v>21621503360</v>
      </c>
      <c r="F6" s="18">
        <f>E6/$E$21</f>
        <v>23798.442047888559</v>
      </c>
      <c r="G6" s="9" t="s">
        <v>5</v>
      </c>
      <c r="H6" s="10" t="s">
        <v>139</v>
      </c>
      <c r="I6" s="10">
        <v>11</v>
      </c>
      <c r="J6" s="10">
        <v>0</v>
      </c>
      <c r="K6" s="10">
        <v>0</v>
      </c>
      <c r="L6" s="3">
        <v>0</v>
      </c>
      <c r="M6" s="3">
        <v>31</v>
      </c>
      <c r="N6" s="3">
        <v>19047.080000000002</v>
      </c>
      <c r="O6" s="3">
        <v>463463.85</v>
      </c>
      <c r="P6" s="3">
        <v>781</v>
      </c>
      <c r="Q6" s="3">
        <v>145726.70000000001</v>
      </c>
      <c r="R6" s="3">
        <v>59.04</v>
      </c>
      <c r="S6" s="3">
        <v>85992.68</v>
      </c>
      <c r="T6" s="3">
        <v>589.01</v>
      </c>
      <c r="U6" s="3">
        <v>0</v>
      </c>
      <c r="V6" s="3">
        <f>5422.99/0.1</f>
        <v>54229.899999999994</v>
      </c>
      <c r="W6" s="3">
        <v>0</v>
      </c>
      <c r="X6" s="3">
        <v>0</v>
      </c>
      <c r="Y6" s="3">
        <v>0</v>
      </c>
      <c r="Z6" s="3">
        <v>0</v>
      </c>
      <c r="AA6" s="3">
        <v>1</v>
      </c>
      <c r="AB6" s="3">
        <v>0</v>
      </c>
    </row>
    <row r="7" spans="2:28" ht="105" x14ac:dyDescent="0.25">
      <c r="B7" s="3">
        <v>50</v>
      </c>
      <c r="C7" s="3">
        <v>4600012737</v>
      </c>
      <c r="D7" s="3">
        <v>4600012795</v>
      </c>
      <c r="E7" s="12">
        <v>9629909830</v>
      </c>
      <c r="F7" s="18">
        <f>E7/$E$21</f>
        <v>10599.487334429614</v>
      </c>
      <c r="G7" s="9" t="s">
        <v>6</v>
      </c>
      <c r="H7" s="10" t="s">
        <v>140</v>
      </c>
      <c r="I7" s="10">
        <v>5</v>
      </c>
      <c r="J7" s="10">
        <v>60</v>
      </c>
      <c r="K7" s="10">
        <v>0</v>
      </c>
      <c r="L7" s="3">
        <v>1</v>
      </c>
      <c r="M7" s="3">
        <v>13</v>
      </c>
      <c r="N7" s="3">
        <v>3722.2</v>
      </c>
      <c r="O7" s="3">
        <v>183500</v>
      </c>
      <c r="P7" s="3">
        <v>1274</v>
      </c>
      <c r="Q7" s="3">
        <v>329403.5</v>
      </c>
      <c r="R7" s="3">
        <v>105.3</v>
      </c>
      <c r="S7" s="3">
        <v>48582.7</v>
      </c>
      <c r="T7" s="3">
        <v>3144.9</v>
      </c>
      <c r="U7" s="3">
        <v>0</v>
      </c>
      <c r="V7" s="3">
        <f>1140/0.1</f>
        <v>11400</v>
      </c>
      <c r="W7" s="3">
        <v>0</v>
      </c>
      <c r="X7" s="3">
        <v>0</v>
      </c>
      <c r="Y7" s="3">
        <v>0</v>
      </c>
      <c r="Z7" s="3">
        <v>0</v>
      </c>
      <c r="AA7" s="3">
        <v>1</v>
      </c>
      <c r="AB7" s="3">
        <v>0</v>
      </c>
    </row>
    <row r="8" spans="2:28" s="24" customFormat="1" x14ac:dyDescent="0.25">
      <c r="B8" s="71" t="s">
        <v>106</v>
      </c>
      <c r="C8" s="71"/>
      <c r="D8" s="71"/>
      <c r="E8" s="16">
        <f>SUM(E5:E7)</f>
        <v>48536799619</v>
      </c>
      <c r="F8" s="29">
        <f>SUM(F5:F7)</f>
        <v>53423.677053821244</v>
      </c>
      <c r="G8" s="58"/>
      <c r="H8" s="58"/>
      <c r="I8" s="7">
        <f>SUM(I5:I7)</f>
        <v>24</v>
      </c>
      <c r="J8" s="7">
        <f>SUM(J5:J7)</f>
        <v>180</v>
      </c>
      <c r="K8" s="7">
        <f>SUM(K5:K7)</f>
        <v>1</v>
      </c>
      <c r="L8" s="7">
        <f>SUM(L5:L7)</f>
        <v>13</v>
      </c>
      <c r="M8" s="7">
        <f t="shared" ref="M8:AB8" si="0">SUM(M5:M7)</f>
        <v>67</v>
      </c>
      <c r="N8" s="7">
        <f t="shared" si="0"/>
        <v>47215.88</v>
      </c>
      <c r="O8" s="7">
        <f t="shared" si="0"/>
        <v>1433871.85</v>
      </c>
      <c r="P8" s="7">
        <f t="shared" si="0"/>
        <v>3509</v>
      </c>
      <c r="Q8" s="7">
        <f t="shared" si="0"/>
        <v>857514.2</v>
      </c>
      <c r="R8" s="7">
        <f t="shared" si="0"/>
        <v>288.31</v>
      </c>
      <c r="S8" s="7">
        <f t="shared" si="0"/>
        <v>177383.84999999998</v>
      </c>
      <c r="T8" s="7">
        <f t="shared" si="0"/>
        <v>6030.41</v>
      </c>
      <c r="U8" s="7">
        <f t="shared" si="0"/>
        <v>1334</v>
      </c>
      <c r="V8" s="7">
        <f t="shared" si="0"/>
        <v>100032.09999999999</v>
      </c>
      <c r="W8" s="7">
        <f t="shared" si="0"/>
        <v>0</v>
      </c>
      <c r="X8" s="7">
        <f t="shared" si="0"/>
        <v>0</v>
      </c>
      <c r="Y8" s="7">
        <f t="shared" si="0"/>
        <v>0</v>
      </c>
      <c r="Z8" s="7">
        <f t="shared" si="0"/>
        <v>0</v>
      </c>
      <c r="AA8" s="7">
        <f t="shared" si="0"/>
        <v>5</v>
      </c>
      <c r="AB8" s="7">
        <f t="shared" si="0"/>
        <v>6</v>
      </c>
    </row>
    <row r="9" spans="2:28" s="24" customFormat="1" x14ac:dyDescent="0.25">
      <c r="E9" s="26"/>
      <c r="AB9" s="1"/>
    </row>
    <row r="11" spans="2:28" x14ac:dyDescent="0.25">
      <c r="C11" s="77" t="s">
        <v>104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</row>
    <row r="12" spans="2:28" x14ac:dyDescent="0.25">
      <c r="C12" s="78" t="s">
        <v>102</v>
      </c>
      <c r="D12" s="79"/>
      <c r="E12" s="80"/>
      <c r="F12" s="78" t="s">
        <v>103</v>
      </c>
      <c r="G12" s="79"/>
      <c r="H12" s="79"/>
      <c r="I12" s="79"/>
      <c r="J12" s="79"/>
      <c r="K12" s="79"/>
      <c r="L12" s="79"/>
      <c r="M12" s="79"/>
      <c r="N12" s="80"/>
    </row>
    <row r="13" spans="2:28" x14ac:dyDescent="0.25">
      <c r="C13" s="84" t="s">
        <v>171</v>
      </c>
      <c r="D13" s="84"/>
      <c r="E13" s="84"/>
      <c r="F13" s="76" t="s">
        <v>182</v>
      </c>
      <c r="G13" s="74"/>
      <c r="H13" s="74"/>
      <c r="I13" s="74"/>
      <c r="J13" s="74"/>
      <c r="K13" s="74"/>
      <c r="L13" s="74"/>
      <c r="M13" s="74"/>
      <c r="N13" s="75"/>
    </row>
    <row r="14" spans="2:28" x14ac:dyDescent="0.25">
      <c r="C14" s="84" t="s">
        <v>183</v>
      </c>
      <c r="D14" s="84"/>
      <c r="E14" s="84"/>
      <c r="F14" s="76" t="s">
        <v>111</v>
      </c>
      <c r="G14" s="74"/>
      <c r="H14" s="74"/>
      <c r="I14" s="74"/>
      <c r="J14" s="74"/>
      <c r="K14" s="74"/>
      <c r="L14" s="74"/>
      <c r="M14" s="74"/>
      <c r="N14" s="75"/>
    </row>
    <row r="15" spans="2:28" x14ac:dyDescent="0.25">
      <c r="C15" s="84" t="s">
        <v>100</v>
      </c>
      <c r="D15" s="84"/>
      <c r="E15" s="84"/>
      <c r="F15" s="76" t="s">
        <v>200</v>
      </c>
      <c r="G15" s="74"/>
      <c r="H15" s="74"/>
      <c r="I15" s="74"/>
      <c r="J15" s="74"/>
      <c r="K15" s="74"/>
      <c r="L15" s="74"/>
      <c r="M15" s="74"/>
      <c r="N15" s="75"/>
    </row>
    <row r="16" spans="2:28" ht="15" customHeight="1" x14ac:dyDescent="0.25">
      <c r="C16" s="72" t="s">
        <v>181</v>
      </c>
      <c r="D16" s="72"/>
      <c r="E16" s="72"/>
      <c r="F16" s="73" t="s">
        <v>184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76" t="s">
        <v>112</v>
      </c>
      <c r="D17" s="74"/>
      <c r="E17" s="75"/>
      <c r="F17" s="76" t="s">
        <v>186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97</v>
      </c>
      <c r="D18" s="84"/>
      <c r="E18" s="84"/>
      <c r="F18" s="76" t="s">
        <v>105</v>
      </c>
      <c r="G18" s="74"/>
      <c r="H18" s="74"/>
      <c r="I18" s="74"/>
      <c r="J18" s="74"/>
      <c r="K18" s="74"/>
      <c r="L18" s="74"/>
      <c r="M18" s="74"/>
      <c r="N18" s="75"/>
    </row>
    <row r="21" spans="3:14" x14ac:dyDescent="0.25">
      <c r="C21" s="78" t="s">
        <v>150</v>
      </c>
      <c r="D21" s="80"/>
      <c r="E21" s="19">
        <v>908526</v>
      </c>
    </row>
  </sheetData>
  <mergeCells count="36">
    <mergeCell ref="F17:N17"/>
    <mergeCell ref="F18:N18"/>
    <mergeCell ref="C21:D21"/>
    <mergeCell ref="B8:D8"/>
    <mergeCell ref="C12:E12"/>
    <mergeCell ref="C13:E13"/>
    <mergeCell ref="C17:E17"/>
    <mergeCell ref="C14:E14"/>
    <mergeCell ref="C15:E15"/>
    <mergeCell ref="C16:E16"/>
    <mergeCell ref="C18:E18"/>
    <mergeCell ref="F12:N12"/>
    <mergeCell ref="F13:N13"/>
    <mergeCell ref="F14:N14"/>
    <mergeCell ref="F15:N15"/>
    <mergeCell ref="F16:N16"/>
    <mergeCell ref="G8:H8"/>
    <mergeCell ref="AB3:AB4"/>
    <mergeCell ref="F3:F4"/>
    <mergeCell ref="I3:L3"/>
    <mergeCell ref="C11:N11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  <mergeCell ref="H3:H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B21"/>
  <sheetViews>
    <sheetView zoomScale="60" zoomScaleNormal="60" workbookViewId="0"/>
  </sheetViews>
  <sheetFormatPr baseColWidth="10" defaultColWidth="11.42578125" defaultRowHeight="15" x14ac:dyDescent="0.25"/>
  <cols>
    <col min="1" max="2" width="11.42578125" style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3.42578125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27" width="11.42578125" style="1"/>
    <col min="28" max="28" width="22.5703125" style="1" bestFit="1" customWidth="1"/>
    <col min="29" max="16384" width="11.42578125" style="1"/>
  </cols>
  <sheetData>
    <row r="2" spans="2:28" x14ac:dyDescent="0.25">
      <c r="B2" s="71" t="s">
        <v>199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161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92" t="s">
        <v>183</v>
      </c>
      <c r="N3" s="92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9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93"/>
      <c r="N4" s="93"/>
      <c r="O4" s="70"/>
      <c r="P4" s="7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75" x14ac:dyDescent="0.25">
      <c r="B5" s="3">
        <v>51</v>
      </c>
      <c r="C5" s="2">
        <v>4600014472</v>
      </c>
      <c r="D5" s="2">
        <v>4600014521</v>
      </c>
      <c r="E5" s="14">
        <v>42581904324</v>
      </c>
      <c r="F5" s="21">
        <f>E5/$E$21</f>
        <v>42581.904324000003</v>
      </c>
      <c r="G5" s="9" t="s">
        <v>4</v>
      </c>
      <c r="H5" s="11" t="s">
        <v>141</v>
      </c>
      <c r="I5" s="10">
        <v>22</v>
      </c>
      <c r="J5" s="10">
        <v>378</v>
      </c>
      <c r="K5" s="10">
        <v>1</v>
      </c>
      <c r="L5" s="3">
        <v>16</v>
      </c>
      <c r="M5" s="5">
        <f>20+6+2+1+3+1</f>
        <v>33</v>
      </c>
      <c r="N5" s="32">
        <v>9633</v>
      </c>
      <c r="O5" s="32">
        <v>642456.4</v>
      </c>
      <c r="P5" s="32">
        <v>6825</v>
      </c>
      <c r="Q5" s="32">
        <v>1298079.7</v>
      </c>
      <c r="R5" s="32">
        <v>461.68</v>
      </c>
      <c r="S5" s="32">
        <v>39376.699999999997</v>
      </c>
      <c r="T5" s="31">
        <v>769.1</v>
      </c>
      <c r="U5" s="32">
        <f>4205.3/0.1</f>
        <v>42053</v>
      </c>
      <c r="V5" s="32">
        <f>4960.6/0.1</f>
        <v>49606</v>
      </c>
      <c r="W5" s="32">
        <v>0</v>
      </c>
      <c r="X5" s="32">
        <v>0</v>
      </c>
      <c r="Y5" s="32">
        <v>0</v>
      </c>
      <c r="Z5" s="32">
        <v>1</v>
      </c>
      <c r="AA5" s="32">
        <v>1</v>
      </c>
      <c r="AB5" s="32">
        <v>0</v>
      </c>
    </row>
    <row r="6" spans="2:28" ht="105" x14ac:dyDescent="0.25">
      <c r="B6" s="3">
        <v>52</v>
      </c>
      <c r="C6" s="3">
        <v>4600014620</v>
      </c>
      <c r="D6" s="3">
        <v>4600014679</v>
      </c>
      <c r="E6" s="12">
        <v>53752988912</v>
      </c>
      <c r="F6" s="21">
        <f>E6/$E$21</f>
        <v>53752.988912000001</v>
      </c>
      <c r="G6" s="9" t="s">
        <v>5</v>
      </c>
      <c r="H6" s="10" t="s">
        <v>139</v>
      </c>
      <c r="I6" s="10">
        <v>10</v>
      </c>
      <c r="J6" s="10">
        <v>2289</v>
      </c>
      <c r="K6" s="10">
        <v>1</v>
      </c>
      <c r="L6" s="3">
        <v>15</v>
      </c>
      <c r="M6" s="5">
        <v>52</v>
      </c>
      <c r="N6" s="32">
        <v>17419.73</v>
      </c>
      <c r="O6" s="32">
        <v>496825.67</v>
      </c>
      <c r="P6" s="32">
        <v>2832</v>
      </c>
      <c r="Q6" s="32">
        <v>602578</v>
      </c>
      <c r="R6" s="32">
        <v>282.26</v>
      </c>
      <c r="S6" s="32">
        <v>17331.48</v>
      </c>
      <c r="T6" s="32">
        <v>28458.83</v>
      </c>
      <c r="U6" s="32">
        <v>0</v>
      </c>
      <c r="V6" s="32">
        <f>12625.39/0.1</f>
        <v>126253.9</v>
      </c>
      <c r="W6" s="32">
        <f>15.72/0.1</f>
        <v>157.19999999999999</v>
      </c>
      <c r="X6" s="32">
        <v>0</v>
      </c>
      <c r="Y6" s="32">
        <v>0</v>
      </c>
      <c r="Z6" s="32">
        <v>0</v>
      </c>
      <c r="AA6" s="32">
        <v>3</v>
      </c>
      <c r="AB6" s="32">
        <v>0</v>
      </c>
    </row>
    <row r="7" spans="2:28" ht="75" x14ac:dyDescent="0.25">
      <c r="B7" s="3">
        <v>53</v>
      </c>
      <c r="C7" s="3">
        <v>4600014079</v>
      </c>
      <c r="D7" s="3">
        <v>4600014329</v>
      </c>
      <c r="E7" s="12">
        <v>28520770272</v>
      </c>
      <c r="F7" s="21">
        <f>E7/$E$21</f>
        <v>28520.770272000002</v>
      </c>
      <c r="G7" s="9" t="s">
        <v>6</v>
      </c>
      <c r="H7" s="10" t="s">
        <v>142</v>
      </c>
      <c r="I7" s="10">
        <v>15</v>
      </c>
      <c r="J7" s="10">
        <v>2002</v>
      </c>
      <c r="K7" s="10">
        <v>1</v>
      </c>
      <c r="L7" s="3">
        <v>17</v>
      </c>
      <c r="M7" s="5">
        <v>14</v>
      </c>
      <c r="N7" s="32">
        <v>10376.629999999999</v>
      </c>
      <c r="O7" s="32">
        <v>1057933.6499999999</v>
      </c>
      <c r="P7" s="32">
        <v>1392</v>
      </c>
      <c r="Q7" s="32">
        <v>203218.18</v>
      </c>
      <c r="R7" s="32">
        <v>135.74</v>
      </c>
      <c r="S7" s="32">
        <v>24255.22</v>
      </c>
      <c r="T7" s="32">
        <v>8861.5300000000007</v>
      </c>
      <c r="U7" s="32">
        <f>239.85/0.1</f>
        <v>2398.5</v>
      </c>
      <c r="V7" s="32">
        <f>2120.17/0.1</f>
        <v>21201.7</v>
      </c>
      <c r="W7" s="32">
        <v>0</v>
      </c>
      <c r="X7" s="32">
        <v>296.85000000000002</v>
      </c>
      <c r="Y7" s="32">
        <v>0</v>
      </c>
      <c r="Z7" s="32">
        <v>2</v>
      </c>
      <c r="AA7" s="32">
        <v>0</v>
      </c>
      <c r="AB7" s="32">
        <v>0</v>
      </c>
    </row>
    <row r="8" spans="2:28" s="24" customFormat="1" x14ac:dyDescent="0.25">
      <c r="B8" s="71" t="s">
        <v>106</v>
      </c>
      <c r="C8" s="71"/>
      <c r="D8" s="71"/>
      <c r="E8" s="16">
        <f>SUM(E5:E7)</f>
        <v>124855663508</v>
      </c>
      <c r="F8" s="29">
        <f>SUM(F5:F7)</f>
        <v>124855.663508</v>
      </c>
      <c r="G8" s="58"/>
      <c r="H8" s="58"/>
      <c r="I8" s="7">
        <f>SUM(I5:I7)</f>
        <v>47</v>
      </c>
      <c r="J8" s="7">
        <f>SUM(J5:J7)</f>
        <v>4669</v>
      </c>
      <c r="K8" s="7">
        <f>SUM(K5:K7)</f>
        <v>3</v>
      </c>
      <c r="L8" s="7">
        <f>SUM(L5:L7)</f>
        <v>48</v>
      </c>
      <c r="M8" s="7">
        <f t="shared" ref="M8:AB8" si="0">SUM(M5:M7)</f>
        <v>99</v>
      </c>
      <c r="N8" s="7">
        <f t="shared" si="0"/>
        <v>37429.360000000001</v>
      </c>
      <c r="O8" s="7">
        <f t="shared" si="0"/>
        <v>2197215.7199999997</v>
      </c>
      <c r="P8" s="7">
        <f t="shared" si="0"/>
        <v>11049</v>
      </c>
      <c r="Q8" s="7">
        <f t="shared" si="0"/>
        <v>2103875.88</v>
      </c>
      <c r="R8" s="7">
        <f t="shared" si="0"/>
        <v>879.68000000000006</v>
      </c>
      <c r="S8" s="7">
        <f t="shared" si="0"/>
        <v>80963.399999999994</v>
      </c>
      <c r="T8" s="7">
        <f t="shared" si="0"/>
        <v>38089.46</v>
      </c>
      <c r="U8" s="7">
        <f t="shared" si="0"/>
        <v>44451.5</v>
      </c>
      <c r="V8" s="7">
        <f t="shared" si="0"/>
        <v>197061.6</v>
      </c>
      <c r="W8" s="7">
        <f t="shared" si="0"/>
        <v>157.19999999999999</v>
      </c>
      <c r="X8" s="7">
        <f t="shared" si="0"/>
        <v>296.85000000000002</v>
      </c>
      <c r="Y8" s="7">
        <f t="shared" si="0"/>
        <v>0</v>
      </c>
      <c r="Z8" s="7">
        <f t="shared" si="0"/>
        <v>3</v>
      </c>
      <c r="AA8" s="7">
        <f t="shared" si="0"/>
        <v>4</v>
      </c>
      <c r="AB8" s="7">
        <f t="shared" si="0"/>
        <v>0</v>
      </c>
    </row>
    <row r="9" spans="2:28" s="24" customFormat="1" x14ac:dyDescent="0.25">
      <c r="E9" s="26"/>
    </row>
    <row r="11" spans="2:28" x14ac:dyDescent="0.25">
      <c r="C11" s="77" t="s">
        <v>104</v>
      </c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</row>
    <row r="12" spans="2:28" x14ac:dyDescent="0.25">
      <c r="C12" s="78" t="s">
        <v>102</v>
      </c>
      <c r="D12" s="79"/>
      <c r="E12" s="80"/>
      <c r="F12" s="78" t="s">
        <v>103</v>
      </c>
      <c r="G12" s="79"/>
      <c r="H12" s="79"/>
      <c r="I12" s="79"/>
      <c r="J12" s="79"/>
      <c r="K12" s="79"/>
      <c r="L12" s="79"/>
      <c r="M12" s="79"/>
      <c r="N12" s="80"/>
    </row>
    <row r="13" spans="2:28" x14ac:dyDescent="0.25">
      <c r="C13" s="84" t="s">
        <v>171</v>
      </c>
      <c r="D13" s="84"/>
      <c r="E13" s="84"/>
      <c r="F13" s="76" t="s">
        <v>182</v>
      </c>
      <c r="G13" s="74"/>
      <c r="H13" s="74"/>
      <c r="I13" s="74"/>
      <c r="J13" s="74"/>
      <c r="K13" s="74"/>
      <c r="L13" s="74"/>
      <c r="M13" s="74"/>
      <c r="N13" s="75"/>
    </row>
    <row r="14" spans="2:28" x14ac:dyDescent="0.25">
      <c r="C14" s="84" t="s">
        <v>183</v>
      </c>
      <c r="D14" s="84"/>
      <c r="E14" s="84"/>
      <c r="F14" s="76" t="s">
        <v>111</v>
      </c>
      <c r="G14" s="74"/>
      <c r="H14" s="74"/>
      <c r="I14" s="74"/>
      <c r="J14" s="74"/>
      <c r="K14" s="74"/>
      <c r="L14" s="74"/>
      <c r="M14" s="74"/>
      <c r="N14" s="75"/>
    </row>
    <row r="15" spans="2:28" x14ac:dyDescent="0.25">
      <c r="C15" s="84" t="s">
        <v>100</v>
      </c>
      <c r="D15" s="84"/>
      <c r="E15" s="84"/>
      <c r="F15" s="76" t="s">
        <v>200</v>
      </c>
      <c r="G15" s="74"/>
      <c r="H15" s="74"/>
      <c r="I15" s="74"/>
      <c r="J15" s="74"/>
      <c r="K15" s="74"/>
      <c r="L15" s="74"/>
      <c r="M15" s="74"/>
      <c r="N15" s="75"/>
      <c r="Q15" s="43"/>
    </row>
    <row r="16" spans="2:28" ht="15" customHeight="1" x14ac:dyDescent="0.25">
      <c r="C16" s="72" t="s">
        <v>181</v>
      </c>
      <c r="D16" s="72"/>
      <c r="E16" s="72"/>
      <c r="F16" s="73" t="s">
        <v>184</v>
      </c>
      <c r="G16" s="74"/>
      <c r="H16" s="74"/>
      <c r="I16" s="74"/>
      <c r="J16" s="74"/>
      <c r="K16" s="74"/>
      <c r="L16" s="74"/>
      <c r="M16" s="74"/>
      <c r="N16" s="75"/>
      <c r="Q16" s="41"/>
    </row>
    <row r="17" spans="3:17" x14ac:dyDescent="0.25">
      <c r="C17" s="76" t="s">
        <v>112</v>
      </c>
      <c r="D17" s="74"/>
      <c r="E17" s="75"/>
      <c r="F17" s="76" t="s">
        <v>186</v>
      </c>
      <c r="G17" s="74"/>
      <c r="H17" s="74"/>
      <c r="I17" s="74"/>
      <c r="J17" s="74"/>
      <c r="K17" s="74"/>
      <c r="L17" s="74"/>
      <c r="M17" s="74"/>
      <c r="N17" s="75"/>
    </row>
    <row r="18" spans="3:17" x14ac:dyDescent="0.25">
      <c r="C18" s="84" t="s">
        <v>97</v>
      </c>
      <c r="D18" s="84"/>
      <c r="E18" s="84"/>
      <c r="F18" s="76" t="s">
        <v>105</v>
      </c>
      <c r="G18" s="74"/>
      <c r="H18" s="74"/>
      <c r="I18" s="74"/>
      <c r="J18" s="74"/>
      <c r="K18" s="74"/>
      <c r="L18" s="74"/>
      <c r="M18" s="74"/>
      <c r="N18" s="75"/>
    </row>
    <row r="19" spans="3:17" x14ac:dyDescent="0.25">
      <c r="Q19" s="42"/>
    </row>
    <row r="20" spans="3:17" x14ac:dyDescent="0.25">
      <c r="G20" s="1">
        <f>+'2013'!F7/'2022'!F7</f>
        <v>2.7708567769210268</v>
      </c>
    </row>
    <row r="21" spans="3:17" x14ac:dyDescent="0.25">
      <c r="C21" s="78" t="s">
        <v>162</v>
      </c>
      <c r="D21" s="80"/>
      <c r="E21" s="19">
        <v>1000000</v>
      </c>
      <c r="G21" s="41"/>
    </row>
  </sheetData>
  <mergeCells count="36">
    <mergeCell ref="F17:N17"/>
    <mergeCell ref="F18:N18"/>
    <mergeCell ref="C21:D21"/>
    <mergeCell ref="B8:D8"/>
    <mergeCell ref="C12:E12"/>
    <mergeCell ref="C13:E13"/>
    <mergeCell ref="C17:E17"/>
    <mergeCell ref="C14:E14"/>
    <mergeCell ref="C15:E15"/>
    <mergeCell ref="C16:E16"/>
    <mergeCell ref="C18:E18"/>
    <mergeCell ref="F12:N12"/>
    <mergeCell ref="F13:N13"/>
    <mergeCell ref="F14:N14"/>
    <mergeCell ref="F15:N15"/>
    <mergeCell ref="F16:N16"/>
    <mergeCell ref="G8:H8"/>
    <mergeCell ref="AB3:AB4"/>
    <mergeCell ref="F3:F4"/>
    <mergeCell ref="I3:L3"/>
    <mergeCell ref="C11:N11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  <mergeCell ref="H3:H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AC58"/>
  <sheetViews>
    <sheetView zoomScale="60" zoomScaleNormal="60" workbookViewId="0"/>
  </sheetViews>
  <sheetFormatPr baseColWidth="10" defaultRowHeight="15" x14ac:dyDescent="0.25"/>
  <cols>
    <col min="1" max="2" width="11.42578125" style="1"/>
    <col min="3" max="3" width="17.140625" style="1" bestFit="1" customWidth="1"/>
    <col min="4" max="4" width="21.42578125" style="1" bestFit="1" customWidth="1"/>
    <col min="5" max="5" width="21.42578125" style="1" customWidth="1"/>
    <col min="6" max="6" width="25.42578125" style="1" bestFit="1" customWidth="1"/>
    <col min="7" max="7" width="32.42578125" style="1" bestFit="1" customWidth="1"/>
    <col min="8" max="8" width="42.7109375" style="1" customWidth="1"/>
    <col min="9" max="9" width="20.5703125" style="1" bestFit="1" customWidth="1"/>
    <col min="10" max="14" width="11.42578125" style="1"/>
    <col min="15" max="15" width="30.140625" style="1" customWidth="1"/>
    <col min="16" max="16" width="39.7109375" style="1" bestFit="1" customWidth="1"/>
    <col min="17" max="17" width="13.42578125" style="1" bestFit="1" customWidth="1"/>
    <col min="18" max="16384" width="11.42578125" style="1"/>
  </cols>
  <sheetData>
    <row r="2" spans="2:29" x14ac:dyDescent="0.25">
      <c r="B2" s="71" t="s">
        <v>197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2:29" x14ac:dyDescent="0.25">
      <c r="B3" s="85" t="s">
        <v>0</v>
      </c>
      <c r="C3" s="70" t="s">
        <v>2</v>
      </c>
      <c r="D3" s="70" t="s">
        <v>96</v>
      </c>
      <c r="E3" s="92" t="s">
        <v>1</v>
      </c>
      <c r="F3" s="70" t="s">
        <v>115</v>
      </c>
      <c r="G3" s="70" t="s">
        <v>196</v>
      </c>
      <c r="H3" s="71" t="s">
        <v>3</v>
      </c>
      <c r="I3" s="88" t="s">
        <v>116</v>
      </c>
      <c r="J3" s="81" t="s">
        <v>189</v>
      </c>
      <c r="K3" s="82"/>
      <c r="L3" s="82"/>
      <c r="M3" s="83"/>
      <c r="N3" s="70" t="s">
        <v>183</v>
      </c>
      <c r="O3" s="70" t="s">
        <v>181</v>
      </c>
      <c r="P3" s="70" t="s">
        <v>112</v>
      </c>
      <c r="Q3" s="71" t="s">
        <v>97</v>
      </c>
      <c r="R3" s="71"/>
      <c r="S3" s="71"/>
      <c r="T3" s="70" t="s">
        <v>113</v>
      </c>
      <c r="U3" s="70" t="s">
        <v>172</v>
      </c>
      <c r="V3" s="71" t="s">
        <v>101</v>
      </c>
      <c r="W3" s="71"/>
      <c r="X3" s="71"/>
      <c r="Y3" s="71"/>
      <c r="Z3" s="71"/>
      <c r="AA3" s="71" t="s">
        <v>177</v>
      </c>
      <c r="AB3" s="71"/>
      <c r="AC3" s="70" t="s">
        <v>187</v>
      </c>
    </row>
    <row r="4" spans="2:29" ht="90" x14ac:dyDescent="0.25">
      <c r="B4" s="85"/>
      <c r="C4" s="70"/>
      <c r="D4" s="70"/>
      <c r="E4" s="93"/>
      <c r="F4" s="70"/>
      <c r="G4" s="70"/>
      <c r="H4" s="71"/>
      <c r="I4" s="89"/>
      <c r="J4" s="23" t="s">
        <v>188</v>
      </c>
      <c r="K4" s="23" t="s">
        <v>171</v>
      </c>
      <c r="L4" s="23" t="s">
        <v>190</v>
      </c>
      <c r="M4" s="23" t="s">
        <v>191</v>
      </c>
      <c r="N4" s="70"/>
      <c r="O4" s="70"/>
      <c r="P4" s="70"/>
      <c r="Q4" s="23" t="s">
        <v>107</v>
      </c>
      <c r="R4" s="23" t="s">
        <v>108</v>
      </c>
      <c r="S4" s="7" t="s">
        <v>109</v>
      </c>
      <c r="T4" s="70"/>
      <c r="U4" s="70"/>
      <c r="V4" s="7" t="s">
        <v>173</v>
      </c>
      <c r="W4" s="23" t="s">
        <v>180</v>
      </c>
      <c r="X4" s="7" t="s">
        <v>174</v>
      </c>
      <c r="Y4" s="23" t="s">
        <v>175</v>
      </c>
      <c r="Z4" s="23" t="s">
        <v>176</v>
      </c>
      <c r="AA4" s="23" t="s">
        <v>178</v>
      </c>
      <c r="AB4" s="23" t="s">
        <v>179</v>
      </c>
      <c r="AC4" s="70"/>
    </row>
    <row r="5" spans="2:29" ht="75" x14ac:dyDescent="0.25">
      <c r="B5" s="3">
        <v>1</v>
      </c>
      <c r="C5" s="3" t="s">
        <v>78</v>
      </c>
      <c r="D5" s="3" t="s">
        <v>79</v>
      </c>
      <c r="E5" s="3">
        <v>2012</v>
      </c>
      <c r="F5" s="12">
        <v>4474359011</v>
      </c>
      <c r="G5" s="18">
        <v>7895.4632274572086</v>
      </c>
      <c r="H5" s="9" t="s">
        <v>80</v>
      </c>
      <c r="I5" s="10" t="s">
        <v>117</v>
      </c>
      <c r="J5" s="10">
        <v>5</v>
      </c>
      <c r="K5" s="10">
        <v>0</v>
      </c>
      <c r="L5" s="10">
        <v>0</v>
      </c>
      <c r="M5" s="3">
        <v>3</v>
      </c>
      <c r="N5" s="3">
        <f>1+2+1</f>
        <v>4</v>
      </c>
      <c r="O5" s="3">
        <v>25472.11</v>
      </c>
      <c r="P5" s="3">
        <v>2866.68</v>
      </c>
      <c r="Q5" s="3">
        <v>1954</v>
      </c>
      <c r="R5" s="3">
        <v>249934.05</v>
      </c>
      <c r="S5" s="3">
        <v>609.80999999999995</v>
      </c>
      <c r="T5" s="3">
        <v>21224.25</v>
      </c>
      <c r="U5" s="31">
        <v>0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0</v>
      </c>
      <c r="AB5" s="32">
        <v>1</v>
      </c>
      <c r="AC5" s="32">
        <v>0</v>
      </c>
    </row>
    <row r="6" spans="2:29" ht="75" x14ac:dyDescent="0.25">
      <c r="B6" s="3">
        <v>2</v>
      </c>
      <c r="C6" s="3" t="s">
        <v>86</v>
      </c>
      <c r="D6" s="3" t="s">
        <v>91</v>
      </c>
      <c r="E6" s="3">
        <v>2012</v>
      </c>
      <c r="F6" s="12">
        <v>2157100125</v>
      </c>
      <c r="G6" s="18">
        <v>3806.4233721545793</v>
      </c>
      <c r="H6" s="9" t="s">
        <v>81</v>
      </c>
      <c r="I6" s="10" t="s">
        <v>118</v>
      </c>
      <c r="J6" s="10">
        <v>1</v>
      </c>
      <c r="K6" s="10">
        <v>0</v>
      </c>
      <c r="L6" s="10">
        <v>1</v>
      </c>
      <c r="M6" s="3">
        <v>0</v>
      </c>
      <c r="N6" s="3">
        <f>1+1</f>
        <v>2</v>
      </c>
      <c r="O6" s="3">
        <v>24490.18</v>
      </c>
      <c r="P6" s="3">
        <v>525715.30000000005</v>
      </c>
      <c r="Q6" s="3">
        <v>756</v>
      </c>
      <c r="R6" s="3">
        <v>34913.800000000003</v>
      </c>
      <c r="S6" s="3">
        <v>69.11</v>
      </c>
      <c r="T6" s="3">
        <v>12455.09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</row>
    <row r="7" spans="2:29" ht="45" x14ac:dyDescent="0.25">
      <c r="B7" s="3">
        <v>3</v>
      </c>
      <c r="C7" s="3" t="s">
        <v>87</v>
      </c>
      <c r="D7" s="3" t="s">
        <v>92</v>
      </c>
      <c r="E7" s="3">
        <v>2012</v>
      </c>
      <c r="F7" s="12">
        <v>5062209846</v>
      </c>
      <c r="G7" s="18">
        <v>8932.7860349391212</v>
      </c>
      <c r="H7" s="9" t="s">
        <v>82</v>
      </c>
      <c r="I7" s="10" t="s">
        <v>119</v>
      </c>
      <c r="J7" s="10">
        <v>0</v>
      </c>
      <c r="K7" s="10">
        <v>0</v>
      </c>
      <c r="L7" s="10">
        <v>0</v>
      </c>
      <c r="M7" s="3">
        <v>1</v>
      </c>
      <c r="N7" s="3">
        <v>2</v>
      </c>
      <c r="O7" s="3">
        <v>19645.849999999999</v>
      </c>
      <c r="P7" s="3">
        <v>428855</v>
      </c>
      <c r="Q7" s="3">
        <v>4815.7</v>
      </c>
      <c r="R7" s="3">
        <v>460920</v>
      </c>
      <c r="S7" s="3">
        <v>211.03</v>
      </c>
      <c r="T7" s="3">
        <v>39375.339999999997</v>
      </c>
      <c r="U7" s="32">
        <v>0</v>
      </c>
      <c r="V7" s="32">
        <v>0</v>
      </c>
      <c r="W7" s="3">
        <f>213.29/0.1</f>
        <v>2132.8999999999996</v>
      </c>
      <c r="X7" s="32">
        <v>0</v>
      </c>
      <c r="Y7" s="32">
        <v>0</v>
      </c>
      <c r="Z7" s="32">
        <v>0</v>
      </c>
      <c r="AA7" s="3">
        <v>0</v>
      </c>
      <c r="AB7" s="3">
        <v>0</v>
      </c>
      <c r="AC7" s="32">
        <v>72</v>
      </c>
    </row>
    <row r="8" spans="2:29" ht="75" x14ac:dyDescent="0.25">
      <c r="B8" s="3">
        <v>4</v>
      </c>
      <c r="C8" s="3" t="s">
        <v>88</v>
      </c>
      <c r="D8" s="3" t="s">
        <v>93</v>
      </c>
      <c r="E8" s="3">
        <v>2012</v>
      </c>
      <c r="F8" s="12">
        <v>2235162975</v>
      </c>
      <c r="G8" s="18">
        <v>3944.1732398094232</v>
      </c>
      <c r="H8" s="9" t="s">
        <v>83</v>
      </c>
      <c r="I8" s="10" t="s">
        <v>120</v>
      </c>
      <c r="J8" s="10">
        <v>8</v>
      </c>
      <c r="K8" s="10">
        <v>0</v>
      </c>
      <c r="L8" s="10">
        <v>0</v>
      </c>
      <c r="M8" s="3">
        <v>0</v>
      </c>
      <c r="N8" s="3">
        <v>1</v>
      </c>
      <c r="O8" s="3">
        <v>26178.5</v>
      </c>
      <c r="P8" s="3">
        <v>634461.25</v>
      </c>
      <c r="Q8" s="3">
        <v>479</v>
      </c>
      <c r="R8" s="3">
        <v>0</v>
      </c>
      <c r="S8" s="3">
        <v>59.56</v>
      </c>
      <c r="T8" s="3">
        <v>3333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">
        <v>0</v>
      </c>
      <c r="AB8" s="3">
        <v>0</v>
      </c>
      <c r="AC8" s="32">
        <v>0</v>
      </c>
    </row>
    <row r="9" spans="2:29" ht="45" x14ac:dyDescent="0.25">
      <c r="B9" s="3">
        <v>5</v>
      </c>
      <c r="C9" s="3" t="s">
        <v>89</v>
      </c>
      <c r="D9" s="3" t="s">
        <v>94</v>
      </c>
      <c r="E9" s="3">
        <v>2012</v>
      </c>
      <c r="F9" s="12">
        <v>5464669932</v>
      </c>
      <c r="G9" s="18">
        <v>9642.9679407093699</v>
      </c>
      <c r="H9" s="9" t="s">
        <v>84</v>
      </c>
      <c r="I9" s="10" t="s">
        <v>121</v>
      </c>
      <c r="J9" s="10">
        <v>3</v>
      </c>
      <c r="K9" s="10">
        <v>0</v>
      </c>
      <c r="L9" s="10">
        <v>0</v>
      </c>
      <c r="M9" s="3">
        <v>1</v>
      </c>
      <c r="N9" s="3">
        <f>1+3+1</f>
        <v>5</v>
      </c>
      <c r="O9" s="3">
        <v>52150.8</v>
      </c>
      <c r="P9" s="3">
        <v>2093944</v>
      </c>
      <c r="Q9" s="3">
        <v>4226</v>
      </c>
      <c r="R9" s="3">
        <v>174257.5</v>
      </c>
      <c r="S9" s="3">
        <v>272.3</v>
      </c>
      <c r="T9" s="3">
        <v>22099.5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2">
        <v>0</v>
      </c>
    </row>
    <row r="10" spans="2:29" ht="75" x14ac:dyDescent="0.25">
      <c r="B10" s="3">
        <v>6</v>
      </c>
      <c r="C10" s="3" t="s">
        <v>90</v>
      </c>
      <c r="D10" s="3" t="s">
        <v>95</v>
      </c>
      <c r="E10" s="3">
        <v>2012</v>
      </c>
      <c r="F10" s="12">
        <v>4256027853</v>
      </c>
      <c r="G10" s="18">
        <v>7510.1956114346212</v>
      </c>
      <c r="H10" s="9" t="s">
        <v>85</v>
      </c>
      <c r="I10" s="10" t="s">
        <v>122</v>
      </c>
      <c r="J10" s="10">
        <v>0</v>
      </c>
      <c r="K10" s="10">
        <v>0</v>
      </c>
      <c r="L10" s="10">
        <v>0</v>
      </c>
      <c r="M10" s="3">
        <v>0</v>
      </c>
      <c r="N10" s="3">
        <v>3</v>
      </c>
      <c r="O10" s="3">
        <v>25548.87</v>
      </c>
      <c r="P10" s="3">
        <v>1376742.83</v>
      </c>
      <c r="Q10" s="3">
        <v>1740</v>
      </c>
      <c r="R10" s="3">
        <v>273091.5</v>
      </c>
      <c r="S10" s="3">
        <v>76.37</v>
      </c>
      <c r="T10" s="3">
        <v>21773.759999999998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">
        <v>0</v>
      </c>
      <c r="AB10" s="3">
        <v>0</v>
      </c>
      <c r="AC10" s="32">
        <v>3</v>
      </c>
    </row>
    <row r="11" spans="2:29" ht="75" x14ac:dyDescent="0.25">
      <c r="B11" s="3">
        <v>7</v>
      </c>
      <c r="C11" s="3" t="s">
        <v>62</v>
      </c>
      <c r="D11" s="3" t="s">
        <v>63</v>
      </c>
      <c r="E11" s="3">
        <v>2013</v>
      </c>
      <c r="F11" s="12">
        <v>65379741628</v>
      </c>
      <c r="G11" s="3">
        <v>110907.11048006786</v>
      </c>
      <c r="H11" s="9" t="s">
        <v>64</v>
      </c>
      <c r="I11" s="3" t="s">
        <v>123</v>
      </c>
      <c r="J11" s="10">
        <f>5+34+18+59+5</f>
        <v>121</v>
      </c>
      <c r="K11" s="10">
        <v>0</v>
      </c>
      <c r="L11" s="10">
        <f>3+24+9</f>
        <v>36</v>
      </c>
      <c r="M11" s="3">
        <f>5+18+3</f>
        <v>26</v>
      </c>
      <c r="N11" s="3">
        <f>25+40+25+2+4+14+3</f>
        <v>113</v>
      </c>
      <c r="O11" s="32">
        <v>205918</v>
      </c>
      <c r="P11" s="32">
        <v>1658366.02</v>
      </c>
      <c r="Q11" s="32">
        <v>3278</v>
      </c>
      <c r="R11" s="32">
        <v>189863.9</v>
      </c>
      <c r="S11" s="32">
        <v>411.05</v>
      </c>
      <c r="T11" s="32">
        <v>98738.14</v>
      </c>
      <c r="U11" s="33">
        <v>0</v>
      </c>
      <c r="V11" s="3">
        <f>2128.64/0.1</f>
        <v>21286.399999999998</v>
      </c>
      <c r="W11" s="32">
        <f>1215.52/0.1</f>
        <v>12155.199999999999</v>
      </c>
      <c r="X11" s="32">
        <v>0</v>
      </c>
      <c r="Y11" s="32">
        <v>0</v>
      </c>
      <c r="Z11" s="32">
        <v>0</v>
      </c>
      <c r="AA11" s="3">
        <v>3</v>
      </c>
      <c r="AB11" s="3">
        <v>6</v>
      </c>
      <c r="AC11" s="32">
        <v>696</v>
      </c>
    </row>
    <row r="12" spans="2:29" ht="75" x14ac:dyDescent="0.25">
      <c r="B12" s="3">
        <v>8</v>
      </c>
      <c r="C12" s="3" t="s">
        <v>65</v>
      </c>
      <c r="D12" s="3" t="s">
        <v>66</v>
      </c>
      <c r="E12" s="3">
        <v>2013</v>
      </c>
      <c r="F12" s="12">
        <v>48754133104</v>
      </c>
      <c r="G12" s="3">
        <v>82704.212220525864</v>
      </c>
      <c r="H12" s="9" t="s">
        <v>67</v>
      </c>
      <c r="I12" s="3" t="s">
        <v>124</v>
      </c>
      <c r="J12" s="10">
        <v>10</v>
      </c>
      <c r="K12" s="10">
        <v>0</v>
      </c>
      <c r="L12" s="10">
        <v>0</v>
      </c>
      <c r="M12" s="3">
        <v>4</v>
      </c>
      <c r="N12" s="3">
        <v>17</v>
      </c>
      <c r="O12" s="3">
        <v>146676.35999999999</v>
      </c>
      <c r="P12" s="3">
        <v>1343482.92</v>
      </c>
      <c r="Q12" s="3">
        <v>5796</v>
      </c>
      <c r="R12" s="3">
        <v>2654235.15</v>
      </c>
      <c r="S12" s="3">
        <v>806.48</v>
      </c>
      <c r="T12" s="3">
        <v>309715.33</v>
      </c>
      <c r="U12" s="32">
        <v>0</v>
      </c>
      <c r="V12" s="3">
        <f>1972.65/0.1</f>
        <v>19726.5</v>
      </c>
      <c r="W12" s="3">
        <f>14491.25/0.1</f>
        <v>144912.5</v>
      </c>
      <c r="X12" s="32">
        <v>0</v>
      </c>
      <c r="Y12" s="32">
        <v>0</v>
      </c>
      <c r="Z12" s="32">
        <v>0</v>
      </c>
      <c r="AA12" s="3">
        <v>1</v>
      </c>
      <c r="AB12" s="3">
        <v>1</v>
      </c>
      <c r="AC12" s="32">
        <v>117</v>
      </c>
    </row>
    <row r="13" spans="2:29" ht="75" x14ac:dyDescent="0.25">
      <c r="B13" s="3">
        <v>9</v>
      </c>
      <c r="C13" s="3" t="s">
        <v>68</v>
      </c>
      <c r="D13" s="3" t="s">
        <v>69</v>
      </c>
      <c r="E13" s="3">
        <v>2013</v>
      </c>
      <c r="F13" s="12">
        <v>46586398574</v>
      </c>
      <c r="G13" s="3">
        <v>79026.96959117896</v>
      </c>
      <c r="H13" s="9" t="s">
        <v>70</v>
      </c>
      <c r="I13" s="3" t="s">
        <v>121</v>
      </c>
      <c r="J13" s="3">
        <v>64</v>
      </c>
      <c r="K13" s="3">
        <f>190+5079.3+41.82</f>
        <v>5311.12</v>
      </c>
      <c r="L13" s="3">
        <v>1</v>
      </c>
      <c r="M13" s="3">
        <v>18</v>
      </c>
      <c r="N13" s="3">
        <v>28</v>
      </c>
      <c r="O13" s="32">
        <v>22774.1</v>
      </c>
      <c r="P13" s="32">
        <v>997572.5</v>
      </c>
      <c r="Q13" s="3">
        <v>7110</v>
      </c>
      <c r="R13" s="32">
        <v>549628.30000000005</v>
      </c>
      <c r="S13" s="32">
        <v>387.1</v>
      </c>
      <c r="T13" s="32">
        <v>78115.600000000006</v>
      </c>
      <c r="U13" s="32">
        <v>0</v>
      </c>
      <c r="V13" s="32">
        <f>1918.9/0.1</f>
        <v>19189</v>
      </c>
      <c r="W13" s="3">
        <f>14598.9/0.1</f>
        <v>145989</v>
      </c>
      <c r="X13" s="32">
        <v>0</v>
      </c>
      <c r="Y13" s="32">
        <v>0</v>
      </c>
      <c r="Z13" s="3">
        <v>81234.3</v>
      </c>
      <c r="AA13" s="3">
        <f>1+1</f>
        <v>2</v>
      </c>
      <c r="AB13" s="3">
        <v>0</v>
      </c>
      <c r="AC13" s="32">
        <v>44</v>
      </c>
    </row>
    <row r="14" spans="2:29" ht="75" x14ac:dyDescent="0.25">
      <c r="B14" s="3">
        <v>10</v>
      </c>
      <c r="C14" s="3" t="s">
        <v>71</v>
      </c>
      <c r="D14" s="3" t="s">
        <v>72</v>
      </c>
      <c r="E14" s="3">
        <v>2013</v>
      </c>
      <c r="F14" s="12">
        <v>51121838090</v>
      </c>
      <c r="G14" s="3">
        <v>86720.67530110263</v>
      </c>
      <c r="H14" s="9" t="s">
        <v>73</v>
      </c>
      <c r="I14" s="3" t="s">
        <v>122</v>
      </c>
      <c r="J14" s="3">
        <v>90</v>
      </c>
      <c r="K14" s="3">
        <f>467.8+4.7+21+150.6</f>
        <v>644.1</v>
      </c>
      <c r="L14" s="3">
        <v>4</v>
      </c>
      <c r="M14" s="3">
        <v>16</v>
      </c>
      <c r="N14" s="3">
        <f>48+46+31</f>
        <v>125</v>
      </c>
      <c r="O14" s="32">
        <v>1737</v>
      </c>
      <c r="P14" s="3">
        <v>5179881.3</v>
      </c>
      <c r="Q14" s="3">
        <v>5594</v>
      </c>
      <c r="R14" s="3">
        <v>732793</v>
      </c>
      <c r="S14" s="3">
        <v>548.70000000000005</v>
      </c>
      <c r="T14" s="3">
        <v>233785.60000000001</v>
      </c>
      <c r="U14" s="32">
        <v>0</v>
      </c>
      <c r="V14" s="32">
        <f>1459.2/0.1</f>
        <v>14592</v>
      </c>
      <c r="W14" s="32">
        <f>9955.3/0.1</f>
        <v>99552.999999999985</v>
      </c>
      <c r="X14" s="32">
        <v>0</v>
      </c>
      <c r="Y14" s="3">
        <v>73345</v>
      </c>
      <c r="Z14" s="32">
        <v>0</v>
      </c>
      <c r="AA14" s="3">
        <v>0</v>
      </c>
      <c r="AB14" s="3">
        <v>0</v>
      </c>
      <c r="AC14" s="3">
        <v>897</v>
      </c>
    </row>
    <row r="15" spans="2:29" ht="75" x14ac:dyDescent="0.25">
      <c r="B15" s="3">
        <v>11</v>
      </c>
      <c r="C15" s="3" t="s">
        <v>74</v>
      </c>
      <c r="D15" s="3" t="s">
        <v>75</v>
      </c>
      <c r="E15" s="3">
        <v>2013</v>
      </c>
      <c r="F15" s="12">
        <v>45024335245</v>
      </c>
      <c r="G15" s="3">
        <v>76377.159024597117</v>
      </c>
      <c r="H15" s="9" t="s">
        <v>76</v>
      </c>
      <c r="I15" s="10" t="s">
        <v>117</v>
      </c>
      <c r="J15" s="10">
        <v>81</v>
      </c>
      <c r="K15" s="10">
        <f>2528+1178</f>
        <v>3706</v>
      </c>
      <c r="L15" s="10">
        <v>0</v>
      </c>
      <c r="M15" s="3">
        <v>2</v>
      </c>
      <c r="N15" s="3">
        <v>37</v>
      </c>
      <c r="O15" s="3">
        <v>276302.40000000002</v>
      </c>
      <c r="P15" s="3">
        <v>2276354</v>
      </c>
      <c r="Q15" s="3">
        <v>4582</v>
      </c>
      <c r="R15" s="3">
        <v>497321.4</v>
      </c>
      <c r="S15" s="3">
        <v>299.7</v>
      </c>
      <c r="T15" s="3">
        <v>249120.1</v>
      </c>
      <c r="U15" s="3">
        <v>0</v>
      </c>
      <c r="V15" s="3">
        <f>13/0.1</f>
        <v>130</v>
      </c>
      <c r="W15" s="3">
        <f>1076/0.1</f>
        <v>10760</v>
      </c>
      <c r="X15" s="3">
        <v>0</v>
      </c>
      <c r="Y15" s="3">
        <v>0</v>
      </c>
      <c r="Z15" s="3">
        <v>0</v>
      </c>
      <c r="AA15" s="3">
        <f>1+1</f>
        <v>2</v>
      </c>
      <c r="AB15" s="3">
        <v>1</v>
      </c>
      <c r="AC15" s="3">
        <v>6</v>
      </c>
    </row>
    <row r="16" spans="2:29" ht="60" x14ac:dyDescent="0.25">
      <c r="B16" s="3">
        <v>12</v>
      </c>
      <c r="C16" s="3">
        <v>4600000896</v>
      </c>
      <c r="D16" s="3">
        <v>4600000897</v>
      </c>
      <c r="E16" s="3">
        <v>2013</v>
      </c>
      <c r="F16" s="12">
        <v>4272550509</v>
      </c>
      <c r="G16" s="3">
        <v>7247.7531959287535</v>
      </c>
      <c r="H16" s="9" t="s">
        <v>77</v>
      </c>
      <c r="I16" s="3" t="s">
        <v>192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323</v>
      </c>
      <c r="P16" s="3">
        <v>0</v>
      </c>
      <c r="Q16" s="3">
        <v>211</v>
      </c>
      <c r="R16" s="3">
        <v>0</v>
      </c>
      <c r="S16" s="3">
        <v>9.36</v>
      </c>
      <c r="T16" s="3">
        <v>2662.62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">
        <v>0</v>
      </c>
      <c r="AB16" s="3">
        <v>0</v>
      </c>
      <c r="AC16" s="32">
        <v>0</v>
      </c>
    </row>
    <row r="17" spans="2:29" ht="75" x14ac:dyDescent="0.25">
      <c r="B17" s="3">
        <v>13</v>
      </c>
      <c r="C17" s="3">
        <v>4600001884</v>
      </c>
      <c r="D17" s="3">
        <v>4600001932</v>
      </c>
      <c r="E17" s="3">
        <v>2014</v>
      </c>
      <c r="F17" s="12">
        <v>13912360043</v>
      </c>
      <c r="G17" s="18">
        <v>22585.000069805195</v>
      </c>
      <c r="H17" s="9" t="s">
        <v>60</v>
      </c>
      <c r="I17" s="3" t="s">
        <v>120</v>
      </c>
      <c r="J17" s="10">
        <v>22</v>
      </c>
      <c r="K17" s="10">
        <f>136+17.5+5369</f>
        <v>5522.5</v>
      </c>
      <c r="L17" s="10">
        <v>3</v>
      </c>
      <c r="M17" s="3">
        <v>0</v>
      </c>
      <c r="N17" s="3">
        <v>12</v>
      </c>
      <c r="O17" s="32">
        <v>126081.04</v>
      </c>
      <c r="P17" s="3">
        <v>1246948.8</v>
      </c>
      <c r="Q17" s="3">
        <v>325</v>
      </c>
      <c r="R17" s="3">
        <v>0</v>
      </c>
      <c r="S17" s="3">
        <v>106.01</v>
      </c>
      <c r="T17" s="3">
        <v>19302.62</v>
      </c>
      <c r="U17" s="33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">
        <v>3</v>
      </c>
      <c r="AB17" s="3">
        <v>0</v>
      </c>
      <c r="AC17" s="32">
        <v>68</v>
      </c>
    </row>
    <row r="18" spans="2:29" ht="75" x14ac:dyDescent="0.25">
      <c r="B18" s="3">
        <v>14</v>
      </c>
      <c r="C18" s="3">
        <v>4600001939</v>
      </c>
      <c r="D18" s="3">
        <v>4600001885</v>
      </c>
      <c r="E18" s="3">
        <v>2014</v>
      </c>
      <c r="F18" s="12">
        <v>15979657808</v>
      </c>
      <c r="G18" s="18">
        <v>25941.002935064935</v>
      </c>
      <c r="H18" s="9" t="s">
        <v>61</v>
      </c>
      <c r="I18" s="10" t="s">
        <v>117</v>
      </c>
      <c r="J18" s="10">
        <v>1</v>
      </c>
      <c r="K18" s="10">
        <v>0</v>
      </c>
      <c r="L18" s="10">
        <v>0</v>
      </c>
      <c r="M18" s="3">
        <v>1</v>
      </c>
      <c r="N18" s="3">
        <v>3</v>
      </c>
      <c r="O18" s="3">
        <v>40640.699999999997</v>
      </c>
      <c r="P18" s="3">
        <v>2146824.7000000002</v>
      </c>
      <c r="Q18" s="3">
        <v>3301</v>
      </c>
      <c r="R18" s="3">
        <v>381474</v>
      </c>
      <c r="S18" s="3">
        <v>250.8</v>
      </c>
      <c r="T18" s="3">
        <v>57864.800000000003</v>
      </c>
      <c r="U18" s="32">
        <v>0</v>
      </c>
      <c r="V18" s="3">
        <f>644.1/0.1</f>
        <v>6441</v>
      </c>
      <c r="W18" s="3">
        <f>2153.3/0.1</f>
        <v>21533</v>
      </c>
      <c r="X18" s="32">
        <v>0</v>
      </c>
      <c r="Y18" s="32">
        <v>0</v>
      </c>
      <c r="Z18" s="32">
        <v>0</v>
      </c>
      <c r="AA18" s="3">
        <v>0</v>
      </c>
      <c r="AB18" s="3">
        <v>0</v>
      </c>
      <c r="AC18" s="32">
        <v>49</v>
      </c>
    </row>
    <row r="19" spans="2:29" ht="60" x14ac:dyDescent="0.25">
      <c r="B19" s="3">
        <v>15</v>
      </c>
      <c r="C19" s="3">
        <v>4600004086</v>
      </c>
      <c r="D19" s="3">
        <v>4600004434</v>
      </c>
      <c r="E19" s="34">
        <v>2015</v>
      </c>
      <c r="F19" s="12">
        <v>5655779205</v>
      </c>
      <c r="G19" s="18">
        <v>8777.4954683013893</v>
      </c>
      <c r="H19" s="9" t="s">
        <v>56</v>
      </c>
      <c r="I19" s="10" t="s">
        <v>125</v>
      </c>
      <c r="J19" s="10">
        <v>4</v>
      </c>
      <c r="K19" s="10">
        <v>0</v>
      </c>
      <c r="L19" s="10">
        <v>0</v>
      </c>
      <c r="M19" s="3">
        <v>0</v>
      </c>
      <c r="N19" s="3">
        <v>2</v>
      </c>
      <c r="O19" s="3">
        <v>5393.1</v>
      </c>
      <c r="P19" s="3">
        <v>422378</v>
      </c>
      <c r="Q19" s="3">
        <v>369</v>
      </c>
      <c r="R19" s="3">
        <v>81649.14</v>
      </c>
      <c r="S19" s="3">
        <v>53.68</v>
      </c>
      <c r="T19" s="3">
        <v>434</v>
      </c>
      <c r="U19" s="33">
        <v>0</v>
      </c>
      <c r="V19" s="3">
        <f>3784.57/0.1</f>
        <v>37845.699999999997</v>
      </c>
      <c r="W19" s="3">
        <f>1634.59/0.1</f>
        <v>16345.899999999998</v>
      </c>
      <c r="X19" s="32">
        <v>0</v>
      </c>
      <c r="Y19" s="32">
        <v>0</v>
      </c>
      <c r="Z19" s="32">
        <v>0</v>
      </c>
      <c r="AA19" s="3">
        <v>0</v>
      </c>
      <c r="AB19" s="3">
        <v>0</v>
      </c>
      <c r="AC19" s="32">
        <v>476</v>
      </c>
    </row>
    <row r="20" spans="2:29" ht="90" x14ac:dyDescent="0.25">
      <c r="B20" s="3">
        <v>16</v>
      </c>
      <c r="C20" s="3">
        <v>4600004484</v>
      </c>
      <c r="D20" s="3">
        <v>4600004530</v>
      </c>
      <c r="E20" s="3">
        <v>2015</v>
      </c>
      <c r="F20" s="12">
        <v>6114387127</v>
      </c>
      <c r="G20" s="18">
        <v>9489.2327570419802</v>
      </c>
      <c r="H20" s="9" t="s">
        <v>57</v>
      </c>
      <c r="I20" s="10" t="s">
        <v>126</v>
      </c>
      <c r="J20" s="10">
        <v>11</v>
      </c>
      <c r="K20" s="10">
        <v>980</v>
      </c>
      <c r="L20" s="10">
        <v>0</v>
      </c>
      <c r="M20" s="3">
        <v>0</v>
      </c>
      <c r="N20" s="3">
        <v>4</v>
      </c>
      <c r="O20" s="3">
        <v>23049</v>
      </c>
      <c r="P20" s="3">
        <v>1528155</v>
      </c>
      <c r="Q20" s="3">
        <v>1808</v>
      </c>
      <c r="R20" s="3">
        <v>98615</v>
      </c>
      <c r="S20" s="3">
        <v>128</v>
      </c>
      <c r="T20" s="3">
        <v>36904</v>
      </c>
      <c r="U20" s="3">
        <v>0</v>
      </c>
      <c r="V20" s="3">
        <f>476/0.1</f>
        <v>4760</v>
      </c>
      <c r="W20" s="3">
        <f>519/0.1</f>
        <v>5190</v>
      </c>
      <c r="X20" s="32">
        <v>0</v>
      </c>
      <c r="Y20" s="32">
        <v>0</v>
      </c>
      <c r="Z20" s="32">
        <v>0</v>
      </c>
      <c r="AA20" s="3">
        <v>0</v>
      </c>
      <c r="AB20" s="3">
        <v>0</v>
      </c>
      <c r="AC20" s="32">
        <v>11</v>
      </c>
    </row>
    <row r="21" spans="2:29" ht="90" x14ac:dyDescent="0.25">
      <c r="B21" s="3">
        <v>17</v>
      </c>
      <c r="C21" s="3">
        <v>4600004485</v>
      </c>
      <c r="D21" s="3">
        <v>4600004528</v>
      </c>
      <c r="E21" s="3">
        <v>2015</v>
      </c>
      <c r="F21" s="12">
        <v>5059721912</v>
      </c>
      <c r="G21" s="18">
        <v>7852.4434111895707</v>
      </c>
      <c r="H21" s="9" t="s">
        <v>58</v>
      </c>
      <c r="I21" s="3" t="s">
        <v>127</v>
      </c>
      <c r="J21" s="3">
        <v>9</v>
      </c>
      <c r="K21" s="3">
        <v>0</v>
      </c>
      <c r="L21" s="3">
        <v>0</v>
      </c>
      <c r="M21" s="3">
        <v>0</v>
      </c>
      <c r="N21" s="3">
        <f>2+2</f>
        <v>4</v>
      </c>
      <c r="O21" s="32">
        <v>20648.45</v>
      </c>
      <c r="P21" s="32">
        <v>946278.9</v>
      </c>
      <c r="Q21" s="32">
        <v>0</v>
      </c>
      <c r="R21" s="32">
        <v>15000</v>
      </c>
      <c r="S21" s="32">
        <v>69.22</v>
      </c>
      <c r="T21" s="32">
        <v>29299.5</v>
      </c>
      <c r="U21" s="32">
        <v>0</v>
      </c>
      <c r="V21" s="32">
        <v>0</v>
      </c>
      <c r="W21" s="32">
        <f>394.9/0.1</f>
        <v>3948.9999999999995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</row>
    <row r="22" spans="2:29" ht="75" x14ac:dyDescent="0.25">
      <c r="B22" s="3">
        <v>18</v>
      </c>
      <c r="C22" s="3">
        <v>4600004783</v>
      </c>
      <c r="D22" s="3">
        <v>4600004784</v>
      </c>
      <c r="E22" s="3">
        <v>2015</v>
      </c>
      <c r="F22" s="12">
        <v>3814683540</v>
      </c>
      <c r="G22" s="18">
        <v>5920.2041437107164</v>
      </c>
      <c r="H22" s="9" t="s">
        <v>59</v>
      </c>
      <c r="I22" s="3" t="s">
        <v>121</v>
      </c>
      <c r="J22" s="3">
        <v>15</v>
      </c>
      <c r="K22" s="3">
        <f>41.2+50.8</f>
        <v>92</v>
      </c>
      <c r="L22" s="3">
        <v>0</v>
      </c>
      <c r="M22" s="3">
        <v>1</v>
      </c>
      <c r="N22" s="3">
        <v>10</v>
      </c>
      <c r="O22" s="32">
        <v>2452.6</v>
      </c>
      <c r="P22" s="3">
        <v>16884</v>
      </c>
      <c r="Q22" s="3">
        <v>1277</v>
      </c>
      <c r="R22" s="3">
        <v>24180.9</v>
      </c>
      <c r="S22" s="3">
        <v>86.36</v>
      </c>
      <c r="T22" s="3">
        <v>2467.64</v>
      </c>
      <c r="U22" s="32">
        <v>0</v>
      </c>
      <c r="V22" s="32">
        <v>0</v>
      </c>
      <c r="W22" s="32">
        <f>36.95/0.1</f>
        <v>369.5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256</v>
      </c>
    </row>
    <row r="23" spans="2:29" ht="90" x14ac:dyDescent="0.25">
      <c r="B23" s="3">
        <v>19</v>
      </c>
      <c r="C23" s="3">
        <v>4600005372</v>
      </c>
      <c r="D23" s="3">
        <v>4600005623</v>
      </c>
      <c r="E23" s="3">
        <v>2016</v>
      </c>
      <c r="F23" s="12">
        <v>5968995261</v>
      </c>
      <c r="G23" s="18">
        <v>8657.5559840743772</v>
      </c>
      <c r="H23" s="9" t="s">
        <v>50</v>
      </c>
      <c r="I23" s="3" t="s">
        <v>122</v>
      </c>
      <c r="J23" s="10">
        <v>15</v>
      </c>
      <c r="K23" s="10">
        <f>1095+100</f>
        <v>1195</v>
      </c>
      <c r="L23" s="10">
        <v>0</v>
      </c>
      <c r="M23" s="3">
        <v>2</v>
      </c>
      <c r="N23" s="3">
        <v>13</v>
      </c>
      <c r="O23" s="3">
        <v>0</v>
      </c>
      <c r="P23" s="3">
        <v>1151966.6000000001</v>
      </c>
      <c r="Q23" s="3">
        <v>3303</v>
      </c>
      <c r="R23" s="3">
        <v>258203</v>
      </c>
      <c r="S23" s="3">
        <v>202.95</v>
      </c>
      <c r="T23" s="3">
        <v>29457.5</v>
      </c>
      <c r="U23" s="30">
        <v>0</v>
      </c>
      <c r="V23" s="3">
        <f>245.1/0.1</f>
        <v>2451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1</v>
      </c>
      <c r="AC23" s="3">
        <v>10</v>
      </c>
    </row>
    <row r="24" spans="2:29" ht="60" x14ac:dyDescent="0.25">
      <c r="B24" s="3">
        <v>20</v>
      </c>
      <c r="C24" s="3">
        <v>4600005373</v>
      </c>
      <c r="D24" s="3">
        <v>4600005581</v>
      </c>
      <c r="E24" s="3">
        <v>2016</v>
      </c>
      <c r="F24" s="12">
        <v>6129620831</v>
      </c>
      <c r="G24" s="18">
        <v>8890.5306814802989</v>
      </c>
      <c r="H24" s="9" t="s">
        <v>51</v>
      </c>
      <c r="I24" s="3" t="s">
        <v>121</v>
      </c>
      <c r="J24" s="10">
        <v>10</v>
      </c>
      <c r="K24" s="10">
        <v>0</v>
      </c>
      <c r="L24" s="10">
        <v>0</v>
      </c>
      <c r="M24" s="3">
        <v>2</v>
      </c>
      <c r="N24" s="3">
        <v>15</v>
      </c>
      <c r="O24" s="3">
        <v>12281.32</v>
      </c>
      <c r="P24" s="3">
        <v>195348.75</v>
      </c>
      <c r="Q24" s="3">
        <v>4286</v>
      </c>
      <c r="R24" s="3">
        <v>328514</v>
      </c>
      <c r="S24" s="3">
        <v>302.13</v>
      </c>
      <c r="T24" s="3">
        <v>14608.1</v>
      </c>
      <c r="U24" s="3">
        <v>0</v>
      </c>
      <c r="V24" s="3">
        <f>775.39/0.1</f>
        <v>7753.9</v>
      </c>
      <c r="W24" s="3">
        <f>491.19/0.1</f>
        <v>4911.8999999999996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</row>
    <row r="25" spans="2:29" ht="60" x14ac:dyDescent="0.25">
      <c r="B25" s="3">
        <v>21</v>
      </c>
      <c r="C25" s="3">
        <v>4600005377</v>
      </c>
      <c r="D25" s="3">
        <v>4600005624</v>
      </c>
      <c r="E25" s="3">
        <v>2016</v>
      </c>
      <c r="F25" s="12">
        <v>6140397922</v>
      </c>
      <c r="G25" s="18">
        <v>8906.1620004206216</v>
      </c>
      <c r="H25" s="9" t="s">
        <v>52</v>
      </c>
      <c r="I25" s="3" t="s">
        <v>128</v>
      </c>
      <c r="J25" s="3">
        <v>13</v>
      </c>
      <c r="K25" s="3">
        <v>1246.5</v>
      </c>
      <c r="L25" s="3">
        <v>0</v>
      </c>
      <c r="M25" s="3">
        <v>1</v>
      </c>
      <c r="N25" s="3">
        <v>15</v>
      </c>
      <c r="O25" s="3">
        <v>24491.25</v>
      </c>
      <c r="P25" s="3">
        <v>999457.65</v>
      </c>
      <c r="Q25" s="3">
        <v>533</v>
      </c>
      <c r="R25" s="3">
        <v>13581.7</v>
      </c>
      <c r="S25" s="3">
        <v>83.73</v>
      </c>
      <c r="T25" s="3">
        <v>35595.160000000003</v>
      </c>
      <c r="U25" s="3">
        <v>0</v>
      </c>
      <c r="V25" s="3">
        <f>423.06/0.1</f>
        <v>4230.5999999999995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1</v>
      </c>
      <c r="AC25" s="3">
        <v>38</v>
      </c>
    </row>
    <row r="26" spans="2:29" ht="60" x14ac:dyDescent="0.25">
      <c r="B26" s="3">
        <v>22</v>
      </c>
      <c r="C26" s="3">
        <v>4600005393</v>
      </c>
      <c r="D26" s="3">
        <v>4600005566</v>
      </c>
      <c r="E26" s="3">
        <v>2016</v>
      </c>
      <c r="F26" s="12">
        <v>5421348765</v>
      </c>
      <c r="G26" s="18">
        <v>7863.2380140835876</v>
      </c>
      <c r="H26" s="9" t="s">
        <v>53</v>
      </c>
      <c r="I26" s="10" t="s">
        <v>117</v>
      </c>
      <c r="J26" s="10">
        <v>5</v>
      </c>
      <c r="K26" s="10">
        <v>0</v>
      </c>
      <c r="L26" s="10">
        <v>0</v>
      </c>
      <c r="M26" s="3">
        <v>1</v>
      </c>
      <c r="N26" s="3">
        <v>3</v>
      </c>
      <c r="O26" s="3">
        <v>8091</v>
      </c>
      <c r="P26" s="3">
        <v>1607369</v>
      </c>
      <c r="Q26" s="3">
        <v>1897</v>
      </c>
      <c r="R26" s="3">
        <v>70123</v>
      </c>
      <c r="S26" s="3">
        <v>149.19999999999999</v>
      </c>
      <c r="T26" s="3">
        <v>124693</v>
      </c>
      <c r="U26" s="3">
        <v>0</v>
      </c>
      <c r="V26" s="3">
        <v>0</v>
      </c>
      <c r="W26" s="3">
        <f>254.43/0.1</f>
        <v>2544.2999999999997</v>
      </c>
      <c r="X26" s="3">
        <v>0</v>
      </c>
      <c r="Y26" s="3">
        <v>0</v>
      </c>
      <c r="Z26" s="3">
        <v>0</v>
      </c>
      <c r="AA26" s="3">
        <v>0</v>
      </c>
      <c r="AB26" s="3">
        <v>1</v>
      </c>
      <c r="AC26" s="3">
        <v>28</v>
      </c>
    </row>
    <row r="27" spans="2:29" ht="60" x14ac:dyDescent="0.25">
      <c r="B27" s="3">
        <v>23</v>
      </c>
      <c r="C27" s="3">
        <v>4600005394</v>
      </c>
      <c r="D27" s="3">
        <v>4600005563</v>
      </c>
      <c r="E27" s="3">
        <v>2016</v>
      </c>
      <c r="F27" s="12">
        <v>6133562068</v>
      </c>
      <c r="G27" s="18">
        <v>8896.2471343307388</v>
      </c>
      <c r="H27" s="9" t="s">
        <v>54</v>
      </c>
      <c r="I27" s="3" t="s">
        <v>119</v>
      </c>
      <c r="J27" s="3">
        <v>3</v>
      </c>
      <c r="K27" s="3">
        <v>0</v>
      </c>
      <c r="L27" s="3">
        <v>0</v>
      </c>
      <c r="M27" s="3">
        <v>2</v>
      </c>
      <c r="N27" s="3">
        <v>8</v>
      </c>
      <c r="O27" s="3">
        <v>10409.24</v>
      </c>
      <c r="P27" s="3">
        <v>719074.1</v>
      </c>
      <c r="Q27" s="3">
        <v>7006</v>
      </c>
      <c r="R27" s="3">
        <v>965312.8</v>
      </c>
      <c r="S27" s="3">
        <v>583.59</v>
      </c>
      <c r="T27" s="3">
        <v>17147.38</v>
      </c>
      <c r="U27" s="3">
        <v>0</v>
      </c>
      <c r="V27" s="3">
        <v>0</v>
      </c>
      <c r="W27" s="3">
        <f>51.36/0.1</f>
        <v>513.59999999999991</v>
      </c>
      <c r="X27" s="3">
        <v>0</v>
      </c>
      <c r="Y27" s="3">
        <v>0</v>
      </c>
      <c r="Z27" s="3">
        <v>0</v>
      </c>
      <c r="AA27" s="3">
        <v>1</v>
      </c>
      <c r="AB27" s="3">
        <v>1</v>
      </c>
      <c r="AC27" s="3">
        <v>6</v>
      </c>
    </row>
    <row r="28" spans="2:29" ht="60" x14ac:dyDescent="0.25">
      <c r="B28" s="3">
        <v>24</v>
      </c>
      <c r="C28" s="3">
        <v>4600005515</v>
      </c>
      <c r="D28" s="3">
        <v>4600005622</v>
      </c>
      <c r="E28" s="3">
        <v>2016</v>
      </c>
      <c r="F28" s="12">
        <v>4599657246</v>
      </c>
      <c r="G28" s="18">
        <v>6671.4393919835229</v>
      </c>
      <c r="H28" s="9" t="s">
        <v>55</v>
      </c>
      <c r="I28" s="10" t="s">
        <v>129</v>
      </c>
      <c r="J28" s="10">
        <v>9</v>
      </c>
      <c r="K28" s="10">
        <f>45.6+76+16</f>
        <v>137.6</v>
      </c>
      <c r="L28" s="10">
        <v>0</v>
      </c>
      <c r="M28" s="3">
        <v>2</v>
      </c>
      <c r="N28" s="3">
        <v>17</v>
      </c>
      <c r="O28" s="3">
        <v>1206.5999999999999</v>
      </c>
      <c r="P28" s="3">
        <v>256900</v>
      </c>
      <c r="Q28" s="3">
        <v>1119</v>
      </c>
      <c r="R28" s="3">
        <v>192181</v>
      </c>
      <c r="S28" s="3">
        <v>88.21</v>
      </c>
      <c r="T28" s="3">
        <v>19394.7</v>
      </c>
      <c r="U28" s="3">
        <v>0</v>
      </c>
      <c r="V28" s="3">
        <v>0</v>
      </c>
      <c r="W28" s="3">
        <f>1385.47/0.1</f>
        <v>13854.699999999999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</row>
    <row r="29" spans="2:29" ht="60" x14ac:dyDescent="0.25">
      <c r="B29" s="3">
        <v>25</v>
      </c>
      <c r="C29" s="5">
        <v>4600007136</v>
      </c>
      <c r="D29" s="5">
        <v>4600007209</v>
      </c>
      <c r="E29" s="3">
        <v>2017</v>
      </c>
      <c r="F29" s="13">
        <v>1952872479</v>
      </c>
      <c r="G29" s="3">
        <v>2647.1837832122615</v>
      </c>
      <c r="H29" s="9" t="s">
        <v>46</v>
      </c>
      <c r="I29" s="9" t="s">
        <v>130</v>
      </c>
      <c r="J29" s="10">
        <v>0</v>
      </c>
      <c r="K29" s="10">
        <v>49</v>
      </c>
      <c r="L29" s="10">
        <v>0</v>
      </c>
      <c r="M29" s="3">
        <v>2</v>
      </c>
      <c r="N29" s="3">
        <v>4</v>
      </c>
      <c r="O29" s="3">
        <v>143.19999999999999</v>
      </c>
      <c r="P29" s="3">
        <v>0</v>
      </c>
      <c r="Q29" s="3">
        <v>893</v>
      </c>
      <c r="R29" s="3">
        <v>166550</v>
      </c>
      <c r="S29" s="3">
        <v>51.7</v>
      </c>
      <c r="T29" s="3">
        <v>1982.9</v>
      </c>
      <c r="U29" s="30">
        <v>0</v>
      </c>
      <c r="V29" s="3">
        <v>0</v>
      </c>
      <c r="W29" s="3">
        <f>1061.1/0.1</f>
        <v>10610.999999999998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8</v>
      </c>
    </row>
    <row r="30" spans="2:29" ht="60" x14ac:dyDescent="0.25">
      <c r="B30" s="3">
        <v>26</v>
      </c>
      <c r="C30" s="3">
        <v>4600007146</v>
      </c>
      <c r="D30" s="3">
        <v>4600007228</v>
      </c>
      <c r="E30" s="3">
        <v>2017</v>
      </c>
      <c r="F30" s="12">
        <v>4937970479</v>
      </c>
      <c r="G30" s="3">
        <v>6693.5836899515671</v>
      </c>
      <c r="H30" s="9" t="s">
        <v>47</v>
      </c>
      <c r="I30" s="10" t="s">
        <v>131</v>
      </c>
      <c r="J30" s="10">
        <v>4</v>
      </c>
      <c r="K30" s="10">
        <v>14.7</v>
      </c>
      <c r="L30" s="10">
        <v>0</v>
      </c>
      <c r="M30" s="3">
        <v>4</v>
      </c>
      <c r="N30" s="3">
        <v>9</v>
      </c>
      <c r="O30" s="3">
        <v>13636</v>
      </c>
      <c r="P30" s="3">
        <v>760789</v>
      </c>
      <c r="Q30" s="3">
        <v>84</v>
      </c>
      <c r="R30" s="3">
        <v>52400</v>
      </c>
      <c r="S30" s="3">
        <v>99</v>
      </c>
      <c r="T30" s="3">
        <v>66402</v>
      </c>
      <c r="U30" s="3">
        <v>0</v>
      </c>
      <c r="V30" s="3">
        <v>0</v>
      </c>
      <c r="W30" s="3">
        <f>745/0.1</f>
        <v>7450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</row>
    <row r="31" spans="2:29" ht="90" x14ac:dyDescent="0.25">
      <c r="B31" s="3">
        <v>27</v>
      </c>
      <c r="C31" s="3">
        <v>4600007149</v>
      </c>
      <c r="D31" s="3">
        <v>4600007198</v>
      </c>
      <c r="E31" s="3">
        <v>2017</v>
      </c>
      <c r="F31" s="12">
        <v>4139044164</v>
      </c>
      <c r="G31" s="3">
        <v>5610.6124218365576</v>
      </c>
      <c r="H31" s="9" t="s">
        <v>48</v>
      </c>
      <c r="I31" s="3" t="s">
        <v>127</v>
      </c>
      <c r="J31" s="3">
        <v>17</v>
      </c>
      <c r="K31" s="3">
        <v>135</v>
      </c>
      <c r="L31" s="3">
        <v>0</v>
      </c>
      <c r="M31" s="3">
        <v>0</v>
      </c>
      <c r="N31" s="3">
        <v>13</v>
      </c>
      <c r="O31" s="3">
        <v>17254</v>
      </c>
      <c r="P31" s="3">
        <v>403342.5</v>
      </c>
      <c r="Q31" s="3">
        <v>2234</v>
      </c>
      <c r="R31" s="3">
        <v>227653.6</v>
      </c>
      <c r="S31" s="3">
        <v>144.4</v>
      </c>
      <c r="T31" s="3">
        <v>4202</v>
      </c>
      <c r="U31" s="3">
        <v>0</v>
      </c>
      <c r="V31" s="3">
        <v>0</v>
      </c>
      <c r="W31" s="3">
        <f>9.3/0.1</f>
        <v>93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</row>
    <row r="32" spans="2:29" ht="60" x14ac:dyDescent="0.25">
      <c r="B32" s="3">
        <v>28</v>
      </c>
      <c r="C32" s="3">
        <v>4600007151</v>
      </c>
      <c r="D32" s="3">
        <v>4600007218</v>
      </c>
      <c r="E32" s="3">
        <v>2017</v>
      </c>
      <c r="F32" s="12">
        <v>5128428073</v>
      </c>
      <c r="G32" s="3">
        <v>6951.7553113185677</v>
      </c>
      <c r="H32" s="9" t="s">
        <v>39</v>
      </c>
      <c r="I32" s="3" t="s">
        <v>121</v>
      </c>
      <c r="J32" s="3">
        <v>14</v>
      </c>
      <c r="K32" s="3">
        <v>1000</v>
      </c>
      <c r="L32" s="3">
        <v>0</v>
      </c>
      <c r="M32" s="3">
        <v>0</v>
      </c>
      <c r="N32" s="3">
        <v>15</v>
      </c>
      <c r="O32" s="3">
        <v>14813.1</v>
      </c>
      <c r="P32" s="3">
        <v>239670.5</v>
      </c>
      <c r="Q32" s="3">
        <v>1058</v>
      </c>
      <c r="R32" s="3">
        <v>224730</v>
      </c>
      <c r="S32" s="3">
        <v>93.6</v>
      </c>
      <c r="T32" s="3">
        <v>4368</v>
      </c>
      <c r="U32" s="3">
        <v>0</v>
      </c>
      <c r="V32" s="3">
        <f>421.6/0.1</f>
        <v>4216</v>
      </c>
      <c r="W32" s="3">
        <f>439.2/0.1</f>
        <v>4392</v>
      </c>
      <c r="X32" s="3">
        <v>0</v>
      </c>
      <c r="Y32" s="3">
        <v>0</v>
      </c>
      <c r="Z32" s="3">
        <v>0</v>
      </c>
      <c r="AA32" s="3">
        <v>0</v>
      </c>
      <c r="AB32" s="3">
        <v>1</v>
      </c>
      <c r="AC32" s="3">
        <v>0</v>
      </c>
    </row>
    <row r="33" spans="2:29" ht="60" x14ac:dyDescent="0.25">
      <c r="B33" s="3">
        <v>29</v>
      </c>
      <c r="C33" s="3">
        <v>4600007152</v>
      </c>
      <c r="D33" s="3">
        <v>4600007222</v>
      </c>
      <c r="E33" s="3">
        <v>2017</v>
      </c>
      <c r="F33" s="12">
        <v>4131669988</v>
      </c>
      <c r="G33" s="3">
        <v>5600.6164803034226</v>
      </c>
      <c r="H33" s="9" t="s">
        <v>30</v>
      </c>
      <c r="I33" s="3" t="s">
        <v>119</v>
      </c>
      <c r="J33" s="3">
        <v>8</v>
      </c>
      <c r="K33" s="3">
        <v>0</v>
      </c>
      <c r="L33" s="3">
        <v>0</v>
      </c>
      <c r="M33" s="3">
        <v>2</v>
      </c>
      <c r="N33" s="3">
        <v>10</v>
      </c>
      <c r="O33" s="3">
        <v>10069.1</v>
      </c>
      <c r="P33" s="3">
        <v>457445</v>
      </c>
      <c r="Q33" s="3">
        <v>3618</v>
      </c>
      <c r="R33" s="3">
        <v>584605</v>
      </c>
      <c r="S33" s="3">
        <v>244.2</v>
      </c>
      <c r="T33" s="3">
        <v>17293.900000000001</v>
      </c>
      <c r="U33" s="3">
        <v>0</v>
      </c>
      <c r="V33" s="3">
        <f>10.7/0.1</f>
        <v>106.99999999999999</v>
      </c>
      <c r="W33" s="3">
        <f>600.9/0.1</f>
        <v>6008.9999999999991</v>
      </c>
      <c r="X33" s="3">
        <v>0</v>
      </c>
      <c r="Y33" s="3">
        <v>0</v>
      </c>
      <c r="Z33" s="3">
        <v>0</v>
      </c>
      <c r="AA33" s="3">
        <v>0</v>
      </c>
      <c r="AB33" s="3">
        <v>2</v>
      </c>
      <c r="AC33" s="3">
        <v>30</v>
      </c>
    </row>
    <row r="34" spans="2:29" ht="60" x14ac:dyDescent="0.25">
      <c r="B34" s="3">
        <v>30</v>
      </c>
      <c r="C34" s="3">
        <v>4600007155</v>
      </c>
      <c r="D34" s="3">
        <v>4600007208</v>
      </c>
      <c r="E34" s="3">
        <v>2017</v>
      </c>
      <c r="F34" s="12">
        <v>4145311783</v>
      </c>
      <c r="G34" s="3">
        <v>5619.10838844706</v>
      </c>
      <c r="H34" s="9" t="s">
        <v>49</v>
      </c>
      <c r="I34" s="3" t="s">
        <v>132</v>
      </c>
      <c r="J34" s="3">
        <v>4</v>
      </c>
      <c r="K34" s="3">
        <v>0</v>
      </c>
      <c r="L34" s="3">
        <v>0</v>
      </c>
      <c r="M34" s="3">
        <v>0</v>
      </c>
      <c r="N34" s="3">
        <v>15</v>
      </c>
      <c r="O34" s="3">
        <v>16242.61</v>
      </c>
      <c r="P34" s="3">
        <v>1121503.3999999999</v>
      </c>
      <c r="Q34" s="3">
        <v>1480</v>
      </c>
      <c r="R34" s="3">
        <v>158993.68</v>
      </c>
      <c r="S34" s="3">
        <v>152.85</v>
      </c>
      <c r="T34" s="3">
        <v>47283.9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3">
        <v>0</v>
      </c>
    </row>
    <row r="35" spans="2:29" ht="60" x14ac:dyDescent="0.25">
      <c r="B35" s="3">
        <v>31</v>
      </c>
      <c r="C35" s="3" t="s">
        <v>28</v>
      </c>
      <c r="D35" s="3" t="s">
        <v>29</v>
      </c>
      <c r="E35" s="3">
        <v>2018</v>
      </c>
      <c r="F35" s="12">
        <v>8126599324</v>
      </c>
      <c r="G35" s="18">
        <v>10402.153652773404</v>
      </c>
      <c r="H35" s="9" t="s">
        <v>30</v>
      </c>
      <c r="I35" s="3" t="s">
        <v>119</v>
      </c>
      <c r="J35" s="10">
        <v>4</v>
      </c>
      <c r="K35" s="10">
        <v>802</v>
      </c>
      <c r="L35" s="10">
        <v>0</v>
      </c>
      <c r="M35" s="3">
        <v>3</v>
      </c>
      <c r="N35" s="3">
        <v>29</v>
      </c>
      <c r="O35" s="3">
        <v>2117.1999999999998</v>
      </c>
      <c r="P35" s="3">
        <v>275606</v>
      </c>
      <c r="Q35" s="3">
        <v>2187</v>
      </c>
      <c r="R35" s="3">
        <v>461490</v>
      </c>
      <c r="S35" s="3">
        <v>165.85</v>
      </c>
      <c r="T35" s="3">
        <v>64551.8</v>
      </c>
      <c r="U35" s="30">
        <v>0</v>
      </c>
      <c r="V35" s="3">
        <v>0</v>
      </c>
      <c r="W35" s="3">
        <f>1011.6/0.1</f>
        <v>10116</v>
      </c>
      <c r="X35" s="3">
        <v>0</v>
      </c>
      <c r="Y35" s="3">
        <v>0</v>
      </c>
      <c r="Z35" s="3">
        <v>0</v>
      </c>
      <c r="AA35" s="3">
        <v>0</v>
      </c>
      <c r="AB35" s="3">
        <v>1</v>
      </c>
      <c r="AC35" s="3">
        <v>4</v>
      </c>
    </row>
    <row r="36" spans="2:29" ht="90" x14ac:dyDescent="0.25">
      <c r="B36" s="3">
        <v>32</v>
      </c>
      <c r="C36" s="3" t="s">
        <v>31</v>
      </c>
      <c r="D36" s="3" t="s">
        <v>32</v>
      </c>
      <c r="E36" s="3">
        <v>2018</v>
      </c>
      <c r="F36" s="12">
        <v>6994292572</v>
      </c>
      <c r="G36" s="18">
        <v>8952.786168690367</v>
      </c>
      <c r="H36" s="9" t="s">
        <v>33</v>
      </c>
      <c r="I36" s="3" t="s">
        <v>122</v>
      </c>
      <c r="J36" s="10">
        <v>22</v>
      </c>
      <c r="K36" s="10">
        <f>43.5+1945</f>
        <v>1988.5</v>
      </c>
      <c r="L36" s="10">
        <v>0</v>
      </c>
      <c r="M36" s="3">
        <v>0</v>
      </c>
      <c r="N36" s="3">
        <v>20</v>
      </c>
      <c r="O36" s="3">
        <v>8780.0499999999993</v>
      </c>
      <c r="P36" s="3">
        <v>1257145</v>
      </c>
      <c r="Q36" s="3">
        <v>1132</v>
      </c>
      <c r="R36" s="3">
        <v>208905.3</v>
      </c>
      <c r="S36" s="3">
        <v>76.47</v>
      </c>
      <c r="T36" s="3">
        <v>88456.06</v>
      </c>
      <c r="U36" s="3">
        <v>0</v>
      </c>
      <c r="V36" s="3">
        <f>736.63/0.1</f>
        <v>7366.2999999999993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20</v>
      </c>
    </row>
    <row r="37" spans="2:29" ht="60" x14ac:dyDescent="0.25">
      <c r="B37" s="3">
        <v>33</v>
      </c>
      <c r="C37" s="3" t="s">
        <v>34</v>
      </c>
      <c r="D37" s="3" t="s">
        <v>35</v>
      </c>
      <c r="E37" s="3">
        <v>2018</v>
      </c>
      <c r="F37" s="12">
        <v>5499763303</v>
      </c>
      <c r="G37" s="18">
        <v>7039.7691150757382</v>
      </c>
      <c r="H37" s="9" t="s">
        <v>36</v>
      </c>
      <c r="I37" s="10" t="s">
        <v>129</v>
      </c>
      <c r="J37" s="10">
        <v>3</v>
      </c>
      <c r="K37" s="10">
        <v>3000</v>
      </c>
      <c r="L37" s="10">
        <v>4</v>
      </c>
      <c r="M37" s="3">
        <v>0</v>
      </c>
      <c r="N37" s="3">
        <v>5</v>
      </c>
      <c r="O37" s="3">
        <v>9164.1</v>
      </c>
      <c r="P37" s="3">
        <v>466854</v>
      </c>
      <c r="Q37" s="3">
        <v>1038</v>
      </c>
      <c r="R37" s="3">
        <v>154700</v>
      </c>
      <c r="S37" s="3">
        <v>74.33</v>
      </c>
      <c r="T37" s="3">
        <v>5238.8900000000003</v>
      </c>
      <c r="U37" s="3">
        <v>0</v>
      </c>
      <c r="V37" s="3">
        <f>1075.56/0.1</f>
        <v>10755.599999999999</v>
      </c>
      <c r="W37" s="3">
        <f>740.39/0.1</f>
        <v>7403.9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25</v>
      </c>
    </row>
    <row r="38" spans="2:29" ht="60" x14ac:dyDescent="0.25">
      <c r="B38" s="3">
        <v>34</v>
      </c>
      <c r="C38" s="3" t="s">
        <v>37</v>
      </c>
      <c r="D38" s="3" t="s">
        <v>38</v>
      </c>
      <c r="E38" s="3">
        <v>2018</v>
      </c>
      <c r="F38" s="12">
        <v>5961604389</v>
      </c>
      <c r="G38" s="18">
        <v>7630.9317586612087</v>
      </c>
      <c r="H38" s="9" t="s">
        <v>39</v>
      </c>
      <c r="I38" s="3" t="s">
        <v>121</v>
      </c>
      <c r="J38" s="3">
        <v>0</v>
      </c>
      <c r="K38" s="3">
        <v>0</v>
      </c>
      <c r="L38" s="3">
        <v>0</v>
      </c>
      <c r="M38" s="3">
        <v>2</v>
      </c>
      <c r="N38" s="3">
        <v>5</v>
      </c>
      <c r="O38" s="3">
        <v>10386.58</v>
      </c>
      <c r="P38" s="3">
        <v>64180</v>
      </c>
      <c r="Q38" s="3">
        <v>3335</v>
      </c>
      <c r="R38" s="3">
        <v>406350</v>
      </c>
      <c r="S38" s="3">
        <v>254.95</v>
      </c>
      <c r="T38" s="3">
        <v>41516.9</v>
      </c>
      <c r="U38" s="3">
        <v>0</v>
      </c>
      <c r="V38" s="3">
        <f>288.93/0.1</f>
        <v>2889.2999999999997</v>
      </c>
      <c r="W38" s="3">
        <f>499.56/0.1</f>
        <v>4995.5999999999995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</row>
    <row r="39" spans="2:29" ht="60" x14ac:dyDescent="0.25">
      <c r="B39" s="3">
        <v>35</v>
      </c>
      <c r="C39" s="3" t="s">
        <v>40</v>
      </c>
      <c r="D39" s="3" t="s">
        <v>41</v>
      </c>
      <c r="E39" s="3">
        <v>2018</v>
      </c>
      <c r="F39" s="12">
        <v>7506830256</v>
      </c>
      <c r="G39" s="18">
        <v>9608.8411222130908</v>
      </c>
      <c r="H39" s="9" t="s">
        <v>42</v>
      </c>
      <c r="I39" s="3" t="s">
        <v>133</v>
      </c>
      <c r="J39" s="3">
        <v>35</v>
      </c>
      <c r="K39" s="3">
        <v>311.39999999999998</v>
      </c>
      <c r="L39" s="3">
        <v>0</v>
      </c>
      <c r="M39" s="3">
        <v>7</v>
      </c>
      <c r="N39" s="3">
        <v>28</v>
      </c>
      <c r="O39" s="3">
        <v>22770.2</v>
      </c>
      <c r="P39" s="3">
        <v>1008800</v>
      </c>
      <c r="Q39" s="3">
        <v>1960</v>
      </c>
      <c r="R39" s="3">
        <v>215410</v>
      </c>
      <c r="S39" s="3">
        <v>184.7</v>
      </c>
      <c r="T39" s="3">
        <v>33004.9</v>
      </c>
      <c r="U39" s="3">
        <v>0</v>
      </c>
      <c r="V39" s="3">
        <f>646.4/0.1</f>
        <v>6463.9999999999991</v>
      </c>
      <c r="W39" s="3">
        <f>10.6/0.1</f>
        <v>105.99999999999999</v>
      </c>
      <c r="X39" s="3">
        <v>0</v>
      </c>
      <c r="Y39" s="3">
        <v>10268.799999999999</v>
      </c>
      <c r="Z39" s="3">
        <v>0</v>
      </c>
      <c r="AA39" s="3">
        <v>0</v>
      </c>
      <c r="AB39" s="3">
        <v>0</v>
      </c>
      <c r="AC39" s="3">
        <v>0</v>
      </c>
    </row>
    <row r="40" spans="2:29" ht="60" x14ac:dyDescent="0.25">
      <c r="B40" s="3">
        <v>36</v>
      </c>
      <c r="C40" s="3" t="s">
        <v>43</v>
      </c>
      <c r="D40" s="3" t="s">
        <v>44</v>
      </c>
      <c r="E40" s="3">
        <v>2018</v>
      </c>
      <c r="F40" s="12">
        <v>5321334795</v>
      </c>
      <c r="G40" s="18">
        <v>6811.3782861136497</v>
      </c>
      <c r="H40" s="9" t="s">
        <v>45</v>
      </c>
      <c r="I40" s="10" t="s">
        <v>117</v>
      </c>
      <c r="J40" s="10">
        <v>9</v>
      </c>
      <c r="K40" s="10">
        <v>0</v>
      </c>
      <c r="L40" s="10">
        <v>0</v>
      </c>
      <c r="M40" s="3">
        <v>1</v>
      </c>
      <c r="N40" s="3">
        <v>17</v>
      </c>
      <c r="O40" s="3">
        <v>7237.18</v>
      </c>
      <c r="P40" s="3">
        <v>828603.5</v>
      </c>
      <c r="Q40" s="3">
        <v>547</v>
      </c>
      <c r="R40" s="3">
        <v>186716.2</v>
      </c>
      <c r="S40" s="3">
        <v>81.290000000000006</v>
      </c>
      <c r="T40" s="3">
        <v>73058.100000000006</v>
      </c>
      <c r="U40" s="3">
        <v>0</v>
      </c>
      <c r="V40" s="3">
        <v>0</v>
      </c>
      <c r="W40" s="3">
        <f>697.4/0.1</f>
        <v>6973.9999999999991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12</v>
      </c>
    </row>
    <row r="41" spans="2:29" ht="60" x14ac:dyDescent="0.25">
      <c r="B41" s="3">
        <v>37</v>
      </c>
      <c r="C41" s="3" t="s">
        <v>12</v>
      </c>
      <c r="D41" s="3" t="s">
        <v>13</v>
      </c>
      <c r="E41" s="3">
        <v>2019</v>
      </c>
      <c r="F41" s="12">
        <v>6648674335</v>
      </c>
      <c r="G41" s="18">
        <v>8028.6751312618035</v>
      </c>
      <c r="H41" s="9" t="s">
        <v>14</v>
      </c>
      <c r="I41" s="3" t="s">
        <v>134</v>
      </c>
      <c r="J41" s="10">
        <v>7</v>
      </c>
      <c r="K41" s="10">
        <v>0</v>
      </c>
      <c r="L41" s="10">
        <v>0</v>
      </c>
      <c r="M41" s="3">
        <v>1</v>
      </c>
      <c r="N41" s="3">
        <v>27</v>
      </c>
      <c r="O41" s="3">
        <v>10264.799999999999</v>
      </c>
      <c r="P41" s="3">
        <v>492681</v>
      </c>
      <c r="Q41" s="3">
        <v>561</v>
      </c>
      <c r="R41" s="3">
        <v>184262</v>
      </c>
      <c r="S41" s="3">
        <v>121.13</v>
      </c>
      <c r="T41" s="3">
        <v>34137</v>
      </c>
      <c r="U41" s="30">
        <v>0</v>
      </c>
      <c r="V41" s="3">
        <f>604/0.1</f>
        <v>6040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</row>
    <row r="42" spans="2:29" ht="60" x14ac:dyDescent="0.25">
      <c r="B42" s="3">
        <v>38</v>
      </c>
      <c r="C42" s="3" t="s">
        <v>15</v>
      </c>
      <c r="D42" s="3" t="s">
        <v>16</v>
      </c>
      <c r="E42" s="3">
        <v>2019</v>
      </c>
      <c r="F42" s="12">
        <v>4776708403</v>
      </c>
      <c r="G42" s="18">
        <v>5768.1634010211128</v>
      </c>
      <c r="H42" s="9" t="s">
        <v>17</v>
      </c>
      <c r="I42" s="10" t="s">
        <v>117</v>
      </c>
      <c r="J42" s="10">
        <v>4</v>
      </c>
      <c r="K42" s="10">
        <v>0</v>
      </c>
      <c r="L42" s="10">
        <v>0</v>
      </c>
      <c r="M42" s="3">
        <v>3</v>
      </c>
      <c r="N42" s="3">
        <v>12</v>
      </c>
      <c r="O42" s="3">
        <v>82.19</v>
      </c>
      <c r="P42" s="3">
        <v>110550</v>
      </c>
      <c r="Q42" s="3">
        <v>1249</v>
      </c>
      <c r="R42" s="3">
        <v>391591</v>
      </c>
      <c r="S42" s="3">
        <v>151.69999999999999</v>
      </c>
      <c r="T42" s="3">
        <v>24230</v>
      </c>
      <c r="U42" s="10">
        <v>8864.4</v>
      </c>
      <c r="V42" s="3">
        <v>0</v>
      </c>
      <c r="W42" s="3">
        <f>808.4/0.1</f>
        <v>8083.9999999999991</v>
      </c>
      <c r="X42" s="3">
        <v>0</v>
      </c>
      <c r="Y42" s="3">
        <v>0</v>
      </c>
      <c r="Z42" s="3">
        <v>0</v>
      </c>
      <c r="AA42" s="3">
        <v>0</v>
      </c>
      <c r="AB42" s="3">
        <v>1</v>
      </c>
      <c r="AC42" s="3">
        <v>0</v>
      </c>
    </row>
    <row r="43" spans="2:29" ht="60" x14ac:dyDescent="0.25">
      <c r="B43" s="3">
        <v>39</v>
      </c>
      <c r="C43" s="3" t="s">
        <v>18</v>
      </c>
      <c r="D43" s="3" t="s">
        <v>19</v>
      </c>
      <c r="E43" s="3">
        <v>2019</v>
      </c>
      <c r="F43" s="12">
        <v>7392558930</v>
      </c>
      <c r="G43" s="18">
        <v>8926.9606311193111</v>
      </c>
      <c r="H43" s="9" t="s">
        <v>20</v>
      </c>
      <c r="I43" s="3" t="s">
        <v>119</v>
      </c>
      <c r="J43" s="3">
        <v>8</v>
      </c>
      <c r="K43" s="3">
        <v>0</v>
      </c>
      <c r="L43" s="3">
        <v>0</v>
      </c>
      <c r="M43" s="3">
        <v>2</v>
      </c>
      <c r="N43" s="3">
        <v>11</v>
      </c>
      <c r="O43" s="3">
        <v>2090.8000000000002</v>
      </c>
      <c r="P43" s="3">
        <v>102673.5</v>
      </c>
      <c r="Q43" s="3">
        <v>1775</v>
      </c>
      <c r="R43" s="3">
        <v>373078.8</v>
      </c>
      <c r="S43" s="3">
        <v>108.5</v>
      </c>
      <c r="T43" s="3">
        <v>10222.799999999999</v>
      </c>
      <c r="U43" s="10">
        <v>7028</v>
      </c>
      <c r="V43" s="3">
        <f>2132.6/0.1</f>
        <v>21325.999999999996</v>
      </c>
      <c r="W43" s="3">
        <v>0</v>
      </c>
      <c r="X43" s="3">
        <v>0</v>
      </c>
      <c r="Y43" s="3">
        <v>4834.5</v>
      </c>
      <c r="Z43" s="3">
        <v>0</v>
      </c>
      <c r="AA43" s="3">
        <v>0</v>
      </c>
      <c r="AB43" s="3">
        <v>0</v>
      </c>
      <c r="AC43" s="3">
        <v>0</v>
      </c>
    </row>
    <row r="44" spans="2:29" ht="60" x14ac:dyDescent="0.25">
      <c r="B44" s="3">
        <v>40</v>
      </c>
      <c r="C44" s="3" t="s">
        <v>21</v>
      </c>
      <c r="D44" s="3" t="s">
        <v>22</v>
      </c>
      <c r="E44" s="3">
        <v>2019</v>
      </c>
      <c r="F44" s="12">
        <v>5470030090</v>
      </c>
      <c r="G44" s="18">
        <v>6605.3911408546628</v>
      </c>
      <c r="H44" s="9" t="s">
        <v>23</v>
      </c>
      <c r="I44" s="3" t="s">
        <v>121</v>
      </c>
      <c r="J44" s="3">
        <v>7</v>
      </c>
      <c r="K44" s="3">
        <v>400</v>
      </c>
      <c r="L44" s="3">
        <v>0</v>
      </c>
      <c r="M44" s="3">
        <v>1</v>
      </c>
      <c r="N44" s="3">
        <v>11</v>
      </c>
      <c r="O44" s="3">
        <v>0</v>
      </c>
      <c r="P44" s="3">
        <v>9744</v>
      </c>
      <c r="Q44" s="3">
        <v>2594</v>
      </c>
      <c r="R44" s="3">
        <v>438718.4</v>
      </c>
      <c r="S44" s="3">
        <v>179.95</v>
      </c>
      <c r="T44" s="3">
        <v>6319.8</v>
      </c>
      <c r="U44" s="10">
        <v>158.9</v>
      </c>
      <c r="V44" s="3">
        <f>759.57/0.1</f>
        <v>7595.7</v>
      </c>
      <c r="W44" s="3">
        <f>202.19/0.1</f>
        <v>2021.8999999999999</v>
      </c>
      <c r="X44" s="3">
        <v>0</v>
      </c>
      <c r="Y44" s="3">
        <v>0</v>
      </c>
      <c r="Z44" s="3">
        <v>40</v>
      </c>
      <c r="AA44" s="3">
        <v>0</v>
      </c>
      <c r="AB44" s="3">
        <v>0</v>
      </c>
      <c r="AC44" s="3">
        <v>0</v>
      </c>
    </row>
    <row r="45" spans="2:29" ht="105" x14ac:dyDescent="0.25">
      <c r="B45" s="3">
        <v>41</v>
      </c>
      <c r="C45" s="3" t="s">
        <v>24</v>
      </c>
      <c r="D45" s="3" t="s">
        <v>25</v>
      </c>
      <c r="E45" s="3">
        <v>2019</v>
      </c>
      <c r="F45" s="12">
        <v>4152789616</v>
      </c>
      <c r="G45" s="18">
        <v>5014.7438474803048</v>
      </c>
      <c r="H45" s="9" t="s">
        <v>26</v>
      </c>
      <c r="I45" s="3" t="s">
        <v>122</v>
      </c>
      <c r="J45" s="3">
        <v>3</v>
      </c>
      <c r="K45" s="3">
        <v>500</v>
      </c>
      <c r="L45" s="3">
        <v>0</v>
      </c>
      <c r="M45" s="3">
        <v>1</v>
      </c>
      <c r="N45" s="3">
        <v>12</v>
      </c>
      <c r="O45" s="3">
        <v>9181.2999999999993</v>
      </c>
      <c r="P45" s="3">
        <v>192193.6</v>
      </c>
      <c r="Q45" s="3">
        <v>1351</v>
      </c>
      <c r="R45" s="3">
        <v>225817</v>
      </c>
      <c r="S45" s="3">
        <v>71.3</v>
      </c>
      <c r="T45" s="3">
        <v>9800</v>
      </c>
      <c r="U45" s="30">
        <v>0</v>
      </c>
      <c r="V45" s="3">
        <f>100.6/0.1</f>
        <v>1005.9999999999999</v>
      </c>
      <c r="W45" s="3">
        <f>364.2/0.1</f>
        <v>3641.9999999999995</v>
      </c>
      <c r="X45" s="3">
        <v>0</v>
      </c>
      <c r="Y45" s="3">
        <v>0</v>
      </c>
      <c r="Z45" s="3">
        <v>17233.599999999999</v>
      </c>
      <c r="AA45" s="3">
        <v>0</v>
      </c>
      <c r="AB45" s="3">
        <v>0</v>
      </c>
      <c r="AC45" s="3">
        <v>0</v>
      </c>
    </row>
    <row r="46" spans="2:29" ht="60" x14ac:dyDescent="0.25">
      <c r="B46" s="3">
        <v>42</v>
      </c>
      <c r="C46" s="3">
        <v>4600010158</v>
      </c>
      <c r="D46" s="3">
        <v>4600010165</v>
      </c>
      <c r="E46" s="3">
        <v>2019</v>
      </c>
      <c r="F46" s="12">
        <v>1900951518</v>
      </c>
      <c r="G46" s="18">
        <v>2295.5135729776989</v>
      </c>
      <c r="H46" s="9" t="s">
        <v>27</v>
      </c>
      <c r="I46" s="10" t="s">
        <v>135</v>
      </c>
      <c r="J46" s="10">
        <v>0</v>
      </c>
      <c r="K46" s="10">
        <v>0</v>
      </c>
      <c r="L46" s="10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0">
        <v>0</v>
      </c>
      <c r="V46" s="3">
        <f>1129.7/0.1</f>
        <v>11297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</row>
    <row r="47" spans="2:29" ht="60" x14ac:dyDescent="0.25">
      <c r="B47" s="3">
        <v>43</v>
      </c>
      <c r="C47" s="3">
        <v>4600010831</v>
      </c>
      <c r="D47" s="3">
        <v>4600010878</v>
      </c>
      <c r="E47" s="3">
        <v>2020</v>
      </c>
      <c r="F47" s="12">
        <v>9873865274</v>
      </c>
      <c r="G47" s="18">
        <v>11248.384061116218</v>
      </c>
      <c r="H47" s="9" t="s">
        <v>7</v>
      </c>
      <c r="I47" s="10" t="s">
        <v>117</v>
      </c>
      <c r="J47" s="10">
        <v>3</v>
      </c>
      <c r="K47" s="10">
        <v>71.900000000000006</v>
      </c>
      <c r="L47" s="10">
        <v>0</v>
      </c>
      <c r="M47" s="3">
        <v>0</v>
      </c>
      <c r="N47" s="3">
        <v>18</v>
      </c>
      <c r="O47" s="3">
        <v>33444.870000000003</v>
      </c>
      <c r="P47" s="3">
        <v>1226874</v>
      </c>
      <c r="Q47" s="3">
        <v>901</v>
      </c>
      <c r="R47" s="3">
        <v>282690.98</v>
      </c>
      <c r="S47" s="3">
        <v>135.53</v>
      </c>
      <c r="T47" s="3">
        <v>58114.12</v>
      </c>
      <c r="U47" s="10">
        <v>0</v>
      </c>
      <c r="V47" s="3">
        <f>315.64/0.1</f>
        <v>3156.3999999999996</v>
      </c>
      <c r="W47" s="3">
        <v>0</v>
      </c>
      <c r="X47" s="3">
        <v>0</v>
      </c>
      <c r="Y47" s="3">
        <v>0</v>
      </c>
      <c r="Z47" s="3">
        <v>0</v>
      </c>
      <c r="AA47" s="3">
        <v>2</v>
      </c>
      <c r="AB47" s="3">
        <v>0</v>
      </c>
      <c r="AC47" s="3">
        <v>0</v>
      </c>
    </row>
    <row r="48" spans="2:29" ht="60" x14ac:dyDescent="0.25">
      <c r="B48" s="3">
        <v>44</v>
      </c>
      <c r="C48" s="3">
        <v>4600010847</v>
      </c>
      <c r="D48" s="3">
        <v>4600010861</v>
      </c>
      <c r="E48" s="3">
        <v>2020</v>
      </c>
      <c r="F48" s="12">
        <v>7250689730</v>
      </c>
      <c r="G48" s="18">
        <v>8260.0420937271811</v>
      </c>
      <c r="H48" s="9" t="s">
        <v>8</v>
      </c>
      <c r="I48" s="3" t="s">
        <v>123</v>
      </c>
      <c r="J48" s="10">
        <v>3</v>
      </c>
      <c r="K48" s="10">
        <v>109.92</v>
      </c>
      <c r="L48" s="10">
        <v>0</v>
      </c>
      <c r="M48" s="3">
        <v>3</v>
      </c>
      <c r="N48" s="3">
        <v>11</v>
      </c>
      <c r="O48" s="3">
        <f>7215.85+14753.15</f>
        <v>21969</v>
      </c>
      <c r="P48" s="3">
        <v>919950</v>
      </c>
      <c r="Q48" s="3">
        <v>1204</v>
      </c>
      <c r="R48" s="3">
        <v>74697</v>
      </c>
      <c r="S48" s="3">
        <v>149.13999999999999</v>
      </c>
      <c r="T48" s="3">
        <v>36633.97</v>
      </c>
      <c r="U48" s="3">
        <v>15338.07</v>
      </c>
      <c r="V48" s="3">
        <f>608.35/0.1</f>
        <v>6083.5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1</v>
      </c>
      <c r="AC48" s="3">
        <v>0</v>
      </c>
    </row>
    <row r="49" spans="2:29" ht="60" x14ac:dyDescent="0.25">
      <c r="B49" s="3">
        <v>45</v>
      </c>
      <c r="C49" s="3">
        <v>4600010855</v>
      </c>
      <c r="D49" s="3">
        <v>4600010852</v>
      </c>
      <c r="E49" s="3">
        <v>2020</v>
      </c>
      <c r="F49" s="12">
        <v>10780239829</v>
      </c>
      <c r="G49" s="18">
        <v>12280.932998634089</v>
      </c>
      <c r="H49" s="9" t="s">
        <v>9</v>
      </c>
      <c r="I49" s="3" t="s">
        <v>136</v>
      </c>
      <c r="J49" s="10">
        <v>6</v>
      </c>
      <c r="K49" s="10">
        <v>1350</v>
      </c>
      <c r="L49" s="10">
        <v>0</v>
      </c>
      <c r="M49" s="3">
        <v>1</v>
      </c>
      <c r="N49" s="3">
        <v>19</v>
      </c>
      <c r="O49" s="3">
        <v>2235.64</v>
      </c>
      <c r="P49" s="3">
        <v>207858</v>
      </c>
      <c r="Q49" s="3">
        <v>2804</v>
      </c>
      <c r="R49" s="3">
        <v>541100</v>
      </c>
      <c r="S49" s="3">
        <v>197.66</v>
      </c>
      <c r="T49" s="3">
        <v>57717.14</v>
      </c>
      <c r="U49" s="3">
        <v>11066.14</v>
      </c>
      <c r="V49" s="3">
        <v>0</v>
      </c>
      <c r="W49" s="3">
        <f>1374.82/0.1</f>
        <v>13748.199999999999</v>
      </c>
      <c r="X49" s="3">
        <v>0</v>
      </c>
      <c r="Y49" s="3">
        <v>0</v>
      </c>
      <c r="Z49" s="3">
        <v>0</v>
      </c>
      <c r="AA49" s="3">
        <v>0</v>
      </c>
      <c r="AB49" s="3">
        <v>2</v>
      </c>
      <c r="AC49" s="3">
        <v>0</v>
      </c>
    </row>
    <row r="50" spans="2:29" ht="60" x14ac:dyDescent="0.25">
      <c r="B50" s="3">
        <v>46</v>
      </c>
      <c r="C50" s="3">
        <v>4600010869</v>
      </c>
      <c r="D50" s="3">
        <v>4600010896</v>
      </c>
      <c r="E50" s="3">
        <v>2020</v>
      </c>
      <c r="F50" s="12">
        <v>10256456299</v>
      </c>
      <c r="G50" s="18">
        <v>11684.234730343824</v>
      </c>
      <c r="H50" s="9" t="s">
        <v>10</v>
      </c>
      <c r="I50" s="10" t="s">
        <v>137</v>
      </c>
      <c r="J50" s="10">
        <v>1</v>
      </c>
      <c r="K50" s="10">
        <v>0</v>
      </c>
      <c r="L50" s="10">
        <v>0</v>
      </c>
      <c r="M50" s="3">
        <v>0</v>
      </c>
      <c r="N50" s="3">
        <v>3</v>
      </c>
      <c r="O50" s="3">
        <v>4632.37</v>
      </c>
      <c r="P50" s="3">
        <v>169588</v>
      </c>
      <c r="Q50" s="3">
        <v>0</v>
      </c>
      <c r="R50" s="3">
        <v>19204.5</v>
      </c>
      <c r="S50" s="3">
        <v>26.65</v>
      </c>
      <c r="T50" s="3">
        <v>4478.88</v>
      </c>
      <c r="U50" s="3">
        <v>5379.35</v>
      </c>
      <c r="V50" s="3">
        <f>1633.93/0.1</f>
        <v>16339.3</v>
      </c>
      <c r="W50" s="3">
        <f>406/0.1</f>
        <v>4060</v>
      </c>
      <c r="X50" s="3">
        <v>0</v>
      </c>
      <c r="Y50" s="3">
        <v>0</v>
      </c>
      <c r="Z50" s="3">
        <v>0</v>
      </c>
      <c r="AA50" s="3">
        <v>1</v>
      </c>
      <c r="AB50" s="3">
        <v>0</v>
      </c>
      <c r="AC50" s="3">
        <v>0</v>
      </c>
    </row>
    <row r="51" spans="2:29" ht="90" x14ac:dyDescent="0.25">
      <c r="B51" s="3">
        <v>47</v>
      </c>
      <c r="C51" s="3">
        <v>4600010884</v>
      </c>
      <c r="D51" s="3">
        <v>4600010871</v>
      </c>
      <c r="E51" s="3">
        <v>2020</v>
      </c>
      <c r="F51" s="12">
        <v>5839502164</v>
      </c>
      <c r="G51" s="18">
        <v>6652.4062506052041</v>
      </c>
      <c r="H51" s="9" t="s">
        <v>11</v>
      </c>
      <c r="I51" s="3" t="s">
        <v>122</v>
      </c>
      <c r="J51" s="3">
        <v>2</v>
      </c>
      <c r="K51" s="3">
        <v>0</v>
      </c>
      <c r="L51" s="3">
        <v>0</v>
      </c>
      <c r="M51" s="3">
        <v>0</v>
      </c>
      <c r="N51" s="3">
        <v>4</v>
      </c>
      <c r="O51" s="3">
        <v>1844.92</v>
      </c>
      <c r="P51" s="3">
        <v>284635</v>
      </c>
      <c r="Q51" s="3">
        <v>291</v>
      </c>
      <c r="R51" s="3">
        <v>27300</v>
      </c>
      <c r="S51" s="3">
        <v>10.16</v>
      </c>
      <c r="T51" s="3">
        <v>63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</row>
    <row r="52" spans="2:29" ht="75" x14ac:dyDescent="0.25">
      <c r="B52" s="3">
        <v>48</v>
      </c>
      <c r="C52" s="3">
        <v>4600012998</v>
      </c>
      <c r="D52" s="3">
        <v>4600012893</v>
      </c>
      <c r="E52" s="3">
        <v>2021</v>
      </c>
      <c r="F52" s="12">
        <v>17285386429</v>
      </c>
      <c r="G52" s="18">
        <v>19025.747671503072</v>
      </c>
      <c r="H52" s="9" t="s">
        <v>4</v>
      </c>
      <c r="I52" s="10" t="s">
        <v>138</v>
      </c>
      <c r="J52" s="10">
        <f>4+4</f>
        <v>8</v>
      </c>
      <c r="K52" s="10">
        <v>120</v>
      </c>
      <c r="L52" s="10">
        <v>1</v>
      </c>
      <c r="M52" s="3">
        <v>12</v>
      </c>
      <c r="N52" s="3">
        <v>23</v>
      </c>
      <c r="O52" s="3">
        <v>24446.6</v>
      </c>
      <c r="P52" s="3">
        <v>786908</v>
      </c>
      <c r="Q52" s="3">
        <v>1454</v>
      </c>
      <c r="R52" s="3">
        <v>382384</v>
      </c>
      <c r="S52" s="3">
        <v>123.97</v>
      </c>
      <c r="T52" s="3">
        <v>42808.47</v>
      </c>
      <c r="U52" s="10">
        <v>2296.5</v>
      </c>
      <c r="V52" s="3">
        <f>133.4/0.1</f>
        <v>1334</v>
      </c>
      <c r="W52" s="3">
        <f>3440.22/0.1</f>
        <v>34402.199999999997</v>
      </c>
      <c r="X52" s="3">
        <v>0</v>
      </c>
      <c r="Y52" s="3">
        <v>0</v>
      </c>
      <c r="Z52" s="3">
        <v>0</v>
      </c>
      <c r="AA52" s="3">
        <v>0</v>
      </c>
      <c r="AB52" s="3">
        <v>3</v>
      </c>
      <c r="AC52" s="3">
        <v>6</v>
      </c>
    </row>
    <row r="53" spans="2:29" ht="90" x14ac:dyDescent="0.25">
      <c r="B53" s="3">
        <v>49</v>
      </c>
      <c r="C53" s="3">
        <v>4600013148</v>
      </c>
      <c r="D53" s="3">
        <v>4600012908</v>
      </c>
      <c r="E53" s="3">
        <v>2021</v>
      </c>
      <c r="F53" s="12">
        <v>21621503360</v>
      </c>
      <c r="G53" s="18">
        <v>23798.442047888559</v>
      </c>
      <c r="H53" s="9" t="s">
        <v>5</v>
      </c>
      <c r="I53" s="10" t="s">
        <v>139</v>
      </c>
      <c r="J53" s="10">
        <v>11</v>
      </c>
      <c r="K53" s="10">
        <v>0</v>
      </c>
      <c r="L53" s="10">
        <v>0</v>
      </c>
      <c r="M53" s="3">
        <v>0</v>
      </c>
      <c r="N53" s="3">
        <v>31</v>
      </c>
      <c r="O53" s="3">
        <v>19047.080000000002</v>
      </c>
      <c r="P53" s="3">
        <v>463463.85</v>
      </c>
      <c r="Q53" s="3">
        <v>781</v>
      </c>
      <c r="R53" s="3">
        <v>145726.70000000001</v>
      </c>
      <c r="S53" s="3">
        <v>59.04</v>
      </c>
      <c r="T53" s="3">
        <v>85992.68</v>
      </c>
      <c r="U53" s="3">
        <v>589.01</v>
      </c>
      <c r="V53" s="3">
        <v>0</v>
      </c>
      <c r="W53" s="3">
        <f>5422.99/0.1</f>
        <v>54229.899999999994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0</v>
      </c>
    </row>
    <row r="54" spans="2:29" ht="75" x14ac:dyDescent="0.25">
      <c r="B54" s="3">
        <v>50</v>
      </c>
      <c r="C54" s="3">
        <v>4600012737</v>
      </c>
      <c r="D54" s="3">
        <v>4600012795</v>
      </c>
      <c r="E54" s="3">
        <v>2021</v>
      </c>
      <c r="F54" s="12">
        <v>9629909830</v>
      </c>
      <c r="G54" s="18">
        <v>10599.487334429614</v>
      </c>
      <c r="H54" s="9" t="s">
        <v>6</v>
      </c>
      <c r="I54" s="10" t="s">
        <v>140</v>
      </c>
      <c r="J54" s="10">
        <v>5</v>
      </c>
      <c r="K54" s="10">
        <v>60</v>
      </c>
      <c r="L54" s="10">
        <v>0</v>
      </c>
      <c r="M54" s="3">
        <v>1</v>
      </c>
      <c r="N54" s="3">
        <v>13</v>
      </c>
      <c r="O54" s="3">
        <v>3722.2</v>
      </c>
      <c r="P54" s="3">
        <v>183500</v>
      </c>
      <c r="Q54" s="3">
        <v>1274</v>
      </c>
      <c r="R54" s="3">
        <v>329403.5</v>
      </c>
      <c r="S54" s="3">
        <v>105.3</v>
      </c>
      <c r="T54" s="3">
        <v>48582.7</v>
      </c>
      <c r="U54" s="3">
        <v>3144.9</v>
      </c>
      <c r="V54" s="3">
        <v>0</v>
      </c>
      <c r="W54" s="3">
        <f>1140/0.1</f>
        <v>11400</v>
      </c>
      <c r="X54" s="3">
        <v>0</v>
      </c>
      <c r="Y54" s="3">
        <v>0</v>
      </c>
      <c r="Z54" s="3">
        <v>0</v>
      </c>
      <c r="AA54" s="3">
        <v>0</v>
      </c>
      <c r="AB54" s="3">
        <v>1</v>
      </c>
      <c r="AC54" s="3">
        <v>0</v>
      </c>
    </row>
    <row r="55" spans="2:29" ht="75" x14ac:dyDescent="0.25">
      <c r="B55" s="3">
        <v>51</v>
      </c>
      <c r="C55" s="2">
        <v>4600014472</v>
      </c>
      <c r="D55" s="2">
        <v>4600014521</v>
      </c>
      <c r="E55" s="3">
        <v>2022</v>
      </c>
      <c r="F55" s="14">
        <v>42581904324</v>
      </c>
      <c r="G55" s="21">
        <v>42581.904324000003</v>
      </c>
      <c r="H55" s="9" t="s">
        <v>4</v>
      </c>
      <c r="I55" s="11" t="s">
        <v>141</v>
      </c>
      <c r="J55" s="10">
        <v>22</v>
      </c>
      <c r="K55" s="10">
        <v>378</v>
      </c>
      <c r="L55" s="10">
        <v>1</v>
      </c>
      <c r="M55" s="3">
        <v>16</v>
      </c>
      <c r="N55" s="5">
        <v>33</v>
      </c>
      <c r="O55" s="3">
        <v>9633</v>
      </c>
      <c r="P55" s="3">
        <v>642456.4</v>
      </c>
      <c r="Q55" s="3">
        <v>6825</v>
      </c>
      <c r="R55" s="3">
        <v>1298079.7</v>
      </c>
      <c r="S55" s="3">
        <v>461.68</v>
      </c>
      <c r="T55" s="3">
        <v>39376.699999999997</v>
      </c>
      <c r="U55" s="10">
        <v>769.1</v>
      </c>
      <c r="V55" s="3">
        <v>42053</v>
      </c>
      <c r="W55" s="3">
        <v>49606</v>
      </c>
      <c r="X55" s="3">
        <v>0</v>
      </c>
      <c r="Y55" s="3">
        <v>0</v>
      </c>
      <c r="Z55" s="3">
        <v>0</v>
      </c>
      <c r="AA55" s="3">
        <v>1</v>
      </c>
      <c r="AB55" s="3">
        <v>1</v>
      </c>
      <c r="AC55" s="3">
        <v>0</v>
      </c>
    </row>
    <row r="56" spans="2:29" ht="90" x14ac:dyDescent="0.25">
      <c r="B56" s="3">
        <v>52</v>
      </c>
      <c r="C56" s="3">
        <v>4600014620</v>
      </c>
      <c r="D56" s="3">
        <v>4600014679</v>
      </c>
      <c r="E56" s="3">
        <v>2022</v>
      </c>
      <c r="F56" s="12">
        <v>53752988912</v>
      </c>
      <c r="G56" s="21">
        <v>53752.988912000001</v>
      </c>
      <c r="H56" s="9" t="s">
        <v>5</v>
      </c>
      <c r="I56" s="10" t="s">
        <v>139</v>
      </c>
      <c r="J56" s="10">
        <v>10</v>
      </c>
      <c r="K56" s="10">
        <v>2289</v>
      </c>
      <c r="L56" s="10">
        <v>1</v>
      </c>
      <c r="M56" s="3">
        <v>15</v>
      </c>
      <c r="N56" s="5">
        <v>52</v>
      </c>
      <c r="O56" s="3">
        <v>17419.73</v>
      </c>
      <c r="P56" s="3">
        <v>496825.67</v>
      </c>
      <c r="Q56" s="3">
        <v>2832</v>
      </c>
      <c r="R56" s="3">
        <v>602578</v>
      </c>
      <c r="S56" s="3">
        <v>282.26</v>
      </c>
      <c r="T56" s="3">
        <v>17331.48</v>
      </c>
      <c r="U56" s="3">
        <v>28458.83</v>
      </c>
      <c r="V56" s="3">
        <v>0</v>
      </c>
      <c r="W56" s="3">
        <v>126253.9</v>
      </c>
      <c r="X56" s="3">
        <v>157.19999999999999</v>
      </c>
      <c r="Y56" s="3">
        <v>0</v>
      </c>
      <c r="Z56" s="3">
        <v>0</v>
      </c>
      <c r="AA56" s="3">
        <v>0</v>
      </c>
      <c r="AB56" s="3">
        <v>3</v>
      </c>
      <c r="AC56" s="3">
        <v>0</v>
      </c>
    </row>
    <row r="57" spans="2:29" ht="75" x14ac:dyDescent="0.25">
      <c r="B57" s="3">
        <v>53</v>
      </c>
      <c r="C57" s="3">
        <v>4600014079</v>
      </c>
      <c r="D57" s="3">
        <v>4600014329</v>
      </c>
      <c r="E57" s="3">
        <v>2022</v>
      </c>
      <c r="F57" s="12">
        <v>28520770272</v>
      </c>
      <c r="G57" s="21">
        <v>28520.770272000002</v>
      </c>
      <c r="H57" s="9" t="s">
        <v>6</v>
      </c>
      <c r="I57" s="10" t="s">
        <v>142</v>
      </c>
      <c r="J57" s="10">
        <v>15</v>
      </c>
      <c r="K57" s="10">
        <v>2002</v>
      </c>
      <c r="L57" s="10">
        <v>1</v>
      </c>
      <c r="M57" s="3">
        <v>17</v>
      </c>
      <c r="N57" s="5">
        <v>14</v>
      </c>
      <c r="O57" s="3">
        <v>10376.629999999999</v>
      </c>
      <c r="P57" s="3">
        <v>1057933.6499999999</v>
      </c>
      <c r="Q57" s="3">
        <v>1392</v>
      </c>
      <c r="R57" s="3">
        <v>203218.18</v>
      </c>
      <c r="S57" s="3">
        <v>135.74</v>
      </c>
      <c r="T57" s="3">
        <v>24255.22</v>
      </c>
      <c r="U57" s="3">
        <v>8861.5300000000007</v>
      </c>
      <c r="V57" s="3">
        <v>2398.5</v>
      </c>
      <c r="W57" s="3">
        <v>21201.7</v>
      </c>
      <c r="X57" s="3">
        <v>0</v>
      </c>
      <c r="Y57" s="3">
        <v>296.85000000000002</v>
      </c>
      <c r="Z57" s="3">
        <v>0</v>
      </c>
      <c r="AA57" s="3">
        <v>2</v>
      </c>
      <c r="AB57" s="3">
        <v>0</v>
      </c>
      <c r="AC57" s="3">
        <v>0</v>
      </c>
    </row>
    <row r="58" spans="2:29" x14ac:dyDescent="0.25">
      <c r="B58" s="71" t="s">
        <v>106</v>
      </c>
      <c r="C58" s="71"/>
      <c r="D58" s="71"/>
      <c r="E58" s="16"/>
      <c r="F58" s="35">
        <f>+SUM(F5:F57)</f>
        <v>681299349540</v>
      </c>
      <c r="G58" s="48">
        <f>+SUM(G5:G57)</f>
        <v>963779.94983095187</v>
      </c>
      <c r="H58" s="47"/>
      <c r="I58" s="7"/>
      <c r="J58" s="7">
        <f>SUM(J5:J57)</f>
        <v>735</v>
      </c>
      <c r="K58" s="7">
        <f t="shared" ref="K58:AC58" si="0">SUM(K5:K57)</f>
        <v>33416.240000000005</v>
      </c>
      <c r="L58" s="7">
        <f t="shared" si="0"/>
        <v>53</v>
      </c>
      <c r="M58" s="7">
        <f t="shared" si="0"/>
        <v>177</v>
      </c>
      <c r="N58" s="7">
        <f t="shared" si="0"/>
        <v>907</v>
      </c>
      <c r="O58" s="7">
        <f t="shared" si="0"/>
        <v>1404965.9200000004</v>
      </c>
      <c r="P58" s="7">
        <f t="shared" si="0"/>
        <v>41987600.870000005</v>
      </c>
      <c r="Q58" s="7">
        <f t="shared" si="0"/>
        <v>112619.7</v>
      </c>
      <c r="R58" s="7">
        <f t="shared" si="0"/>
        <v>16814146.68</v>
      </c>
      <c r="S58" s="7">
        <f t="shared" si="0"/>
        <v>9807.4999999999982</v>
      </c>
      <c r="T58" s="7">
        <f t="shared" si="0"/>
        <v>2426990.040000001</v>
      </c>
      <c r="U58" s="7">
        <f t="shared" si="0"/>
        <v>91954.73</v>
      </c>
      <c r="V58" s="7">
        <f t="shared" si="0"/>
        <v>288833.69999999995</v>
      </c>
      <c r="W58" s="7">
        <f t="shared" si="0"/>
        <v>871514.79999999993</v>
      </c>
      <c r="X58" s="7">
        <f t="shared" si="0"/>
        <v>157.19999999999999</v>
      </c>
      <c r="Y58" s="7">
        <f t="shared" si="0"/>
        <v>88745.150000000009</v>
      </c>
      <c r="Z58" s="7">
        <f t="shared" si="0"/>
        <v>98507.9</v>
      </c>
      <c r="AA58" s="7">
        <f t="shared" si="0"/>
        <v>19</v>
      </c>
      <c r="AB58" s="7">
        <f t="shared" si="0"/>
        <v>30</v>
      </c>
      <c r="AC58" s="7">
        <f t="shared" si="0"/>
        <v>2882</v>
      </c>
    </row>
  </sheetData>
  <autoFilter ref="B2:AC58" xr:uid="{00000000-0001-0000-0E00-00000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20">
    <mergeCell ref="T3:T4"/>
    <mergeCell ref="U3:U4"/>
    <mergeCell ref="V3:Z3"/>
    <mergeCell ref="B2:AC2"/>
    <mergeCell ref="B3:B4"/>
    <mergeCell ref="C3:C4"/>
    <mergeCell ref="D3:D4"/>
    <mergeCell ref="F3:F4"/>
    <mergeCell ref="G3:G4"/>
    <mergeCell ref="H3:H4"/>
    <mergeCell ref="I3:I4"/>
    <mergeCell ref="J3:M3"/>
    <mergeCell ref="N3:N4"/>
    <mergeCell ref="AA3:AB3"/>
    <mergeCell ref="AC3:AC4"/>
    <mergeCell ref="E3:E4"/>
    <mergeCell ref="O3:O4"/>
    <mergeCell ref="P3:P4"/>
    <mergeCell ref="Q3:S3"/>
    <mergeCell ref="B58:D5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X22"/>
  <sheetViews>
    <sheetView zoomScale="60" zoomScaleNormal="60" workbookViewId="0"/>
  </sheetViews>
  <sheetFormatPr baseColWidth="10" defaultRowHeight="15" x14ac:dyDescent="0.25"/>
  <cols>
    <col min="3" max="3" width="26.42578125" bestFit="1" customWidth="1"/>
    <col min="4" max="4" width="13.28515625" customWidth="1"/>
    <col min="10" max="10" width="15" customWidth="1"/>
    <col min="17" max="17" width="15.7109375" customWidth="1"/>
  </cols>
  <sheetData>
    <row r="2" spans="2:24" x14ac:dyDescent="0.25">
      <c r="B2" s="71" t="s">
        <v>197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2:24" x14ac:dyDescent="0.25">
      <c r="B3" s="88" t="s">
        <v>1</v>
      </c>
      <c r="C3" s="70" t="s">
        <v>194</v>
      </c>
      <c r="D3" s="70" t="s">
        <v>195</v>
      </c>
      <c r="E3" s="70" t="s">
        <v>189</v>
      </c>
      <c r="F3" s="70"/>
      <c r="G3" s="70"/>
      <c r="H3" s="70"/>
      <c r="I3" s="70" t="s">
        <v>183</v>
      </c>
      <c r="J3" s="70" t="s">
        <v>181</v>
      </c>
      <c r="K3" s="70" t="s">
        <v>112</v>
      </c>
      <c r="L3" s="71" t="s">
        <v>97</v>
      </c>
      <c r="M3" s="71"/>
      <c r="N3" s="71"/>
      <c r="O3" s="70" t="s">
        <v>113</v>
      </c>
      <c r="P3" s="70" t="s">
        <v>172</v>
      </c>
      <c r="Q3" s="71" t="s">
        <v>101</v>
      </c>
      <c r="R3" s="71"/>
      <c r="S3" s="71"/>
      <c r="T3" s="71"/>
      <c r="U3" s="71"/>
      <c r="V3" s="71" t="s">
        <v>177</v>
      </c>
      <c r="W3" s="71"/>
      <c r="X3" s="70" t="s">
        <v>187</v>
      </c>
    </row>
    <row r="4" spans="2:24" ht="90" x14ac:dyDescent="0.25">
      <c r="B4" s="89"/>
      <c r="C4" s="70"/>
      <c r="D4" s="70"/>
      <c r="E4" s="23" t="s">
        <v>188</v>
      </c>
      <c r="F4" s="23" t="s">
        <v>171</v>
      </c>
      <c r="G4" s="23" t="s">
        <v>190</v>
      </c>
      <c r="H4" s="23" t="s">
        <v>191</v>
      </c>
      <c r="I4" s="70"/>
      <c r="J4" s="70"/>
      <c r="K4" s="70"/>
      <c r="L4" s="23" t="s">
        <v>107</v>
      </c>
      <c r="M4" s="23" t="s">
        <v>108</v>
      </c>
      <c r="N4" s="7" t="s">
        <v>109</v>
      </c>
      <c r="O4" s="70"/>
      <c r="P4" s="70"/>
      <c r="Q4" s="23" t="s">
        <v>173</v>
      </c>
      <c r="R4" s="23" t="s">
        <v>180</v>
      </c>
      <c r="S4" s="7" t="s">
        <v>174</v>
      </c>
      <c r="T4" s="23" t="s">
        <v>175</v>
      </c>
      <c r="U4" s="23" t="s">
        <v>176</v>
      </c>
      <c r="V4" s="23" t="s">
        <v>178</v>
      </c>
      <c r="W4" s="23" t="s">
        <v>179</v>
      </c>
      <c r="X4" s="70"/>
    </row>
    <row r="5" spans="2:24" x14ac:dyDescent="0.25">
      <c r="B5" s="7">
        <v>2012</v>
      </c>
      <c r="C5" s="36">
        <f>+'2012'!E11</f>
        <v>23649529742</v>
      </c>
      <c r="D5" s="38">
        <f>+'2012'!F11</f>
        <v>41732.00942650433</v>
      </c>
      <c r="E5" s="3">
        <v>17</v>
      </c>
      <c r="F5" s="3">
        <v>0</v>
      </c>
      <c r="G5" s="3">
        <v>1</v>
      </c>
      <c r="H5" s="3">
        <v>5</v>
      </c>
      <c r="I5" s="3">
        <v>17</v>
      </c>
      <c r="J5" s="3">
        <v>173486.31</v>
      </c>
      <c r="K5" s="3">
        <v>5062585.0600000005</v>
      </c>
      <c r="L5" s="3">
        <v>13970.7</v>
      </c>
      <c r="M5" s="3">
        <v>1193116.8500000001</v>
      </c>
      <c r="N5" s="3">
        <v>1298.1799999999998</v>
      </c>
      <c r="O5" s="3">
        <v>120260.93999999999</v>
      </c>
      <c r="P5" s="3">
        <v>0</v>
      </c>
      <c r="Q5" s="3">
        <v>0</v>
      </c>
      <c r="R5" s="3">
        <v>2132.8999999999996</v>
      </c>
      <c r="S5" s="3">
        <v>0</v>
      </c>
      <c r="T5" s="3">
        <v>0</v>
      </c>
      <c r="U5" s="3">
        <v>0</v>
      </c>
      <c r="V5" s="3">
        <v>0</v>
      </c>
      <c r="W5" s="3">
        <v>1</v>
      </c>
      <c r="X5" s="3">
        <v>75</v>
      </c>
    </row>
    <row r="6" spans="2:24" x14ac:dyDescent="0.25">
      <c r="B6" s="7">
        <v>2013</v>
      </c>
      <c r="C6" s="36">
        <f>+'2013'!E11</f>
        <v>261138997150</v>
      </c>
      <c r="D6" s="38">
        <f>+'2013'!F11</f>
        <v>442983.87981340114</v>
      </c>
      <c r="E6" s="3">
        <v>366</v>
      </c>
      <c r="F6" s="3">
        <v>9661.2200000000012</v>
      </c>
      <c r="G6" s="3">
        <v>41</v>
      </c>
      <c r="H6" s="3">
        <v>66</v>
      </c>
      <c r="I6" s="3">
        <v>320</v>
      </c>
      <c r="J6" s="3">
        <v>653730.86</v>
      </c>
      <c r="K6" s="3">
        <v>11455656.74</v>
      </c>
      <c r="L6" s="3">
        <v>26571</v>
      </c>
      <c r="M6" s="3">
        <v>4623841.75</v>
      </c>
      <c r="N6" s="3">
        <v>2462.39</v>
      </c>
      <c r="O6" s="3">
        <v>972137.39</v>
      </c>
      <c r="P6" s="3">
        <v>0</v>
      </c>
      <c r="Q6" s="3">
        <v>74923.899999999994</v>
      </c>
      <c r="R6" s="3">
        <v>413369.7</v>
      </c>
      <c r="S6" s="3">
        <v>0</v>
      </c>
      <c r="T6" s="3">
        <v>73345</v>
      </c>
      <c r="U6" s="3">
        <v>81234.3</v>
      </c>
      <c r="V6" s="3">
        <v>8</v>
      </c>
      <c r="W6" s="3">
        <v>8</v>
      </c>
      <c r="X6" s="3">
        <v>1760</v>
      </c>
    </row>
    <row r="7" spans="2:24" x14ac:dyDescent="0.25">
      <c r="B7" s="7">
        <v>2014</v>
      </c>
      <c r="C7" s="36">
        <f>+'2014'!E7</f>
        <v>29892017851</v>
      </c>
      <c r="D7" s="38">
        <f>+'2014'!F7</f>
        <v>48526.00300487013</v>
      </c>
      <c r="E7" s="3">
        <v>23</v>
      </c>
      <c r="F7" s="3">
        <v>5522.5</v>
      </c>
      <c r="G7" s="3">
        <v>3</v>
      </c>
      <c r="H7" s="3">
        <v>1</v>
      </c>
      <c r="I7" s="3">
        <v>15</v>
      </c>
      <c r="J7" s="3">
        <v>166721.74</v>
      </c>
      <c r="K7" s="3">
        <v>3393773.5</v>
      </c>
      <c r="L7" s="3">
        <v>3626</v>
      </c>
      <c r="M7" s="3">
        <v>381474</v>
      </c>
      <c r="N7" s="3">
        <v>356.81</v>
      </c>
      <c r="O7" s="3">
        <v>77167.42</v>
      </c>
      <c r="P7" s="3">
        <v>0</v>
      </c>
      <c r="Q7" s="3">
        <v>6441</v>
      </c>
      <c r="R7" s="3">
        <v>21533</v>
      </c>
      <c r="S7" s="3">
        <v>0</v>
      </c>
      <c r="T7" s="3">
        <v>0</v>
      </c>
      <c r="U7" s="3">
        <v>0</v>
      </c>
      <c r="V7" s="3">
        <v>3</v>
      </c>
      <c r="W7" s="3">
        <v>0</v>
      </c>
      <c r="X7" s="3">
        <v>117</v>
      </c>
    </row>
    <row r="8" spans="2:24" x14ac:dyDescent="0.25">
      <c r="B8" s="7">
        <v>2015</v>
      </c>
      <c r="C8" s="36">
        <f>+'2015'!E9</f>
        <v>20644571784</v>
      </c>
      <c r="D8" s="38">
        <f>+'2015'!F9</f>
        <v>32039.375780243659</v>
      </c>
      <c r="E8" s="3">
        <v>39</v>
      </c>
      <c r="F8" s="3">
        <v>1072</v>
      </c>
      <c r="G8" s="3">
        <v>0</v>
      </c>
      <c r="H8" s="3">
        <v>1</v>
      </c>
      <c r="I8" s="3">
        <v>20</v>
      </c>
      <c r="J8" s="3">
        <v>51543.15</v>
      </c>
      <c r="K8" s="3">
        <v>2913695.9</v>
      </c>
      <c r="L8" s="3">
        <v>3454</v>
      </c>
      <c r="M8" s="3">
        <v>219445.04</v>
      </c>
      <c r="N8" s="3">
        <v>337.26</v>
      </c>
      <c r="O8" s="3">
        <v>69105.14</v>
      </c>
      <c r="P8" s="3">
        <v>0</v>
      </c>
      <c r="Q8" s="3">
        <v>42605.7</v>
      </c>
      <c r="R8" s="3">
        <v>25854.399999999998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743</v>
      </c>
    </row>
    <row r="9" spans="2:24" x14ac:dyDescent="0.25">
      <c r="B9" s="7">
        <v>2016</v>
      </c>
      <c r="C9" s="36">
        <f>+'2016'!E11</f>
        <v>34393582093</v>
      </c>
      <c r="D9" s="38">
        <f>+'2016'!F11</f>
        <v>49885.173206373147</v>
      </c>
      <c r="E9" s="3">
        <v>55</v>
      </c>
      <c r="F9" s="3">
        <v>2579.1</v>
      </c>
      <c r="G9" s="3">
        <v>0</v>
      </c>
      <c r="H9" s="3">
        <v>10</v>
      </c>
      <c r="I9" s="3">
        <v>71</v>
      </c>
      <c r="J9" s="3">
        <v>56479.409999999996</v>
      </c>
      <c r="K9" s="3">
        <v>4930116.0999999996</v>
      </c>
      <c r="L9" s="3">
        <v>18144</v>
      </c>
      <c r="M9" s="3">
        <v>1827915.5</v>
      </c>
      <c r="N9" s="3">
        <v>1409.81</v>
      </c>
      <c r="O9" s="3">
        <v>240895.84000000003</v>
      </c>
      <c r="P9" s="3">
        <v>0</v>
      </c>
      <c r="Q9" s="3">
        <v>14435.5</v>
      </c>
      <c r="R9" s="3">
        <v>21824.5</v>
      </c>
      <c r="S9" s="3">
        <v>0</v>
      </c>
      <c r="T9" s="3">
        <v>0</v>
      </c>
      <c r="U9" s="3">
        <v>0</v>
      </c>
      <c r="V9" s="3">
        <v>1</v>
      </c>
      <c r="W9" s="3">
        <v>4</v>
      </c>
      <c r="X9" s="3">
        <v>82</v>
      </c>
    </row>
    <row r="10" spans="2:24" x14ac:dyDescent="0.25">
      <c r="B10" s="7">
        <v>2017</v>
      </c>
      <c r="C10" s="36">
        <f>+'2017'!E11</f>
        <v>24435296966</v>
      </c>
      <c r="D10" s="38">
        <f>+'2017'!F11</f>
        <v>33122.860075069439</v>
      </c>
      <c r="E10" s="3">
        <v>47</v>
      </c>
      <c r="F10" s="3">
        <v>1198.7</v>
      </c>
      <c r="G10" s="3">
        <v>0</v>
      </c>
      <c r="H10" s="3">
        <v>8</v>
      </c>
      <c r="I10" s="3">
        <v>66</v>
      </c>
      <c r="J10" s="3">
        <v>72158.010000000009</v>
      </c>
      <c r="K10" s="3">
        <v>2982750.4</v>
      </c>
      <c r="L10" s="3">
        <v>9367</v>
      </c>
      <c r="M10" s="3">
        <v>1414932.28</v>
      </c>
      <c r="N10" s="3">
        <v>785.75000000000011</v>
      </c>
      <c r="O10" s="3">
        <v>141532.69999999998</v>
      </c>
      <c r="P10" s="3">
        <v>0</v>
      </c>
      <c r="Q10" s="3">
        <v>4323</v>
      </c>
      <c r="R10" s="3">
        <v>28555</v>
      </c>
      <c r="S10" s="3">
        <v>0</v>
      </c>
      <c r="T10" s="3">
        <v>0</v>
      </c>
      <c r="U10" s="3">
        <v>0</v>
      </c>
      <c r="V10" s="3">
        <v>1</v>
      </c>
      <c r="W10" s="3">
        <v>3</v>
      </c>
      <c r="X10" s="3">
        <v>38</v>
      </c>
    </row>
    <row r="11" spans="2:24" x14ac:dyDescent="0.25">
      <c r="B11" s="7">
        <v>2018</v>
      </c>
      <c r="C11" s="36">
        <f>+'2018'!E11</f>
        <v>39410424639</v>
      </c>
      <c r="D11" s="38">
        <f>+'2018'!F11</f>
        <v>50445.860103527455</v>
      </c>
      <c r="E11" s="3">
        <v>73</v>
      </c>
      <c r="F11" s="3">
        <v>6101.9</v>
      </c>
      <c r="G11" s="3">
        <v>4</v>
      </c>
      <c r="H11" s="3">
        <v>13</v>
      </c>
      <c r="I11" s="3">
        <v>104</v>
      </c>
      <c r="J11" s="3">
        <v>60455.310000000005</v>
      </c>
      <c r="K11" s="3">
        <v>3901188.5</v>
      </c>
      <c r="L11" s="3">
        <v>10199</v>
      </c>
      <c r="M11" s="3">
        <v>1633571.5</v>
      </c>
      <c r="N11" s="3">
        <v>837.58999999999992</v>
      </c>
      <c r="O11" s="3">
        <v>305826.65000000002</v>
      </c>
      <c r="P11" s="3">
        <v>0</v>
      </c>
      <c r="Q11" s="3">
        <v>27475.199999999997</v>
      </c>
      <c r="R11" s="3">
        <v>29595.5</v>
      </c>
      <c r="S11" s="3">
        <v>0</v>
      </c>
      <c r="T11" s="3">
        <v>10268.799999999999</v>
      </c>
      <c r="U11" s="3">
        <v>0</v>
      </c>
      <c r="V11" s="3">
        <v>0</v>
      </c>
      <c r="W11" s="3">
        <v>1</v>
      </c>
      <c r="X11" s="3">
        <v>61</v>
      </c>
    </row>
    <row r="12" spans="2:24" x14ac:dyDescent="0.25">
      <c r="B12" s="7">
        <v>2019</v>
      </c>
      <c r="C12" s="36">
        <f>+'2019'!E11</f>
        <v>30341712892</v>
      </c>
      <c r="D12" s="38">
        <f>+'2019'!F11</f>
        <v>36639.44772471489</v>
      </c>
      <c r="E12" s="3">
        <v>29</v>
      </c>
      <c r="F12" s="3">
        <v>900</v>
      </c>
      <c r="G12" s="3">
        <v>0</v>
      </c>
      <c r="H12" s="3">
        <v>8</v>
      </c>
      <c r="I12" s="3">
        <v>73</v>
      </c>
      <c r="J12" s="3">
        <v>21619.09</v>
      </c>
      <c r="K12" s="3">
        <v>907842.1</v>
      </c>
      <c r="L12" s="3">
        <v>7530</v>
      </c>
      <c r="M12" s="3">
        <v>1613467.2000000002</v>
      </c>
      <c r="N12" s="3">
        <v>632.57999999999993</v>
      </c>
      <c r="O12" s="3">
        <v>84709.6</v>
      </c>
      <c r="P12" s="3">
        <v>16051.3</v>
      </c>
      <c r="Q12" s="3">
        <v>47264.7</v>
      </c>
      <c r="R12" s="3">
        <v>13747.9</v>
      </c>
      <c r="S12" s="3">
        <v>0</v>
      </c>
      <c r="T12" s="3">
        <v>4834.5</v>
      </c>
      <c r="U12" s="3">
        <v>17273.599999999999</v>
      </c>
      <c r="V12" s="3">
        <v>0</v>
      </c>
      <c r="W12" s="3">
        <v>1</v>
      </c>
      <c r="X12" s="3">
        <v>0</v>
      </c>
    </row>
    <row r="13" spans="2:24" x14ac:dyDescent="0.25">
      <c r="B13" s="7">
        <v>2020</v>
      </c>
      <c r="C13" s="36">
        <f>+'2020'!E10</f>
        <v>44000753296</v>
      </c>
      <c r="D13" s="38">
        <f>+'2020'!F10</f>
        <v>50126.000134426518</v>
      </c>
      <c r="E13" s="3">
        <v>15</v>
      </c>
      <c r="F13" s="3">
        <v>1531.82</v>
      </c>
      <c r="G13" s="3">
        <v>0</v>
      </c>
      <c r="H13" s="3">
        <v>4</v>
      </c>
      <c r="I13" s="3">
        <v>55</v>
      </c>
      <c r="J13" s="3">
        <v>64126.8</v>
      </c>
      <c r="K13" s="3">
        <v>2808905</v>
      </c>
      <c r="L13" s="3">
        <v>5200</v>
      </c>
      <c r="M13" s="3">
        <v>944992.48</v>
      </c>
      <c r="N13" s="3">
        <v>519.13999999999987</v>
      </c>
      <c r="O13" s="3">
        <v>157007.10999999999</v>
      </c>
      <c r="P13" s="3">
        <v>31783.559999999998</v>
      </c>
      <c r="Q13" s="3">
        <v>25579.199999999997</v>
      </c>
      <c r="R13" s="3">
        <v>17808.199999999997</v>
      </c>
      <c r="S13" s="3">
        <v>0</v>
      </c>
      <c r="T13" s="3">
        <v>0</v>
      </c>
      <c r="U13" s="3">
        <v>0</v>
      </c>
      <c r="V13" s="3">
        <v>3</v>
      </c>
      <c r="W13" s="3">
        <v>3</v>
      </c>
      <c r="X13" s="3">
        <v>0</v>
      </c>
    </row>
    <row r="14" spans="2:24" x14ac:dyDescent="0.25">
      <c r="B14" s="7">
        <v>2021</v>
      </c>
      <c r="C14" s="36">
        <f>+'2021'!E8</f>
        <v>48536799619</v>
      </c>
      <c r="D14" s="38">
        <f>+'2021'!F8</f>
        <v>53423.677053821244</v>
      </c>
      <c r="E14" s="3">
        <v>24</v>
      </c>
      <c r="F14" s="3">
        <v>180</v>
      </c>
      <c r="G14" s="3">
        <v>1</v>
      </c>
      <c r="H14" s="3">
        <v>13</v>
      </c>
      <c r="I14" s="3">
        <v>67</v>
      </c>
      <c r="J14" s="3">
        <v>47215.88</v>
      </c>
      <c r="K14" s="3">
        <v>1433871.85</v>
      </c>
      <c r="L14" s="3">
        <v>3509</v>
      </c>
      <c r="M14" s="3">
        <v>857514.2</v>
      </c>
      <c r="N14" s="3">
        <v>288.31</v>
      </c>
      <c r="O14" s="3">
        <v>177383.84999999998</v>
      </c>
      <c r="P14" s="3">
        <v>6030.41</v>
      </c>
      <c r="Q14" s="3">
        <v>1334</v>
      </c>
      <c r="R14" s="3">
        <v>100032.09999999999</v>
      </c>
      <c r="S14" s="3">
        <v>0</v>
      </c>
      <c r="T14" s="3">
        <v>0</v>
      </c>
      <c r="U14" s="3">
        <v>0</v>
      </c>
      <c r="V14" s="3">
        <v>0</v>
      </c>
      <c r="W14" s="3">
        <v>5</v>
      </c>
      <c r="X14" s="3">
        <v>6</v>
      </c>
    </row>
    <row r="15" spans="2:24" x14ac:dyDescent="0.25">
      <c r="B15" s="7">
        <v>2022</v>
      </c>
      <c r="C15" s="36">
        <f>+'2022'!E8</f>
        <v>124855663508</v>
      </c>
      <c r="D15" s="38">
        <f>+'2022'!F8</f>
        <v>124855.663508</v>
      </c>
      <c r="E15" s="3">
        <v>47</v>
      </c>
      <c r="F15" s="3">
        <v>4669</v>
      </c>
      <c r="G15" s="3">
        <v>3</v>
      </c>
      <c r="H15" s="3">
        <v>48</v>
      </c>
      <c r="I15" s="3">
        <v>99</v>
      </c>
      <c r="J15" s="3">
        <v>37429.360000000001</v>
      </c>
      <c r="K15" s="3">
        <v>2197215.7199999997</v>
      </c>
      <c r="L15" s="3">
        <v>11049</v>
      </c>
      <c r="M15" s="3">
        <v>2103875.88</v>
      </c>
      <c r="N15" s="3">
        <v>879.68000000000006</v>
      </c>
      <c r="O15" s="3">
        <v>80963.399999999994</v>
      </c>
      <c r="P15" s="3">
        <v>38089.46</v>
      </c>
      <c r="Q15" s="3">
        <v>44451.5</v>
      </c>
      <c r="R15" s="3">
        <v>197061.6</v>
      </c>
      <c r="S15" s="3">
        <v>157.19999999999999</v>
      </c>
      <c r="T15" s="3">
        <v>296.85000000000002</v>
      </c>
      <c r="U15" s="3">
        <v>0</v>
      </c>
      <c r="V15" s="3">
        <v>3</v>
      </c>
      <c r="W15" s="3">
        <v>4</v>
      </c>
      <c r="X15" s="3">
        <v>0</v>
      </c>
    </row>
    <row r="16" spans="2:24" x14ac:dyDescent="0.25">
      <c r="B16" s="7" t="s">
        <v>106</v>
      </c>
      <c r="C16" s="49">
        <f>+SUM(C5:C15)</f>
        <v>681299349540</v>
      </c>
      <c r="D16" s="37">
        <f t="shared" ref="D16:X16" si="0">+SUM(D5:D15)</f>
        <v>963779.94983095187</v>
      </c>
      <c r="E16" s="37">
        <f t="shared" si="0"/>
        <v>735</v>
      </c>
      <c r="F16" s="37">
        <f t="shared" si="0"/>
        <v>33416.239999999998</v>
      </c>
      <c r="G16" s="37">
        <f t="shared" si="0"/>
        <v>53</v>
      </c>
      <c r="H16" s="37">
        <f t="shared" si="0"/>
        <v>177</v>
      </c>
      <c r="I16" s="37">
        <f t="shared" si="0"/>
        <v>907</v>
      </c>
      <c r="J16" s="37">
        <f t="shared" si="0"/>
        <v>1404965.9200000002</v>
      </c>
      <c r="K16" s="37">
        <f t="shared" si="0"/>
        <v>41987600.869999997</v>
      </c>
      <c r="L16" s="37">
        <f t="shared" si="0"/>
        <v>112619.7</v>
      </c>
      <c r="M16" s="37">
        <f t="shared" si="0"/>
        <v>16814146.68</v>
      </c>
      <c r="N16" s="37">
        <f t="shared" si="0"/>
        <v>9807.5</v>
      </c>
      <c r="O16" s="37">
        <f t="shared" si="0"/>
        <v>2426990.04</v>
      </c>
      <c r="P16" s="37">
        <f t="shared" si="0"/>
        <v>91954.73000000001</v>
      </c>
      <c r="Q16" s="37">
        <f t="shared" si="0"/>
        <v>288833.7</v>
      </c>
      <c r="R16" s="37">
        <f t="shared" si="0"/>
        <v>871514.79999999993</v>
      </c>
      <c r="S16" s="37">
        <f t="shared" si="0"/>
        <v>157.19999999999999</v>
      </c>
      <c r="T16" s="37">
        <f t="shared" si="0"/>
        <v>88745.150000000009</v>
      </c>
      <c r="U16" s="37">
        <f t="shared" si="0"/>
        <v>98507.9</v>
      </c>
      <c r="V16" s="37">
        <f t="shared" si="0"/>
        <v>19</v>
      </c>
      <c r="W16" s="37">
        <f t="shared" si="0"/>
        <v>30</v>
      </c>
      <c r="X16" s="37">
        <f t="shared" si="0"/>
        <v>2882</v>
      </c>
    </row>
    <row r="22" spans="4:4" x14ac:dyDescent="0.25">
      <c r="D22" t="s">
        <v>198</v>
      </c>
    </row>
  </sheetData>
  <mergeCells count="14">
    <mergeCell ref="V3:W3"/>
    <mergeCell ref="X3:X4"/>
    <mergeCell ref="B2:X2"/>
    <mergeCell ref="J3:J4"/>
    <mergeCell ref="K3:K4"/>
    <mergeCell ref="L3:N3"/>
    <mergeCell ref="O3:O4"/>
    <mergeCell ref="P3:P4"/>
    <mergeCell ref="Q3:U3"/>
    <mergeCell ref="C3:C4"/>
    <mergeCell ref="D3:D4"/>
    <mergeCell ref="E3:H3"/>
    <mergeCell ref="I3:I4"/>
    <mergeCell ref="B3:B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8407-A5C5-4B52-AA11-ACDBBCF7493C}">
  <dimension ref="B2:AC56"/>
  <sheetViews>
    <sheetView zoomScale="70" zoomScaleNormal="70" workbookViewId="0"/>
  </sheetViews>
  <sheetFormatPr baseColWidth="10" defaultRowHeight="15" x14ac:dyDescent="0.25"/>
  <cols>
    <col min="1" max="2" width="11.42578125" style="1"/>
    <col min="3" max="3" width="16.140625" style="1" hidden="1" customWidth="1"/>
    <col min="4" max="4" width="20.85546875" style="1" hidden="1" customWidth="1"/>
    <col min="5" max="5" width="11.42578125" style="1"/>
    <col min="6" max="6" width="33.85546875" style="1" bestFit="1" customWidth="1"/>
    <col min="7" max="7" width="36.42578125" style="1" bestFit="1" customWidth="1"/>
    <col min="8" max="8" width="246.140625" style="1" customWidth="1"/>
    <col min="9" max="9" width="66.28515625" style="1" customWidth="1"/>
    <col min="10" max="10" width="34.85546875" style="1" bestFit="1" customWidth="1"/>
    <col min="11" max="11" width="31.28515625" style="1" bestFit="1" customWidth="1"/>
    <col min="12" max="12" width="22.7109375" style="1" bestFit="1" customWidth="1"/>
    <col min="13" max="13" width="22" style="1" bestFit="1" customWidth="1"/>
    <col min="14" max="14" width="36.85546875" style="1" bestFit="1" customWidth="1"/>
    <col min="15" max="15" width="61.85546875" style="1" bestFit="1" customWidth="1"/>
    <col min="16" max="16" width="32.7109375" style="1" bestFit="1" customWidth="1"/>
    <col min="17" max="17" width="28" style="1" bestFit="1" customWidth="1"/>
    <col min="18" max="18" width="23.28515625" style="1" bestFit="1" customWidth="1"/>
    <col min="19" max="19" width="11.7109375" style="1" bestFit="1" customWidth="1"/>
    <col min="20" max="20" width="27.7109375" style="1" bestFit="1" customWidth="1"/>
    <col min="21" max="21" width="32.7109375" style="1" bestFit="1" customWidth="1"/>
    <col min="22" max="22" width="18.85546875" style="1" bestFit="1" customWidth="1"/>
    <col min="23" max="23" width="23" style="1" bestFit="1" customWidth="1"/>
    <col min="24" max="24" width="13" style="1" bestFit="1" customWidth="1"/>
    <col min="25" max="25" width="49.140625" style="1" bestFit="1" customWidth="1"/>
    <col min="26" max="26" width="48.5703125" style="1" bestFit="1" customWidth="1"/>
    <col min="27" max="27" width="30.42578125" style="1" bestFit="1" customWidth="1"/>
    <col min="28" max="28" width="33.140625" style="1" bestFit="1" customWidth="1"/>
    <col min="29" max="29" width="33" style="1" bestFit="1" customWidth="1"/>
    <col min="30" max="16384" width="11.42578125" style="1"/>
  </cols>
  <sheetData>
    <row r="2" spans="2:29" ht="15" customHeight="1" x14ac:dyDescent="0.25">
      <c r="B2" s="7" t="s">
        <v>0</v>
      </c>
      <c r="C2" s="7" t="s">
        <v>2</v>
      </c>
      <c r="D2" s="7" t="s">
        <v>96</v>
      </c>
      <c r="E2" s="7" t="s">
        <v>1</v>
      </c>
      <c r="F2" s="7" t="s">
        <v>115</v>
      </c>
      <c r="G2" s="7" t="s">
        <v>196</v>
      </c>
      <c r="H2" s="7" t="s">
        <v>3</v>
      </c>
      <c r="I2" s="7" t="s">
        <v>116</v>
      </c>
      <c r="J2" s="7" t="s">
        <v>188</v>
      </c>
      <c r="K2" s="7" t="s">
        <v>171</v>
      </c>
      <c r="L2" s="7" t="s">
        <v>190</v>
      </c>
      <c r="M2" s="7" t="s">
        <v>191</v>
      </c>
      <c r="N2" s="7" t="s">
        <v>183</v>
      </c>
      <c r="O2" s="7" t="s">
        <v>181</v>
      </c>
      <c r="P2" s="7" t="s">
        <v>112</v>
      </c>
      <c r="Q2" s="7" t="s">
        <v>107</v>
      </c>
      <c r="R2" s="7" t="s">
        <v>108</v>
      </c>
      <c r="S2" s="7" t="s">
        <v>109</v>
      </c>
      <c r="T2" s="7" t="s">
        <v>113</v>
      </c>
      <c r="U2" s="7" t="s">
        <v>172</v>
      </c>
      <c r="V2" s="7" t="s">
        <v>173</v>
      </c>
      <c r="W2" s="23" t="s">
        <v>180</v>
      </c>
      <c r="X2" s="7" t="s">
        <v>174</v>
      </c>
      <c r="Y2" s="23" t="s">
        <v>175</v>
      </c>
      <c r="Z2" s="23" t="s">
        <v>176</v>
      </c>
      <c r="AA2" s="23" t="s">
        <v>178</v>
      </c>
      <c r="AB2" s="23" t="s">
        <v>179</v>
      </c>
      <c r="AC2" s="7" t="s">
        <v>187</v>
      </c>
    </row>
    <row r="3" spans="2:29" x14ac:dyDescent="0.25">
      <c r="B3" s="3">
        <v>1</v>
      </c>
      <c r="C3" s="3" t="s">
        <v>78</v>
      </c>
      <c r="D3" s="3" t="s">
        <v>79</v>
      </c>
      <c r="E3" s="3">
        <v>2012</v>
      </c>
      <c r="F3" s="39">
        <v>4474359011</v>
      </c>
      <c r="G3" s="38">
        <v>7895.4632274572086</v>
      </c>
      <c r="H3" s="3" t="s">
        <v>80</v>
      </c>
      <c r="I3" s="3" t="s">
        <v>117</v>
      </c>
      <c r="J3" s="3">
        <v>5</v>
      </c>
      <c r="K3" s="3">
        <v>0</v>
      </c>
      <c r="L3" s="3">
        <v>0</v>
      </c>
      <c r="M3" s="3">
        <v>3</v>
      </c>
      <c r="N3" s="3">
        <v>4</v>
      </c>
      <c r="O3" s="3">
        <v>25472.11</v>
      </c>
      <c r="P3" s="3">
        <v>2866.68</v>
      </c>
      <c r="Q3" s="3">
        <v>1954</v>
      </c>
      <c r="R3" s="3">
        <v>249934.05</v>
      </c>
      <c r="S3" s="3">
        <v>609.80999999999995</v>
      </c>
      <c r="T3" s="3">
        <v>21224.25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1</v>
      </c>
      <c r="AC3" s="3">
        <v>0</v>
      </c>
    </row>
    <row r="4" spans="2:29" x14ac:dyDescent="0.25">
      <c r="B4" s="3">
        <v>2</v>
      </c>
      <c r="C4" s="3" t="s">
        <v>86</v>
      </c>
      <c r="D4" s="3" t="s">
        <v>91</v>
      </c>
      <c r="E4" s="3">
        <v>2012</v>
      </c>
      <c r="F4" s="39">
        <v>2157100125</v>
      </c>
      <c r="G4" s="38">
        <v>3806.4233721545793</v>
      </c>
      <c r="H4" s="3" t="s">
        <v>81</v>
      </c>
      <c r="I4" s="3" t="s">
        <v>118</v>
      </c>
      <c r="J4" s="3">
        <v>1</v>
      </c>
      <c r="K4" s="3">
        <v>0</v>
      </c>
      <c r="L4" s="3">
        <v>1</v>
      </c>
      <c r="M4" s="3">
        <v>0</v>
      </c>
      <c r="N4" s="3">
        <v>2</v>
      </c>
      <c r="O4" s="3">
        <v>24490.18</v>
      </c>
      <c r="P4" s="3">
        <v>525715.30000000005</v>
      </c>
      <c r="Q4" s="3">
        <v>756</v>
      </c>
      <c r="R4" s="3">
        <v>34913.800000000003</v>
      </c>
      <c r="S4" s="3">
        <v>69.11</v>
      </c>
      <c r="T4" s="3">
        <v>12455.09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</row>
    <row r="5" spans="2:29" x14ac:dyDescent="0.25">
      <c r="B5" s="3">
        <v>3</v>
      </c>
      <c r="C5" s="3" t="s">
        <v>87</v>
      </c>
      <c r="D5" s="3" t="s">
        <v>92</v>
      </c>
      <c r="E5" s="3">
        <v>2012</v>
      </c>
      <c r="F5" s="39">
        <v>5062209846</v>
      </c>
      <c r="G5" s="38">
        <v>8932.7860349391212</v>
      </c>
      <c r="H5" s="3" t="s">
        <v>82</v>
      </c>
      <c r="I5" s="3" t="s">
        <v>119</v>
      </c>
      <c r="J5" s="3">
        <v>0</v>
      </c>
      <c r="K5" s="3">
        <v>0</v>
      </c>
      <c r="L5" s="3">
        <v>0</v>
      </c>
      <c r="M5" s="3">
        <v>1</v>
      </c>
      <c r="N5" s="3">
        <v>2</v>
      </c>
      <c r="O5" s="3">
        <v>19645.849999999999</v>
      </c>
      <c r="P5" s="3">
        <v>428855</v>
      </c>
      <c r="Q5" s="3">
        <v>4815.7</v>
      </c>
      <c r="R5" s="3">
        <v>460920</v>
      </c>
      <c r="S5" s="3">
        <v>211.03</v>
      </c>
      <c r="T5" s="3">
        <v>39375.339999999997</v>
      </c>
      <c r="U5" s="3">
        <v>0</v>
      </c>
      <c r="V5" s="3">
        <v>0</v>
      </c>
      <c r="W5" s="3">
        <v>2132.8999999999996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72</v>
      </c>
    </row>
    <row r="6" spans="2:29" x14ac:dyDescent="0.25">
      <c r="B6" s="3">
        <v>4</v>
      </c>
      <c r="C6" s="3" t="s">
        <v>88</v>
      </c>
      <c r="D6" s="3" t="s">
        <v>93</v>
      </c>
      <c r="E6" s="3">
        <v>2012</v>
      </c>
      <c r="F6" s="39">
        <v>2235162975</v>
      </c>
      <c r="G6" s="38">
        <v>3944.1732398094232</v>
      </c>
      <c r="H6" s="3" t="s">
        <v>83</v>
      </c>
      <c r="I6" s="3" t="s">
        <v>120</v>
      </c>
      <c r="J6" s="3">
        <v>8</v>
      </c>
      <c r="K6" s="3">
        <v>0</v>
      </c>
      <c r="L6" s="3">
        <v>0</v>
      </c>
      <c r="M6" s="3">
        <v>0</v>
      </c>
      <c r="N6" s="3">
        <v>1</v>
      </c>
      <c r="O6" s="3">
        <v>26178.5</v>
      </c>
      <c r="P6" s="3">
        <v>634461.25</v>
      </c>
      <c r="Q6" s="3">
        <v>479</v>
      </c>
      <c r="R6" s="3">
        <v>0</v>
      </c>
      <c r="S6" s="3">
        <v>59.56</v>
      </c>
      <c r="T6" s="3">
        <v>3333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</row>
    <row r="7" spans="2:29" x14ac:dyDescent="0.25">
      <c r="B7" s="3">
        <v>5</v>
      </c>
      <c r="C7" s="3" t="s">
        <v>89</v>
      </c>
      <c r="D7" s="3" t="s">
        <v>94</v>
      </c>
      <c r="E7" s="3">
        <v>2012</v>
      </c>
      <c r="F7" s="39">
        <v>5464669932</v>
      </c>
      <c r="G7" s="38">
        <v>9642.9679407093699</v>
      </c>
      <c r="H7" s="3" t="s">
        <v>84</v>
      </c>
      <c r="I7" s="3" t="s">
        <v>121</v>
      </c>
      <c r="J7" s="3">
        <v>3</v>
      </c>
      <c r="K7" s="3">
        <v>0</v>
      </c>
      <c r="L7" s="3">
        <v>0</v>
      </c>
      <c r="M7" s="3">
        <v>1</v>
      </c>
      <c r="N7" s="3">
        <v>5</v>
      </c>
      <c r="O7" s="3">
        <v>52150.8</v>
      </c>
      <c r="P7" s="3">
        <v>2093944</v>
      </c>
      <c r="Q7" s="3">
        <v>4226</v>
      </c>
      <c r="R7" s="3">
        <v>174257.5</v>
      </c>
      <c r="S7" s="3">
        <v>272.3</v>
      </c>
      <c r="T7" s="3">
        <v>22099.5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</row>
    <row r="8" spans="2:29" x14ac:dyDescent="0.25">
      <c r="B8" s="3">
        <v>6</v>
      </c>
      <c r="C8" s="3" t="s">
        <v>90</v>
      </c>
      <c r="D8" s="3" t="s">
        <v>95</v>
      </c>
      <c r="E8" s="3">
        <v>2012</v>
      </c>
      <c r="F8" s="39">
        <v>4256027853</v>
      </c>
      <c r="G8" s="38">
        <v>7510.1956114346212</v>
      </c>
      <c r="H8" s="3" t="s">
        <v>85</v>
      </c>
      <c r="I8" s="3" t="s">
        <v>122</v>
      </c>
      <c r="J8" s="3">
        <v>0</v>
      </c>
      <c r="K8" s="3">
        <v>0</v>
      </c>
      <c r="L8" s="3">
        <v>0</v>
      </c>
      <c r="M8" s="3">
        <v>0</v>
      </c>
      <c r="N8" s="3">
        <v>3</v>
      </c>
      <c r="O8" s="3">
        <v>25548.87</v>
      </c>
      <c r="P8" s="3">
        <v>1376742.83</v>
      </c>
      <c r="Q8" s="3">
        <v>1740</v>
      </c>
      <c r="R8" s="3">
        <v>273091.5</v>
      </c>
      <c r="S8" s="3">
        <v>76.37</v>
      </c>
      <c r="T8" s="3">
        <v>21773.759999999998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3</v>
      </c>
    </row>
    <row r="9" spans="2:29" x14ac:dyDescent="0.25">
      <c r="B9" s="3">
        <v>7</v>
      </c>
      <c r="C9" s="3" t="s">
        <v>62</v>
      </c>
      <c r="D9" s="3" t="s">
        <v>63</v>
      </c>
      <c r="E9" s="3">
        <v>2013</v>
      </c>
      <c r="F9" s="39">
        <v>65379741628</v>
      </c>
      <c r="G9" s="38">
        <v>110907.11048006786</v>
      </c>
      <c r="H9" s="3" t="s">
        <v>64</v>
      </c>
      <c r="I9" s="3" t="s">
        <v>123</v>
      </c>
      <c r="J9" s="3">
        <v>121</v>
      </c>
      <c r="K9" s="3">
        <v>0</v>
      </c>
      <c r="L9" s="3">
        <v>36</v>
      </c>
      <c r="M9" s="3">
        <v>26</v>
      </c>
      <c r="N9" s="3">
        <v>113</v>
      </c>
      <c r="O9" s="3">
        <v>205918</v>
      </c>
      <c r="P9" s="3">
        <v>1658366.02</v>
      </c>
      <c r="Q9" s="3">
        <v>3278</v>
      </c>
      <c r="R9" s="3">
        <v>189863.9</v>
      </c>
      <c r="S9" s="3">
        <v>411.05</v>
      </c>
      <c r="T9" s="3">
        <v>98738.14</v>
      </c>
      <c r="U9" s="3">
        <v>0</v>
      </c>
      <c r="V9" s="3">
        <v>21286.399999999998</v>
      </c>
      <c r="W9" s="3">
        <v>12155.199999999999</v>
      </c>
      <c r="X9" s="3">
        <v>0</v>
      </c>
      <c r="Y9" s="3">
        <v>0</v>
      </c>
      <c r="Z9" s="3">
        <v>0</v>
      </c>
      <c r="AA9" s="3">
        <v>3</v>
      </c>
      <c r="AB9" s="3">
        <v>6</v>
      </c>
      <c r="AC9" s="3">
        <v>696</v>
      </c>
    </row>
    <row r="10" spans="2:29" x14ac:dyDescent="0.25">
      <c r="B10" s="3">
        <v>8</v>
      </c>
      <c r="C10" s="3" t="s">
        <v>65</v>
      </c>
      <c r="D10" s="3" t="s">
        <v>66</v>
      </c>
      <c r="E10" s="3">
        <v>2013</v>
      </c>
      <c r="F10" s="39">
        <v>48754133104</v>
      </c>
      <c r="G10" s="38">
        <v>82704.212220525864</v>
      </c>
      <c r="H10" s="3" t="s">
        <v>67</v>
      </c>
      <c r="I10" s="3" t="s">
        <v>124</v>
      </c>
      <c r="J10" s="3">
        <v>10</v>
      </c>
      <c r="K10" s="3">
        <v>0</v>
      </c>
      <c r="L10" s="3">
        <v>0</v>
      </c>
      <c r="M10" s="3">
        <v>4</v>
      </c>
      <c r="N10" s="3">
        <v>17</v>
      </c>
      <c r="O10" s="3">
        <v>146676.35999999999</v>
      </c>
      <c r="P10" s="3">
        <v>1343482.92</v>
      </c>
      <c r="Q10" s="3">
        <v>5796</v>
      </c>
      <c r="R10" s="3">
        <v>2654235.15</v>
      </c>
      <c r="S10" s="3">
        <v>806.48</v>
      </c>
      <c r="T10" s="3">
        <v>309715.33</v>
      </c>
      <c r="U10" s="3">
        <v>0</v>
      </c>
      <c r="V10" s="3">
        <v>19726.5</v>
      </c>
      <c r="W10" s="3">
        <v>144912.5</v>
      </c>
      <c r="X10" s="3">
        <v>0</v>
      </c>
      <c r="Y10" s="3">
        <v>0</v>
      </c>
      <c r="Z10" s="3">
        <v>0</v>
      </c>
      <c r="AA10" s="3">
        <v>1</v>
      </c>
      <c r="AB10" s="3">
        <v>1</v>
      </c>
      <c r="AC10" s="3">
        <v>117</v>
      </c>
    </row>
    <row r="11" spans="2:29" x14ac:dyDescent="0.25">
      <c r="B11" s="3">
        <v>9</v>
      </c>
      <c r="C11" s="3" t="s">
        <v>68</v>
      </c>
      <c r="D11" s="3" t="s">
        <v>69</v>
      </c>
      <c r="E11" s="3">
        <v>2013</v>
      </c>
      <c r="F11" s="39">
        <v>46586398574</v>
      </c>
      <c r="G11" s="38">
        <v>79026.96959117896</v>
      </c>
      <c r="H11" s="3" t="s">
        <v>70</v>
      </c>
      <c r="I11" s="3" t="s">
        <v>121</v>
      </c>
      <c r="J11" s="3">
        <v>64</v>
      </c>
      <c r="K11" s="3">
        <v>5311.12</v>
      </c>
      <c r="L11" s="3">
        <v>1</v>
      </c>
      <c r="M11" s="3">
        <v>18</v>
      </c>
      <c r="N11" s="3">
        <v>28</v>
      </c>
      <c r="O11" s="3">
        <v>22774.1</v>
      </c>
      <c r="P11" s="3">
        <v>997572.5</v>
      </c>
      <c r="Q11" s="3">
        <v>7110</v>
      </c>
      <c r="R11" s="3">
        <v>549628.30000000005</v>
      </c>
      <c r="S11" s="3">
        <v>387.1</v>
      </c>
      <c r="T11" s="3">
        <v>78115.600000000006</v>
      </c>
      <c r="U11" s="3">
        <v>0</v>
      </c>
      <c r="V11" s="3">
        <v>19189</v>
      </c>
      <c r="W11" s="3">
        <v>145989</v>
      </c>
      <c r="X11" s="3">
        <v>0</v>
      </c>
      <c r="Y11" s="3">
        <v>0</v>
      </c>
      <c r="Z11" s="3">
        <v>81234.3</v>
      </c>
      <c r="AA11" s="3">
        <v>2</v>
      </c>
      <c r="AB11" s="3">
        <v>0</v>
      </c>
      <c r="AC11" s="3">
        <v>44</v>
      </c>
    </row>
    <row r="12" spans="2:29" x14ac:dyDescent="0.25">
      <c r="B12" s="3">
        <v>10</v>
      </c>
      <c r="C12" s="3" t="s">
        <v>71</v>
      </c>
      <c r="D12" s="3" t="s">
        <v>72</v>
      </c>
      <c r="E12" s="3">
        <v>2013</v>
      </c>
      <c r="F12" s="39">
        <v>51121838090</v>
      </c>
      <c r="G12" s="38">
        <v>86720.67530110263</v>
      </c>
      <c r="H12" s="3" t="s">
        <v>73</v>
      </c>
      <c r="I12" s="3" t="s">
        <v>122</v>
      </c>
      <c r="J12" s="3">
        <v>90</v>
      </c>
      <c r="K12" s="3">
        <v>644.1</v>
      </c>
      <c r="L12" s="3">
        <v>4</v>
      </c>
      <c r="M12" s="3">
        <v>16</v>
      </c>
      <c r="N12" s="3">
        <v>125</v>
      </c>
      <c r="O12" s="3">
        <v>1737</v>
      </c>
      <c r="P12" s="3">
        <v>5179881.3</v>
      </c>
      <c r="Q12" s="3">
        <v>5594</v>
      </c>
      <c r="R12" s="3">
        <v>732793</v>
      </c>
      <c r="S12" s="3">
        <v>548.70000000000005</v>
      </c>
      <c r="T12" s="3">
        <v>233785.60000000001</v>
      </c>
      <c r="U12" s="3">
        <v>0</v>
      </c>
      <c r="V12" s="3">
        <v>14592</v>
      </c>
      <c r="W12" s="3">
        <v>99552.999999999985</v>
      </c>
      <c r="X12" s="3">
        <v>0</v>
      </c>
      <c r="Y12" s="3">
        <v>73345</v>
      </c>
      <c r="Z12" s="3">
        <v>0</v>
      </c>
      <c r="AA12" s="3">
        <v>0</v>
      </c>
      <c r="AB12" s="3">
        <v>0</v>
      </c>
      <c r="AC12" s="3">
        <v>897</v>
      </c>
    </row>
    <row r="13" spans="2:29" x14ac:dyDescent="0.25">
      <c r="B13" s="3">
        <v>11</v>
      </c>
      <c r="C13" s="3" t="s">
        <v>74</v>
      </c>
      <c r="D13" s="3" t="s">
        <v>75</v>
      </c>
      <c r="E13" s="3">
        <v>2013</v>
      </c>
      <c r="F13" s="39">
        <v>45024335245</v>
      </c>
      <c r="G13" s="38">
        <v>76377.159024597117</v>
      </c>
      <c r="H13" s="3" t="s">
        <v>76</v>
      </c>
      <c r="I13" s="3" t="s">
        <v>117</v>
      </c>
      <c r="J13" s="3">
        <v>81</v>
      </c>
      <c r="K13" s="3">
        <v>3706</v>
      </c>
      <c r="L13" s="3">
        <v>0</v>
      </c>
      <c r="M13" s="3">
        <v>2</v>
      </c>
      <c r="N13" s="3">
        <v>37</v>
      </c>
      <c r="O13" s="3">
        <v>276302.40000000002</v>
      </c>
      <c r="P13" s="3">
        <v>2276354</v>
      </c>
      <c r="Q13" s="3">
        <v>4582</v>
      </c>
      <c r="R13" s="3">
        <v>497321.4</v>
      </c>
      <c r="S13" s="3">
        <v>299.7</v>
      </c>
      <c r="T13" s="3">
        <v>249120.1</v>
      </c>
      <c r="U13" s="3">
        <v>0</v>
      </c>
      <c r="V13" s="3">
        <v>130</v>
      </c>
      <c r="W13" s="3">
        <v>10760</v>
      </c>
      <c r="X13" s="3">
        <v>0</v>
      </c>
      <c r="Y13" s="3">
        <v>0</v>
      </c>
      <c r="Z13" s="3">
        <v>0</v>
      </c>
      <c r="AA13" s="3">
        <v>2</v>
      </c>
      <c r="AB13" s="3">
        <v>1</v>
      </c>
      <c r="AC13" s="3">
        <v>6</v>
      </c>
    </row>
    <row r="14" spans="2:29" x14ac:dyDescent="0.25">
      <c r="B14" s="3">
        <v>12</v>
      </c>
      <c r="C14" s="3">
        <v>4600000896</v>
      </c>
      <c r="D14" s="3">
        <v>4600000897</v>
      </c>
      <c r="E14" s="3">
        <v>2013</v>
      </c>
      <c r="F14" s="39">
        <v>4272550509</v>
      </c>
      <c r="G14" s="38">
        <v>7247.7531959287535</v>
      </c>
      <c r="H14" s="3" t="s">
        <v>77</v>
      </c>
      <c r="I14" s="3" t="s">
        <v>192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323</v>
      </c>
      <c r="P14" s="3">
        <v>0</v>
      </c>
      <c r="Q14" s="3">
        <v>211</v>
      </c>
      <c r="R14" s="3">
        <v>0</v>
      </c>
      <c r="S14" s="3">
        <v>9.36</v>
      </c>
      <c r="T14" s="3">
        <v>2662.62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</row>
    <row r="15" spans="2:29" x14ac:dyDescent="0.25">
      <c r="B15" s="3">
        <v>13</v>
      </c>
      <c r="C15" s="3">
        <v>4600001884</v>
      </c>
      <c r="D15" s="3">
        <v>4600001932</v>
      </c>
      <c r="E15" s="3">
        <v>2014</v>
      </c>
      <c r="F15" s="39">
        <v>13912360043</v>
      </c>
      <c r="G15" s="38">
        <v>22585.000069805195</v>
      </c>
      <c r="H15" s="3" t="s">
        <v>60</v>
      </c>
      <c r="I15" s="3" t="s">
        <v>120</v>
      </c>
      <c r="J15" s="3">
        <v>22</v>
      </c>
      <c r="K15" s="3">
        <v>5522.5</v>
      </c>
      <c r="L15" s="3">
        <v>3</v>
      </c>
      <c r="M15" s="3">
        <v>0</v>
      </c>
      <c r="N15" s="3">
        <v>12</v>
      </c>
      <c r="O15" s="3">
        <v>126081.04</v>
      </c>
      <c r="P15" s="3">
        <v>1246948.8</v>
      </c>
      <c r="Q15" s="3">
        <v>325</v>
      </c>
      <c r="R15" s="3">
        <v>0</v>
      </c>
      <c r="S15" s="3">
        <v>106.01</v>
      </c>
      <c r="T15" s="3">
        <v>19302.62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3</v>
      </c>
      <c r="AB15" s="3">
        <v>0</v>
      </c>
      <c r="AC15" s="3">
        <v>68</v>
      </c>
    </row>
    <row r="16" spans="2:29" x14ac:dyDescent="0.25">
      <c r="B16" s="3">
        <v>14</v>
      </c>
      <c r="C16" s="3">
        <v>4600001939</v>
      </c>
      <c r="D16" s="3">
        <v>4600001885</v>
      </c>
      <c r="E16" s="3">
        <v>2014</v>
      </c>
      <c r="F16" s="39">
        <v>15979657808</v>
      </c>
      <c r="G16" s="38">
        <v>25941.002935064935</v>
      </c>
      <c r="H16" s="3" t="s">
        <v>61</v>
      </c>
      <c r="I16" s="3" t="s">
        <v>117</v>
      </c>
      <c r="J16" s="3">
        <v>1</v>
      </c>
      <c r="K16" s="3">
        <v>0</v>
      </c>
      <c r="L16" s="3">
        <v>0</v>
      </c>
      <c r="M16" s="3">
        <v>1</v>
      </c>
      <c r="N16" s="3">
        <v>3</v>
      </c>
      <c r="O16" s="3">
        <v>40640.699999999997</v>
      </c>
      <c r="P16" s="3">
        <v>2146824.7000000002</v>
      </c>
      <c r="Q16" s="3">
        <v>3301</v>
      </c>
      <c r="R16" s="3">
        <v>381474</v>
      </c>
      <c r="S16" s="3">
        <v>250.8</v>
      </c>
      <c r="T16" s="3">
        <v>57864.800000000003</v>
      </c>
      <c r="U16" s="3">
        <v>0</v>
      </c>
      <c r="V16" s="3">
        <v>6441</v>
      </c>
      <c r="W16" s="3">
        <v>21533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49</v>
      </c>
    </row>
    <row r="17" spans="2:29" x14ac:dyDescent="0.25">
      <c r="B17" s="3">
        <v>15</v>
      </c>
      <c r="C17" s="3">
        <v>4600004086</v>
      </c>
      <c r="D17" s="3">
        <v>4600004434</v>
      </c>
      <c r="E17" s="3">
        <v>2015</v>
      </c>
      <c r="F17" s="39">
        <v>5655779205</v>
      </c>
      <c r="G17" s="38">
        <v>8777.4954683013893</v>
      </c>
      <c r="H17" s="3" t="s">
        <v>56</v>
      </c>
      <c r="I17" s="3" t="s">
        <v>125</v>
      </c>
      <c r="J17" s="3">
        <v>4</v>
      </c>
      <c r="K17" s="3">
        <v>0</v>
      </c>
      <c r="L17" s="3">
        <v>0</v>
      </c>
      <c r="M17" s="3">
        <v>0</v>
      </c>
      <c r="N17" s="3">
        <v>2</v>
      </c>
      <c r="O17" s="3">
        <v>5393.1</v>
      </c>
      <c r="P17" s="3">
        <v>422378</v>
      </c>
      <c r="Q17" s="3">
        <v>369</v>
      </c>
      <c r="R17" s="3">
        <v>81649.14</v>
      </c>
      <c r="S17" s="3">
        <v>53.68</v>
      </c>
      <c r="T17" s="3">
        <v>434</v>
      </c>
      <c r="U17" s="3">
        <v>0</v>
      </c>
      <c r="V17" s="3">
        <v>37845.699999999997</v>
      </c>
      <c r="W17" s="3">
        <v>16345.899999999998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476</v>
      </c>
    </row>
    <row r="18" spans="2:29" x14ac:dyDescent="0.25">
      <c r="B18" s="3">
        <v>16</v>
      </c>
      <c r="C18" s="3">
        <v>4600004484</v>
      </c>
      <c r="D18" s="3">
        <v>4600004530</v>
      </c>
      <c r="E18" s="3">
        <v>2015</v>
      </c>
      <c r="F18" s="39">
        <v>6114387127</v>
      </c>
      <c r="G18" s="38">
        <v>9489.2327570419802</v>
      </c>
      <c r="H18" s="3" t="s">
        <v>57</v>
      </c>
      <c r="I18" s="3" t="s">
        <v>126</v>
      </c>
      <c r="J18" s="3">
        <v>11</v>
      </c>
      <c r="K18" s="3">
        <v>980</v>
      </c>
      <c r="L18" s="3">
        <v>0</v>
      </c>
      <c r="M18" s="3">
        <v>0</v>
      </c>
      <c r="N18" s="3">
        <v>4</v>
      </c>
      <c r="O18" s="3">
        <v>23049</v>
      </c>
      <c r="P18" s="3">
        <v>1528155</v>
      </c>
      <c r="Q18" s="3">
        <v>1808</v>
      </c>
      <c r="R18" s="3">
        <v>98615</v>
      </c>
      <c r="S18" s="3">
        <v>128</v>
      </c>
      <c r="T18" s="3">
        <v>36904</v>
      </c>
      <c r="U18" s="3">
        <v>0</v>
      </c>
      <c r="V18" s="3">
        <v>4760</v>
      </c>
      <c r="W18" s="3">
        <v>5190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11</v>
      </c>
    </row>
    <row r="19" spans="2:29" x14ac:dyDescent="0.25">
      <c r="B19" s="3">
        <v>17</v>
      </c>
      <c r="C19" s="3">
        <v>4600004485</v>
      </c>
      <c r="D19" s="3">
        <v>4600004528</v>
      </c>
      <c r="E19" s="3">
        <v>2015</v>
      </c>
      <c r="F19" s="39">
        <v>5059721912</v>
      </c>
      <c r="G19" s="38">
        <v>7852.4434111895707</v>
      </c>
      <c r="H19" s="3" t="s">
        <v>58</v>
      </c>
      <c r="I19" s="3" t="s">
        <v>127</v>
      </c>
      <c r="J19" s="3">
        <v>9</v>
      </c>
      <c r="K19" s="3">
        <v>0</v>
      </c>
      <c r="L19" s="3">
        <v>0</v>
      </c>
      <c r="M19" s="3">
        <v>0</v>
      </c>
      <c r="N19" s="3">
        <v>4</v>
      </c>
      <c r="O19" s="3">
        <v>20648.45</v>
      </c>
      <c r="P19" s="3">
        <v>946278.9</v>
      </c>
      <c r="Q19" s="3">
        <v>0</v>
      </c>
      <c r="R19" s="3">
        <v>15000</v>
      </c>
      <c r="S19" s="3">
        <v>69.22</v>
      </c>
      <c r="T19" s="3">
        <v>29299.5</v>
      </c>
      <c r="U19" s="3">
        <v>0</v>
      </c>
      <c r="V19" s="3">
        <v>0</v>
      </c>
      <c r="W19" s="3">
        <v>3948.9999999999995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</row>
    <row r="20" spans="2:29" x14ac:dyDescent="0.25">
      <c r="B20" s="3">
        <v>18</v>
      </c>
      <c r="C20" s="3">
        <v>4600004783</v>
      </c>
      <c r="D20" s="3">
        <v>4600004784</v>
      </c>
      <c r="E20" s="3">
        <v>2015</v>
      </c>
      <c r="F20" s="39">
        <v>3814683540</v>
      </c>
      <c r="G20" s="38">
        <v>5920.2041437107164</v>
      </c>
      <c r="H20" s="3" t="s">
        <v>59</v>
      </c>
      <c r="I20" s="3" t="s">
        <v>121</v>
      </c>
      <c r="J20" s="3">
        <v>15</v>
      </c>
      <c r="K20" s="3">
        <v>92</v>
      </c>
      <c r="L20" s="3">
        <v>0</v>
      </c>
      <c r="M20" s="3">
        <v>1</v>
      </c>
      <c r="N20" s="3">
        <v>10</v>
      </c>
      <c r="O20" s="3">
        <v>2452.6</v>
      </c>
      <c r="P20" s="3">
        <v>16884</v>
      </c>
      <c r="Q20" s="3">
        <v>1277</v>
      </c>
      <c r="R20" s="3">
        <v>24180.9</v>
      </c>
      <c r="S20" s="3">
        <v>86.36</v>
      </c>
      <c r="T20" s="3">
        <v>2467.64</v>
      </c>
      <c r="U20" s="3">
        <v>0</v>
      </c>
      <c r="V20" s="3">
        <v>0</v>
      </c>
      <c r="W20" s="3">
        <v>369.5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256</v>
      </c>
    </row>
    <row r="21" spans="2:29" x14ac:dyDescent="0.25">
      <c r="B21" s="3">
        <v>19</v>
      </c>
      <c r="C21" s="3">
        <v>4600005372</v>
      </c>
      <c r="D21" s="3">
        <v>4600005623</v>
      </c>
      <c r="E21" s="3">
        <v>2016</v>
      </c>
      <c r="F21" s="39">
        <v>5968995261</v>
      </c>
      <c r="G21" s="38">
        <v>8657.5559840743772</v>
      </c>
      <c r="H21" s="3" t="s">
        <v>50</v>
      </c>
      <c r="I21" s="3" t="s">
        <v>122</v>
      </c>
      <c r="J21" s="3">
        <v>15</v>
      </c>
      <c r="K21" s="3">
        <v>1195</v>
      </c>
      <c r="L21" s="3">
        <v>0</v>
      </c>
      <c r="M21" s="3">
        <v>2</v>
      </c>
      <c r="N21" s="3">
        <v>13</v>
      </c>
      <c r="O21" s="3">
        <v>0</v>
      </c>
      <c r="P21" s="3">
        <v>1151966.6000000001</v>
      </c>
      <c r="Q21" s="3">
        <v>3303</v>
      </c>
      <c r="R21" s="3">
        <v>258203</v>
      </c>
      <c r="S21" s="3">
        <v>202.95</v>
      </c>
      <c r="T21" s="3">
        <v>29457.5</v>
      </c>
      <c r="U21" s="3">
        <v>0</v>
      </c>
      <c r="V21" s="3">
        <v>2451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1</v>
      </c>
      <c r="AC21" s="3">
        <v>10</v>
      </c>
    </row>
    <row r="22" spans="2:29" x14ac:dyDescent="0.25">
      <c r="B22" s="3">
        <v>20</v>
      </c>
      <c r="C22" s="3">
        <v>4600005373</v>
      </c>
      <c r="D22" s="3">
        <v>4600005581</v>
      </c>
      <c r="E22" s="3">
        <v>2016</v>
      </c>
      <c r="F22" s="39">
        <v>6129620831</v>
      </c>
      <c r="G22" s="38">
        <v>8890.5306814802989</v>
      </c>
      <c r="H22" s="3" t="s">
        <v>51</v>
      </c>
      <c r="I22" s="3" t="s">
        <v>121</v>
      </c>
      <c r="J22" s="3">
        <v>10</v>
      </c>
      <c r="K22" s="3">
        <v>0</v>
      </c>
      <c r="L22" s="3">
        <v>0</v>
      </c>
      <c r="M22" s="3">
        <v>2</v>
      </c>
      <c r="N22" s="3">
        <v>15</v>
      </c>
      <c r="O22" s="3">
        <v>12281.32</v>
      </c>
      <c r="P22" s="3">
        <v>195348.75</v>
      </c>
      <c r="Q22" s="3">
        <v>4286</v>
      </c>
      <c r="R22" s="3">
        <v>328514</v>
      </c>
      <c r="S22" s="3">
        <v>302.13</v>
      </c>
      <c r="T22" s="3">
        <v>14608.1</v>
      </c>
      <c r="U22" s="3">
        <v>0</v>
      </c>
      <c r="V22" s="3">
        <v>7753.9</v>
      </c>
      <c r="W22" s="3">
        <v>4911.8999999999996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</row>
    <row r="23" spans="2:29" x14ac:dyDescent="0.25">
      <c r="B23" s="3">
        <v>21</v>
      </c>
      <c r="C23" s="3">
        <v>4600005377</v>
      </c>
      <c r="D23" s="3">
        <v>4600005624</v>
      </c>
      <c r="E23" s="3">
        <v>2016</v>
      </c>
      <c r="F23" s="39">
        <v>6140397922</v>
      </c>
      <c r="G23" s="38">
        <v>8906.1620004206216</v>
      </c>
      <c r="H23" s="3" t="s">
        <v>52</v>
      </c>
      <c r="I23" s="3" t="s">
        <v>128</v>
      </c>
      <c r="J23" s="3">
        <v>13</v>
      </c>
      <c r="K23" s="3">
        <v>1246.5</v>
      </c>
      <c r="L23" s="3">
        <v>0</v>
      </c>
      <c r="M23" s="3">
        <v>1</v>
      </c>
      <c r="N23" s="3">
        <v>15</v>
      </c>
      <c r="O23" s="3">
        <v>24491.25</v>
      </c>
      <c r="P23" s="3">
        <v>999457.65</v>
      </c>
      <c r="Q23" s="3">
        <v>533</v>
      </c>
      <c r="R23" s="3">
        <v>13581.7</v>
      </c>
      <c r="S23" s="3">
        <v>83.73</v>
      </c>
      <c r="T23" s="3">
        <v>35595.160000000003</v>
      </c>
      <c r="U23" s="3">
        <v>0</v>
      </c>
      <c r="V23" s="3">
        <v>4230.5999999999995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1</v>
      </c>
      <c r="AC23" s="3">
        <v>38</v>
      </c>
    </row>
    <row r="24" spans="2:29" x14ac:dyDescent="0.25">
      <c r="B24" s="3">
        <v>22</v>
      </c>
      <c r="C24" s="3">
        <v>4600005393</v>
      </c>
      <c r="D24" s="3">
        <v>4600005566</v>
      </c>
      <c r="E24" s="3">
        <v>2016</v>
      </c>
      <c r="F24" s="39">
        <v>5421348765</v>
      </c>
      <c r="G24" s="38">
        <v>7863.2380140835876</v>
      </c>
      <c r="H24" s="3" t="s">
        <v>53</v>
      </c>
      <c r="I24" s="3" t="s">
        <v>117</v>
      </c>
      <c r="J24" s="3">
        <v>5</v>
      </c>
      <c r="K24" s="3">
        <v>0</v>
      </c>
      <c r="L24" s="3">
        <v>0</v>
      </c>
      <c r="M24" s="3">
        <v>1</v>
      </c>
      <c r="N24" s="3">
        <v>3</v>
      </c>
      <c r="O24" s="3">
        <v>8091</v>
      </c>
      <c r="P24" s="3">
        <v>1607369</v>
      </c>
      <c r="Q24" s="3">
        <v>1897</v>
      </c>
      <c r="R24" s="3">
        <v>70123</v>
      </c>
      <c r="S24" s="3">
        <v>149.19999999999999</v>
      </c>
      <c r="T24" s="3">
        <v>124693</v>
      </c>
      <c r="U24" s="3">
        <v>0</v>
      </c>
      <c r="V24" s="3">
        <v>0</v>
      </c>
      <c r="W24" s="3">
        <v>2544.2999999999997</v>
      </c>
      <c r="X24" s="3">
        <v>0</v>
      </c>
      <c r="Y24" s="3">
        <v>0</v>
      </c>
      <c r="Z24" s="3">
        <v>0</v>
      </c>
      <c r="AA24" s="3">
        <v>0</v>
      </c>
      <c r="AB24" s="3">
        <v>1</v>
      </c>
      <c r="AC24" s="3">
        <v>28</v>
      </c>
    </row>
    <row r="25" spans="2:29" x14ac:dyDescent="0.25">
      <c r="B25" s="3">
        <v>23</v>
      </c>
      <c r="C25" s="3">
        <v>4600005394</v>
      </c>
      <c r="D25" s="3">
        <v>4600005563</v>
      </c>
      <c r="E25" s="3">
        <v>2016</v>
      </c>
      <c r="F25" s="39">
        <v>6133562068</v>
      </c>
      <c r="G25" s="38">
        <v>8896.2471343307388</v>
      </c>
      <c r="H25" s="3" t="s">
        <v>54</v>
      </c>
      <c r="I25" s="3" t="s">
        <v>119</v>
      </c>
      <c r="J25" s="3">
        <v>3</v>
      </c>
      <c r="K25" s="3">
        <v>0</v>
      </c>
      <c r="L25" s="3">
        <v>0</v>
      </c>
      <c r="M25" s="3">
        <v>2</v>
      </c>
      <c r="N25" s="3">
        <v>8</v>
      </c>
      <c r="O25" s="3">
        <v>10409.24</v>
      </c>
      <c r="P25" s="3">
        <v>719074.1</v>
      </c>
      <c r="Q25" s="3">
        <v>7006</v>
      </c>
      <c r="R25" s="3">
        <v>965312.8</v>
      </c>
      <c r="S25" s="3">
        <v>583.59</v>
      </c>
      <c r="T25" s="3">
        <v>17147.38</v>
      </c>
      <c r="U25" s="3">
        <v>0</v>
      </c>
      <c r="V25" s="3">
        <v>0</v>
      </c>
      <c r="W25" s="3">
        <v>513.59999999999991</v>
      </c>
      <c r="X25" s="3">
        <v>0</v>
      </c>
      <c r="Y25" s="3">
        <v>0</v>
      </c>
      <c r="Z25" s="3">
        <v>0</v>
      </c>
      <c r="AA25" s="3">
        <v>1</v>
      </c>
      <c r="AB25" s="3">
        <v>1</v>
      </c>
      <c r="AC25" s="3">
        <v>6</v>
      </c>
    </row>
    <row r="26" spans="2:29" x14ac:dyDescent="0.25">
      <c r="B26" s="3">
        <v>24</v>
      </c>
      <c r="C26" s="3">
        <v>4600005515</v>
      </c>
      <c r="D26" s="3">
        <v>4600005622</v>
      </c>
      <c r="E26" s="3">
        <v>2016</v>
      </c>
      <c r="F26" s="39">
        <v>4599657246</v>
      </c>
      <c r="G26" s="38">
        <v>6671.4393919835229</v>
      </c>
      <c r="H26" s="3" t="s">
        <v>55</v>
      </c>
      <c r="I26" s="3" t="s">
        <v>129</v>
      </c>
      <c r="J26" s="3">
        <v>9</v>
      </c>
      <c r="K26" s="3">
        <v>137.6</v>
      </c>
      <c r="L26" s="3">
        <v>0</v>
      </c>
      <c r="M26" s="3">
        <v>2</v>
      </c>
      <c r="N26" s="3">
        <v>17</v>
      </c>
      <c r="O26" s="3">
        <v>1206.5999999999999</v>
      </c>
      <c r="P26" s="3">
        <v>256900</v>
      </c>
      <c r="Q26" s="3">
        <v>1119</v>
      </c>
      <c r="R26" s="3">
        <v>192181</v>
      </c>
      <c r="S26" s="3">
        <v>88.21</v>
      </c>
      <c r="T26" s="3">
        <v>19394.7</v>
      </c>
      <c r="U26" s="3">
        <v>0</v>
      </c>
      <c r="V26" s="3">
        <v>0</v>
      </c>
      <c r="W26" s="3">
        <v>13854.699999999999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</row>
    <row r="27" spans="2:29" x14ac:dyDescent="0.25">
      <c r="B27" s="3">
        <v>25</v>
      </c>
      <c r="C27" s="3">
        <v>4600007136</v>
      </c>
      <c r="D27" s="3">
        <v>4600007209</v>
      </c>
      <c r="E27" s="3">
        <v>2017</v>
      </c>
      <c r="F27" s="39">
        <v>1952872479</v>
      </c>
      <c r="G27" s="38">
        <v>2647.1837832122615</v>
      </c>
      <c r="H27" s="3" t="s">
        <v>46</v>
      </c>
      <c r="I27" s="3" t="s">
        <v>130</v>
      </c>
      <c r="J27" s="3">
        <v>0</v>
      </c>
      <c r="K27" s="3">
        <v>49</v>
      </c>
      <c r="L27" s="3">
        <v>0</v>
      </c>
      <c r="M27" s="3">
        <v>2</v>
      </c>
      <c r="N27" s="3">
        <v>4</v>
      </c>
      <c r="O27" s="3">
        <v>143.19999999999999</v>
      </c>
      <c r="P27" s="3">
        <v>0</v>
      </c>
      <c r="Q27" s="3">
        <v>893</v>
      </c>
      <c r="R27" s="3">
        <v>166550</v>
      </c>
      <c r="S27" s="3">
        <v>51.7</v>
      </c>
      <c r="T27" s="3">
        <v>1982.9</v>
      </c>
      <c r="U27" s="3">
        <v>0</v>
      </c>
      <c r="V27" s="3">
        <v>0</v>
      </c>
      <c r="W27" s="3">
        <v>10610.999999999998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8</v>
      </c>
    </row>
    <row r="28" spans="2:29" x14ac:dyDescent="0.25">
      <c r="B28" s="3">
        <v>26</v>
      </c>
      <c r="C28" s="3">
        <v>4600007146</v>
      </c>
      <c r="D28" s="3">
        <v>4600007228</v>
      </c>
      <c r="E28" s="3">
        <v>2017</v>
      </c>
      <c r="F28" s="39">
        <v>4937970479</v>
      </c>
      <c r="G28" s="38">
        <v>6693.5836899515671</v>
      </c>
      <c r="H28" s="3" t="s">
        <v>47</v>
      </c>
      <c r="I28" s="3" t="s">
        <v>131</v>
      </c>
      <c r="J28" s="3">
        <v>4</v>
      </c>
      <c r="K28" s="3">
        <v>14.7</v>
      </c>
      <c r="L28" s="3">
        <v>0</v>
      </c>
      <c r="M28" s="3">
        <v>4</v>
      </c>
      <c r="N28" s="3">
        <v>9</v>
      </c>
      <c r="O28" s="3">
        <v>13636</v>
      </c>
      <c r="P28" s="3">
        <v>760789</v>
      </c>
      <c r="Q28" s="3">
        <v>84</v>
      </c>
      <c r="R28" s="3">
        <v>52400</v>
      </c>
      <c r="S28" s="3">
        <v>99</v>
      </c>
      <c r="T28" s="3">
        <v>66402</v>
      </c>
      <c r="U28" s="3">
        <v>0</v>
      </c>
      <c r="V28" s="3">
        <v>0</v>
      </c>
      <c r="W28" s="3">
        <v>7450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</row>
    <row r="29" spans="2:29" x14ac:dyDescent="0.25">
      <c r="B29" s="3">
        <v>27</v>
      </c>
      <c r="C29" s="3">
        <v>4600007149</v>
      </c>
      <c r="D29" s="3">
        <v>4600007198</v>
      </c>
      <c r="E29" s="3">
        <v>2017</v>
      </c>
      <c r="F29" s="39">
        <v>4139044164</v>
      </c>
      <c r="G29" s="38">
        <v>5610.6124218365576</v>
      </c>
      <c r="H29" s="3" t="s">
        <v>48</v>
      </c>
      <c r="I29" s="3" t="s">
        <v>127</v>
      </c>
      <c r="J29" s="3">
        <v>17</v>
      </c>
      <c r="K29" s="3">
        <v>135</v>
      </c>
      <c r="L29" s="3">
        <v>0</v>
      </c>
      <c r="M29" s="3">
        <v>0</v>
      </c>
      <c r="N29" s="3">
        <v>13</v>
      </c>
      <c r="O29" s="3">
        <v>17254</v>
      </c>
      <c r="P29" s="3">
        <v>403342.5</v>
      </c>
      <c r="Q29" s="3">
        <v>2234</v>
      </c>
      <c r="R29" s="3">
        <v>227653.6</v>
      </c>
      <c r="S29" s="3">
        <v>144.4</v>
      </c>
      <c r="T29" s="3">
        <v>4202</v>
      </c>
      <c r="U29" s="3">
        <v>0</v>
      </c>
      <c r="V29" s="3">
        <v>0</v>
      </c>
      <c r="W29" s="3">
        <v>93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</row>
    <row r="30" spans="2:29" x14ac:dyDescent="0.25">
      <c r="B30" s="3">
        <v>28</v>
      </c>
      <c r="C30" s="3">
        <v>4600007151</v>
      </c>
      <c r="D30" s="3">
        <v>4600007218</v>
      </c>
      <c r="E30" s="3">
        <v>2017</v>
      </c>
      <c r="F30" s="39">
        <v>5128428073</v>
      </c>
      <c r="G30" s="38">
        <v>6951.7553113185677</v>
      </c>
      <c r="H30" s="3" t="s">
        <v>39</v>
      </c>
      <c r="I30" s="3" t="s">
        <v>121</v>
      </c>
      <c r="J30" s="3">
        <v>14</v>
      </c>
      <c r="K30" s="3">
        <v>1000</v>
      </c>
      <c r="L30" s="3">
        <v>0</v>
      </c>
      <c r="M30" s="3">
        <v>0</v>
      </c>
      <c r="N30" s="3">
        <v>15</v>
      </c>
      <c r="O30" s="3">
        <v>14813.1</v>
      </c>
      <c r="P30" s="3">
        <v>239670.5</v>
      </c>
      <c r="Q30" s="3">
        <v>1058</v>
      </c>
      <c r="R30" s="3">
        <v>224730</v>
      </c>
      <c r="S30" s="3">
        <v>93.6</v>
      </c>
      <c r="T30" s="3">
        <v>4368</v>
      </c>
      <c r="U30" s="3">
        <v>0</v>
      </c>
      <c r="V30" s="3">
        <v>4216</v>
      </c>
      <c r="W30" s="3">
        <v>4392</v>
      </c>
      <c r="X30" s="3">
        <v>0</v>
      </c>
      <c r="Y30" s="3">
        <v>0</v>
      </c>
      <c r="Z30" s="3">
        <v>0</v>
      </c>
      <c r="AA30" s="3">
        <v>0</v>
      </c>
      <c r="AB30" s="3">
        <v>1</v>
      </c>
      <c r="AC30" s="3">
        <v>0</v>
      </c>
    </row>
    <row r="31" spans="2:29" x14ac:dyDescent="0.25">
      <c r="B31" s="3">
        <v>29</v>
      </c>
      <c r="C31" s="3">
        <v>4600007152</v>
      </c>
      <c r="D31" s="3">
        <v>4600007222</v>
      </c>
      <c r="E31" s="3">
        <v>2017</v>
      </c>
      <c r="F31" s="39">
        <v>4131669988</v>
      </c>
      <c r="G31" s="38">
        <v>5600.6164803034226</v>
      </c>
      <c r="H31" s="3" t="s">
        <v>30</v>
      </c>
      <c r="I31" s="3" t="s">
        <v>119</v>
      </c>
      <c r="J31" s="3">
        <v>8</v>
      </c>
      <c r="K31" s="3">
        <v>0</v>
      </c>
      <c r="L31" s="3">
        <v>0</v>
      </c>
      <c r="M31" s="3">
        <v>2</v>
      </c>
      <c r="N31" s="3">
        <v>10</v>
      </c>
      <c r="O31" s="3">
        <v>10069.1</v>
      </c>
      <c r="P31" s="3">
        <v>457445</v>
      </c>
      <c r="Q31" s="3">
        <v>3618</v>
      </c>
      <c r="R31" s="3">
        <v>584605</v>
      </c>
      <c r="S31" s="3">
        <v>244.2</v>
      </c>
      <c r="T31" s="3">
        <v>17293.900000000001</v>
      </c>
      <c r="U31" s="3">
        <v>0</v>
      </c>
      <c r="V31" s="3">
        <v>106.99999999999999</v>
      </c>
      <c r="W31" s="3">
        <v>6008.9999999999991</v>
      </c>
      <c r="X31" s="3">
        <v>0</v>
      </c>
      <c r="Y31" s="3">
        <v>0</v>
      </c>
      <c r="Z31" s="3">
        <v>0</v>
      </c>
      <c r="AA31" s="3">
        <v>0</v>
      </c>
      <c r="AB31" s="3">
        <v>2</v>
      </c>
      <c r="AC31" s="3">
        <v>30</v>
      </c>
    </row>
    <row r="32" spans="2:29" x14ac:dyDescent="0.25">
      <c r="B32" s="3">
        <v>30</v>
      </c>
      <c r="C32" s="3">
        <v>4600007155</v>
      </c>
      <c r="D32" s="3">
        <v>4600007208</v>
      </c>
      <c r="E32" s="3">
        <v>2017</v>
      </c>
      <c r="F32" s="39">
        <v>4145311783</v>
      </c>
      <c r="G32" s="38">
        <v>5619.10838844706</v>
      </c>
      <c r="H32" s="3" t="s">
        <v>49</v>
      </c>
      <c r="I32" s="3" t="s">
        <v>132</v>
      </c>
      <c r="J32" s="3">
        <v>4</v>
      </c>
      <c r="K32" s="3">
        <v>0</v>
      </c>
      <c r="L32" s="3">
        <v>0</v>
      </c>
      <c r="M32" s="3">
        <v>0</v>
      </c>
      <c r="N32" s="3">
        <v>15</v>
      </c>
      <c r="O32" s="3">
        <v>16242.61</v>
      </c>
      <c r="P32" s="3">
        <v>1121503.3999999999</v>
      </c>
      <c r="Q32" s="3">
        <v>1480</v>
      </c>
      <c r="R32" s="3">
        <v>158993.68</v>
      </c>
      <c r="S32" s="3">
        <v>152.85</v>
      </c>
      <c r="T32" s="3">
        <v>47283.9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1</v>
      </c>
      <c r="AB32" s="3">
        <v>0</v>
      </c>
      <c r="AC32" s="3">
        <v>0</v>
      </c>
    </row>
    <row r="33" spans="2:29" x14ac:dyDescent="0.25">
      <c r="B33" s="3">
        <v>31</v>
      </c>
      <c r="C33" s="3" t="s">
        <v>28</v>
      </c>
      <c r="D33" s="3" t="s">
        <v>29</v>
      </c>
      <c r="E33" s="3">
        <v>2018</v>
      </c>
      <c r="F33" s="39">
        <v>8126599324</v>
      </c>
      <c r="G33" s="38">
        <v>10402.153652773404</v>
      </c>
      <c r="H33" s="3" t="s">
        <v>30</v>
      </c>
      <c r="I33" s="3" t="s">
        <v>119</v>
      </c>
      <c r="J33" s="3">
        <v>4</v>
      </c>
      <c r="K33" s="3">
        <v>802</v>
      </c>
      <c r="L33" s="3">
        <v>0</v>
      </c>
      <c r="M33" s="3">
        <v>3</v>
      </c>
      <c r="N33" s="3">
        <v>29</v>
      </c>
      <c r="O33" s="3">
        <v>2117.1999999999998</v>
      </c>
      <c r="P33" s="3">
        <v>275606</v>
      </c>
      <c r="Q33" s="3">
        <v>2187</v>
      </c>
      <c r="R33" s="3">
        <v>461490</v>
      </c>
      <c r="S33" s="3">
        <v>165.85</v>
      </c>
      <c r="T33" s="3">
        <v>64551.8</v>
      </c>
      <c r="U33" s="3">
        <v>0</v>
      </c>
      <c r="V33" s="3">
        <v>0</v>
      </c>
      <c r="W33" s="3">
        <v>10116</v>
      </c>
      <c r="X33" s="3">
        <v>0</v>
      </c>
      <c r="Y33" s="3">
        <v>0</v>
      </c>
      <c r="Z33" s="3">
        <v>0</v>
      </c>
      <c r="AA33" s="3">
        <v>0</v>
      </c>
      <c r="AB33" s="3">
        <v>1</v>
      </c>
      <c r="AC33" s="3">
        <v>4</v>
      </c>
    </row>
    <row r="34" spans="2:29" x14ac:dyDescent="0.25">
      <c r="B34" s="3">
        <v>32</v>
      </c>
      <c r="C34" s="3" t="s">
        <v>31</v>
      </c>
      <c r="D34" s="3" t="s">
        <v>32</v>
      </c>
      <c r="E34" s="3">
        <v>2018</v>
      </c>
      <c r="F34" s="39">
        <v>6994292572</v>
      </c>
      <c r="G34" s="38">
        <v>8952.786168690367</v>
      </c>
      <c r="H34" s="3" t="s">
        <v>33</v>
      </c>
      <c r="I34" s="3" t="s">
        <v>122</v>
      </c>
      <c r="J34" s="3">
        <v>22</v>
      </c>
      <c r="K34" s="3">
        <v>1988.5</v>
      </c>
      <c r="L34" s="3">
        <v>0</v>
      </c>
      <c r="M34" s="3">
        <v>0</v>
      </c>
      <c r="N34" s="3">
        <v>20</v>
      </c>
      <c r="O34" s="3">
        <v>8780.0499999999993</v>
      </c>
      <c r="P34" s="3">
        <v>1257145</v>
      </c>
      <c r="Q34" s="3">
        <v>1132</v>
      </c>
      <c r="R34" s="3">
        <v>208905.3</v>
      </c>
      <c r="S34" s="3">
        <v>76.47</v>
      </c>
      <c r="T34" s="3">
        <v>88456.06</v>
      </c>
      <c r="U34" s="3">
        <v>0</v>
      </c>
      <c r="V34" s="3">
        <v>7366.2999999999993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20</v>
      </c>
    </row>
    <row r="35" spans="2:29" x14ac:dyDescent="0.25">
      <c r="B35" s="3">
        <v>33</v>
      </c>
      <c r="C35" s="3" t="s">
        <v>34</v>
      </c>
      <c r="D35" s="3" t="s">
        <v>35</v>
      </c>
      <c r="E35" s="3">
        <v>2018</v>
      </c>
      <c r="F35" s="39">
        <v>5499763303</v>
      </c>
      <c r="G35" s="38">
        <v>7039.7691150757382</v>
      </c>
      <c r="H35" s="3" t="s">
        <v>36</v>
      </c>
      <c r="I35" s="3" t="s">
        <v>129</v>
      </c>
      <c r="J35" s="3">
        <v>3</v>
      </c>
      <c r="K35" s="3">
        <v>3000</v>
      </c>
      <c r="L35" s="3">
        <v>4</v>
      </c>
      <c r="M35" s="3">
        <v>0</v>
      </c>
      <c r="N35" s="3">
        <v>5</v>
      </c>
      <c r="O35" s="3">
        <v>9164.1</v>
      </c>
      <c r="P35" s="3">
        <v>466854</v>
      </c>
      <c r="Q35" s="3">
        <v>1038</v>
      </c>
      <c r="R35" s="3">
        <v>154700</v>
      </c>
      <c r="S35" s="3">
        <v>74.33</v>
      </c>
      <c r="T35" s="3">
        <v>5238.8900000000003</v>
      </c>
      <c r="U35" s="3">
        <v>0</v>
      </c>
      <c r="V35" s="3">
        <v>10755.599999999999</v>
      </c>
      <c r="W35" s="3">
        <v>7403.9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25</v>
      </c>
    </row>
    <row r="36" spans="2:29" x14ac:dyDescent="0.25">
      <c r="B36" s="3">
        <v>34</v>
      </c>
      <c r="C36" s="3" t="s">
        <v>37</v>
      </c>
      <c r="D36" s="3" t="s">
        <v>38</v>
      </c>
      <c r="E36" s="3">
        <v>2018</v>
      </c>
      <c r="F36" s="39">
        <v>5961604389</v>
      </c>
      <c r="G36" s="38">
        <v>7630.9317586612087</v>
      </c>
      <c r="H36" s="3" t="s">
        <v>39</v>
      </c>
      <c r="I36" s="3" t="s">
        <v>121</v>
      </c>
      <c r="J36" s="3">
        <v>0</v>
      </c>
      <c r="K36" s="3">
        <v>0</v>
      </c>
      <c r="L36" s="3">
        <v>0</v>
      </c>
      <c r="M36" s="3">
        <v>2</v>
      </c>
      <c r="N36" s="3">
        <v>5</v>
      </c>
      <c r="O36" s="3">
        <v>10386.58</v>
      </c>
      <c r="P36" s="3">
        <v>64180</v>
      </c>
      <c r="Q36" s="3">
        <v>3335</v>
      </c>
      <c r="R36" s="3">
        <v>406350</v>
      </c>
      <c r="S36" s="3">
        <v>254.95</v>
      </c>
      <c r="T36" s="3">
        <v>41516.9</v>
      </c>
      <c r="U36" s="3">
        <v>0</v>
      </c>
      <c r="V36" s="3">
        <v>2889.2999999999997</v>
      </c>
      <c r="W36" s="3">
        <v>4995.5999999999995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</row>
    <row r="37" spans="2:29" x14ac:dyDescent="0.25">
      <c r="B37" s="3">
        <v>35</v>
      </c>
      <c r="C37" s="3" t="s">
        <v>40</v>
      </c>
      <c r="D37" s="3" t="s">
        <v>41</v>
      </c>
      <c r="E37" s="3">
        <v>2018</v>
      </c>
      <c r="F37" s="39">
        <v>7506830256</v>
      </c>
      <c r="G37" s="38">
        <v>9608.8411222130908</v>
      </c>
      <c r="H37" s="3" t="s">
        <v>42</v>
      </c>
      <c r="I37" s="3" t="s">
        <v>133</v>
      </c>
      <c r="J37" s="3">
        <v>35</v>
      </c>
      <c r="K37" s="3">
        <v>311.39999999999998</v>
      </c>
      <c r="L37" s="3">
        <v>0</v>
      </c>
      <c r="M37" s="3">
        <v>7</v>
      </c>
      <c r="N37" s="3">
        <v>28</v>
      </c>
      <c r="O37" s="3">
        <v>22770.2</v>
      </c>
      <c r="P37" s="3">
        <v>1008800</v>
      </c>
      <c r="Q37" s="3">
        <v>1960</v>
      </c>
      <c r="R37" s="3">
        <v>215410</v>
      </c>
      <c r="S37" s="3">
        <v>184.7</v>
      </c>
      <c r="T37" s="3">
        <v>33004.9</v>
      </c>
      <c r="U37" s="3">
        <v>0</v>
      </c>
      <c r="V37" s="3">
        <v>6463.9999999999991</v>
      </c>
      <c r="W37" s="3">
        <v>105.99999999999999</v>
      </c>
      <c r="X37" s="3">
        <v>0</v>
      </c>
      <c r="Y37" s="3">
        <v>10268.799999999999</v>
      </c>
      <c r="Z37" s="3">
        <v>0</v>
      </c>
      <c r="AA37" s="3">
        <v>0</v>
      </c>
      <c r="AB37" s="3">
        <v>0</v>
      </c>
      <c r="AC37" s="3">
        <v>0</v>
      </c>
    </row>
    <row r="38" spans="2:29" x14ac:dyDescent="0.25">
      <c r="B38" s="3">
        <v>36</v>
      </c>
      <c r="C38" s="3" t="s">
        <v>43</v>
      </c>
      <c r="D38" s="3" t="s">
        <v>44</v>
      </c>
      <c r="E38" s="3">
        <v>2018</v>
      </c>
      <c r="F38" s="39">
        <v>5321334795</v>
      </c>
      <c r="G38" s="38">
        <v>6811.3782861136497</v>
      </c>
      <c r="H38" s="3" t="s">
        <v>45</v>
      </c>
      <c r="I38" s="3" t="s">
        <v>117</v>
      </c>
      <c r="J38" s="3">
        <v>9</v>
      </c>
      <c r="K38" s="3">
        <v>0</v>
      </c>
      <c r="L38" s="3">
        <v>0</v>
      </c>
      <c r="M38" s="3">
        <v>1</v>
      </c>
      <c r="N38" s="3">
        <v>17</v>
      </c>
      <c r="O38" s="3">
        <v>7237.18</v>
      </c>
      <c r="P38" s="3">
        <v>828603.5</v>
      </c>
      <c r="Q38" s="3">
        <v>547</v>
      </c>
      <c r="R38" s="3">
        <v>186716.2</v>
      </c>
      <c r="S38" s="3">
        <v>81.290000000000006</v>
      </c>
      <c r="T38" s="3">
        <v>73058.100000000006</v>
      </c>
      <c r="U38" s="3">
        <v>0</v>
      </c>
      <c r="V38" s="3">
        <v>0</v>
      </c>
      <c r="W38" s="3">
        <v>6973.9999999999991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12</v>
      </c>
    </row>
    <row r="39" spans="2:29" x14ac:dyDescent="0.25">
      <c r="B39" s="3">
        <v>37</v>
      </c>
      <c r="C39" s="3" t="s">
        <v>12</v>
      </c>
      <c r="D39" s="3" t="s">
        <v>13</v>
      </c>
      <c r="E39" s="3">
        <v>2019</v>
      </c>
      <c r="F39" s="39">
        <v>6648674335</v>
      </c>
      <c r="G39" s="38">
        <v>8028.6751312618035</v>
      </c>
      <c r="H39" s="3" t="s">
        <v>14</v>
      </c>
      <c r="I39" s="3" t="s">
        <v>134</v>
      </c>
      <c r="J39" s="3">
        <v>7</v>
      </c>
      <c r="K39" s="3">
        <v>0</v>
      </c>
      <c r="L39" s="3">
        <v>0</v>
      </c>
      <c r="M39" s="3">
        <v>1</v>
      </c>
      <c r="N39" s="3">
        <v>27</v>
      </c>
      <c r="O39" s="3">
        <v>10264.799999999999</v>
      </c>
      <c r="P39" s="3">
        <v>492681</v>
      </c>
      <c r="Q39" s="3">
        <v>561</v>
      </c>
      <c r="R39" s="3">
        <v>184262</v>
      </c>
      <c r="S39" s="3">
        <v>121.13</v>
      </c>
      <c r="T39" s="3">
        <v>34137</v>
      </c>
      <c r="U39" s="3">
        <v>0</v>
      </c>
      <c r="V39" s="3">
        <v>6040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</row>
    <row r="40" spans="2:29" x14ac:dyDescent="0.25">
      <c r="B40" s="3">
        <v>38</v>
      </c>
      <c r="C40" s="3" t="s">
        <v>15</v>
      </c>
      <c r="D40" s="3" t="s">
        <v>16</v>
      </c>
      <c r="E40" s="3">
        <v>2019</v>
      </c>
      <c r="F40" s="39">
        <v>4776708403</v>
      </c>
      <c r="G40" s="38">
        <v>5768.1634010211128</v>
      </c>
      <c r="H40" s="3" t="s">
        <v>17</v>
      </c>
      <c r="I40" s="3" t="s">
        <v>117</v>
      </c>
      <c r="J40" s="3">
        <v>4</v>
      </c>
      <c r="K40" s="3">
        <v>0</v>
      </c>
      <c r="L40" s="3">
        <v>0</v>
      </c>
      <c r="M40" s="3">
        <v>3</v>
      </c>
      <c r="N40" s="3">
        <v>12</v>
      </c>
      <c r="O40" s="3">
        <v>82.19</v>
      </c>
      <c r="P40" s="3">
        <v>110550</v>
      </c>
      <c r="Q40" s="3">
        <v>1249</v>
      </c>
      <c r="R40" s="3">
        <v>391591</v>
      </c>
      <c r="S40" s="3">
        <v>151.69999999999999</v>
      </c>
      <c r="T40" s="3">
        <v>24230</v>
      </c>
      <c r="U40" s="3">
        <v>8864.4</v>
      </c>
      <c r="V40" s="3">
        <v>0</v>
      </c>
      <c r="W40" s="3">
        <v>8083.9999999999991</v>
      </c>
      <c r="X40" s="3">
        <v>0</v>
      </c>
      <c r="Y40" s="3">
        <v>0</v>
      </c>
      <c r="Z40" s="3">
        <v>0</v>
      </c>
      <c r="AA40" s="3">
        <v>0</v>
      </c>
      <c r="AB40" s="3">
        <v>1</v>
      </c>
      <c r="AC40" s="3">
        <v>0</v>
      </c>
    </row>
    <row r="41" spans="2:29" x14ac:dyDescent="0.25">
      <c r="B41" s="3">
        <v>39</v>
      </c>
      <c r="C41" s="3" t="s">
        <v>18</v>
      </c>
      <c r="D41" s="3" t="s">
        <v>19</v>
      </c>
      <c r="E41" s="3">
        <v>2019</v>
      </c>
      <c r="F41" s="39">
        <v>7392558930</v>
      </c>
      <c r="G41" s="38">
        <v>8926.9606311193111</v>
      </c>
      <c r="H41" s="3" t="s">
        <v>20</v>
      </c>
      <c r="I41" s="3" t="s">
        <v>119</v>
      </c>
      <c r="J41" s="3">
        <v>8</v>
      </c>
      <c r="K41" s="3">
        <v>0</v>
      </c>
      <c r="L41" s="3">
        <v>0</v>
      </c>
      <c r="M41" s="3">
        <v>2</v>
      </c>
      <c r="N41" s="3">
        <v>11</v>
      </c>
      <c r="O41" s="3">
        <v>2090.8000000000002</v>
      </c>
      <c r="P41" s="3">
        <v>102673.5</v>
      </c>
      <c r="Q41" s="3">
        <v>1775</v>
      </c>
      <c r="R41" s="3">
        <v>373078.8</v>
      </c>
      <c r="S41" s="3">
        <v>108.5</v>
      </c>
      <c r="T41" s="3">
        <v>10222.799999999999</v>
      </c>
      <c r="U41" s="3">
        <v>7028</v>
      </c>
      <c r="V41" s="3">
        <v>21325.999999999996</v>
      </c>
      <c r="W41" s="3">
        <v>0</v>
      </c>
      <c r="X41" s="3">
        <v>0</v>
      </c>
      <c r="Y41" s="3">
        <v>4834.5</v>
      </c>
      <c r="Z41" s="3">
        <v>0</v>
      </c>
      <c r="AA41" s="3">
        <v>0</v>
      </c>
      <c r="AB41" s="3">
        <v>0</v>
      </c>
      <c r="AC41" s="3">
        <v>0</v>
      </c>
    </row>
    <row r="42" spans="2:29" x14ac:dyDescent="0.25">
      <c r="B42" s="3">
        <v>40</v>
      </c>
      <c r="C42" s="3" t="s">
        <v>21</v>
      </c>
      <c r="D42" s="3" t="s">
        <v>22</v>
      </c>
      <c r="E42" s="3">
        <v>2019</v>
      </c>
      <c r="F42" s="39">
        <v>5470030090</v>
      </c>
      <c r="G42" s="38">
        <v>6605.3911408546628</v>
      </c>
      <c r="H42" s="3" t="s">
        <v>23</v>
      </c>
      <c r="I42" s="3" t="s">
        <v>121</v>
      </c>
      <c r="J42" s="3">
        <v>7</v>
      </c>
      <c r="K42" s="3">
        <v>400</v>
      </c>
      <c r="L42" s="3">
        <v>0</v>
      </c>
      <c r="M42" s="3">
        <v>1</v>
      </c>
      <c r="N42" s="3">
        <v>11</v>
      </c>
      <c r="O42" s="3">
        <v>0</v>
      </c>
      <c r="P42" s="3">
        <v>9744</v>
      </c>
      <c r="Q42" s="3">
        <v>2594</v>
      </c>
      <c r="R42" s="3">
        <v>438718.4</v>
      </c>
      <c r="S42" s="3">
        <v>179.95</v>
      </c>
      <c r="T42" s="3">
        <v>6319.8</v>
      </c>
      <c r="U42" s="3">
        <v>158.9</v>
      </c>
      <c r="V42" s="3">
        <v>7595.7</v>
      </c>
      <c r="W42" s="3">
        <v>2021.8999999999999</v>
      </c>
      <c r="X42" s="3">
        <v>0</v>
      </c>
      <c r="Y42" s="3">
        <v>0</v>
      </c>
      <c r="Z42" s="3">
        <v>40</v>
      </c>
      <c r="AA42" s="3">
        <v>0</v>
      </c>
      <c r="AB42" s="3">
        <v>0</v>
      </c>
      <c r="AC42" s="3">
        <v>0</v>
      </c>
    </row>
    <row r="43" spans="2:29" x14ac:dyDescent="0.25">
      <c r="B43" s="3">
        <v>41</v>
      </c>
      <c r="C43" s="3" t="s">
        <v>24</v>
      </c>
      <c r="D43" s="3" t="s">
        <v>25</v>
      </c>
      <c r="E43" s="3">
        <v>2019</v>
      </c>
      <c r="F43" s="39">
        <v>4152789616</v>
      </c>
      <c r="G43" s="38">
        <v>5014.7438474803048</v>
      </c>
      <c r="H43" s="3" t="s">
        <v>26</v>
      </c>
      <c r="I43" s="3" t="s">
        <v>122</v>
      </c>
      <c r="J43" s="3">
        <v>3</v>
      </c>
      <c r="K43" s="3">
        <v>500</v>
      </c>
      <c r="L43" s="3">
        <v>0</v>
      </c>
      <c r="M43" s="3">
        <v>1</v>
      </c>
      <c r="N43" s="3">
        <v>12</v>
      </c>
      <c r="O43" s="3">
        <v>9181.2999999999993</v>
      </c>
      <c r="P43" s="3">
        <v>192193.6</v>
      </c>
      <c r="Q43" s="3">
        <v>1351</v>
      </c>
      <c r="R43" s="3">
        <v>225817</v>
      </c>
      <c r="S43" s="3">
        <v>71.3</v>
      </c>
      <c r="T43" s="3">
        <v>9800</v>
      </c>
      <c r="U43" s="3">
        <v>0</v>
      </c>
      <c r="V43" s="3">
        <v>1005.9999999999999</v>
      </c>
      <c r="W43" s="3">
        <v>3641.9999999999995</v>
      </c>
      <c r="X43" s="3">
        <v>0</v>
      </c>
      <c r="Y43" s="3">
        <v>0</v>
      </c>
      <c r="Z43" s="3">
        <v>17233.599999999999</v>
      </c>
      <c r="AA43" s="3">
        <v>0</v>
      </c>
      <c r="AB43" s="3">
        <v>0</v>
      </c>
      <c r="AC43" s="3">
        <v>0</v>
      </c>
    </row>
    <row r="44" spans="2:29" x14ac:dyDescent="0.25">
      <c r="B44" s="3">
        <v>42</v>
      </c>
      <c r="C44" s="3">
        <v>4600010158</v>
      </c>
      <c r="D44" s="3">
        <v>4600010165</v>
      </c>
      <c r="E44" s="3">
        <v>2019</v>
      </c>
      <c r="F44" s="39">
        <v>1900951518</v>
      </c>
      <c r="G44" s="38">
        <v>2295.5135729776989</v>
      </c>
      <c r="H44" s="3" t="s">
        <v>27</v>
      </c>
      <c r="I44" s="3" t="s">
        <v>135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11297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</row>
    <row r="45" spans="2:29" x14ac:dyDescent="0.25">
      <c r="B45" s="3">
        <v>43</v>
      </c>
      <c r="C45" s="3">
        <v>4600010831</v>
      </c>
      <c r="D45" s="3">
        <v>4600010878</v>
      </c>
      <c r="E45" s="3">
        <v>2020</v>
      </c>
      <c r="F45" s="39">
        <v>9873865274</v>
      </c>
      <c r="G45" s="38">
        <v>11248.384061116218</v>
      </c>
      <c r="H45" s="3" t="s">
        <v>7</v>
      </c>
      <c r="I45" s="3" t="s">
        <v>117</v>
      </c>
      <c r="J45" s="3">
        <v>3</v>
      </c>
      <c r="K45" s="3">
        <v>71.900000000000006</v>
      </c>
      <c r="L45" s="3">
        <v>0</v>
      </c>
      <c r="M45" s="3">
        <v>0</v>
      </c>
      <c r="N45" s="3">
        <v>18</v>
      </c>
      <c r="O45" s="3">
        <v>33444.870000000003</v>
      </c>
      <c r="P45" s="3">
        <v>1226874</v>
      </c>
      <c r="Q45" s="3">
        <v>901</v>
      </c>
      <c r="R45" s="3">
        <v>282690.98</v>
      </c>
      <c r="S45" s="3">
        <v>135.53</v>
      </c>
      <c r="T45" s="3">
        <v>58114.12</v>
      </c>
      <c r="U45" s="3">
        <v>0</v>
      </c>
      <c r="V45" s="3">
        <v>3156.3999999999996</v>
      </c>
      <c r="W45" s="3">
        <v>0</v>
      </c>
      <c r="X45" s="3">
        <v>0</v>
      </c>
      <c r="Y45" s="3">
        <v>0</v>
      </c>
      <c r="Z45" s="3">
        <v>0</v>
      </c>
      <c r="AA45" s="3">
        <v>2</v>
      </c>
      <c r="AB45" s="3">
        <v>0</v>
      </c>
      <c r="AC45" s="3">
        <v>0</v>
      </c>
    </row>
    <row r="46" spans="2:29" x14ac:dyDescent="0.25">
      <c r="B46" s="3">
        <v>44</v>
      </c>
      <c r="C46" s="3">
        <v>4600010847</v>
      </c>
      <c r="D46" s="3">
        <v>4600010861</v>
      </c>
      <c r="E46" s="3">
        <v>2020</v>
      </c>
      <c r="F46" s="39">
        <v>7250689730</v>
      </c>
      <c r="G46" s="38">
        <v>8260.0420937271811</v>
      </c>
      <c r="H46" s="3" t="s">
        <v>8</v>
      </c>
      <c r="I46" s="3" t="s">
        <v>123</v>
      </c>
      <c r="J46" s="3">
        <v>3</v>
      </c>
      <c r="K46" s="3">
        <v>109.92</v>
      </c>
      <c r="L46" s="3">
        <v>0</v>
      </c>
      <c r="M46" s="3">
        <v>3</v>
      </c>
      <c r="N46" s="3">
        <v>11</v>
      </c>
      <c r="O46" s="3">
        <v>21969</v>
      </c>
      <c r="P46" s="3">
        <v>919950</v>
      </c>
      <c r="Q46" s="3">
        <v>1204</v>
      </c>
      <c r="R46" s="3">
        <v>74697</v>
      </c>
      <c r="S46" s="3">
        <v>149.13999999999999</v>
      </c>
      <c r="T46" s="3">
        <v>36633.97</v>
      </c>
      <c r="U46" s="3">
        <v>15338.07</v>
      </c>
      <c r="V46" s="3">
        <v>6083.5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1</v>
      </c>
      <c r="AC46" s="3">
        <v>0</v>
      </c>
    </row>
    <row r="47" spans="2:29" x14ac:dyDescent="0.25">
      <c r="B47" s="3">
        <v>45</v>
      </c>
      <c r="C47" s="3">
        <v>4600010855</v>
      </c>
      <c r="D47" s="3">
        <v>4600010852</v>
      </c>
      <c r="E47" s="3">
        <v>2020</v>
      </c>
      <c r="F47" s="39">
        <v>10780239829</v>
      </c>
      <c r="G47" s="38">
        <v>12280.932998634089</v>
      </c>
      <c r="H47" s="3" t="s">
        <v>9</v>
      </c>
      <c r="I47" s="3" t="s">
        <v>136</v>
      </c>
      <c r="J47" s="3">
        <v>6</v>
      </c>
      <c r="K47" s="3">
        <v>1350</v>
      </c>
      <c r="L47" s="3">
        <v>0</v>
      </c>
      <c r="M47" s="3">
        <v>1</v>
      </c>
      <c r="N47" s="3">
        <v>19</v>
      </c>
      <c r="O47" s="3">
        <v>2235.64</v>
      </c>
      <c r="P47" s="3">
        <v>207858</v>
      </c>
      <c r="Q47" s="3">
        <v>2804</v>
      </c>
      <c r="R47" s="3">
        <v>541100</v>
      </c>
      <c r="S47" s="3">
        <v>197.66</v>
      </c>
      <c r="T47" s="3">
        <v>57717.14</v>
      </c>
      <c r="U47" s="3">
        <v>11066.14</v>
      </c>
      <c r="V47" s="3">
        <v>0</v>
      </c>
      <c r="W47" s="3">
        <v>13748.199999999999</v>
      </c>
      <c r="X47" s="3">
        <v>0</v>
      </c>
      <c r="Y47" s="3">
        <v>0</v>
      </c>
      <c r="Z47" s="3">
        <v>0</v>
      </c>
      <c r="AA47" s="3">
        <v>0</v>
      </c>
      <c r="AB47" s="3">
        <v>2</v>
      </c>
      <c r="AC47" s="3">
        <v>0</v>
      </c>
    </row>
    <row r="48" spans="2:29" x14ac:dyDescent="0.25">
      <c r="B48" s="3">
        <v>46</v>
      </c>
      <c r="C48" s="3">
        <v>4600010869</v>
      </c>
      <c r="D48" s="3">
        <v>4600010896</v>
      </c>
      <c r="E48" s="3">
        <v>2020</v>
      </c>
      <c r="F48" s="39">
        <v>10256456299</v>
      </c>
      <c r="G48" s="38">
        <v>11684.234730343824</v>
      </c>
      <c r="H48" s="3" t="s">
        <v>10</v>
      </c>
      <c r="I48" s="3" t="s">
        <v>137</v>
      </c>
      <c r="J48" s="3">
        <v>1</v>
      </c>
      <c r="K48" s="3">
        <v>0</v>
      </c>
      <c r="L48" s="3">
        <v>0</v>
      </c>
      <c r="M48" s="3">
        <v>0</v>
      </c>
      <c r="N48" s="3">
        <v>3</v>
      </c>
      <c r="O48" s="3">
        <v>4632.37</v>
      </c>
      <c r="P48" s="3">
        <v>169588</v>
      </c>
      <c r="Q48" s="3">
        <v>0</v>
      </c>
      <c r="R48" s="3">
        <v>19204.5</v>
      </c>
      <c r="S48" s="3">
        <v>26.65</v>
      </c>
      <c r="T48" s="3">
        <v>4478.88</v>
      </c>
      <c r="U48" s="3">
        <v>5379.35</v>
      </c>
      <c r="V48" s="3">
        <v>16339.3</v>
      </c>
      <c r="W48" s="3">
        <v>4060</v>
      </c>
      <c r="X48" s="3">
        <v>0</v>
      </c>
      <c r="Y48" s="3">
        <v>0</v>
      </c>
      <c r="Z48" s="3">
        <v>0</v>
      </c>
      <c r="AA48" s="3">
        <v>1</v>
      </c>
      <c r="AB48" s="3">
        <v>0</v>
      </c>
      <c r="AC48" s="3">
        <v>0</v>
      </c>
    </row>
    <row r="49" spans="2:29" x14ac:dyDescent="0.25">
      <c r="B49" s="3">
        <v>47</v>
      </c>
      <c r="C49" s="3">
        <v>4600010884</v>
      </c>
      <c r="D49" s="3">
        <v>4600010871</v>
      </c>
      <c r="E49" s="3">
        <v>2020</v>
      </c>
      <c r="F49" s="39">
        <v>5839502164</v>
      </c>
      <c r="G49" s="38">
        <v>6652.4062506052041</v>
      </c>
      <c r="H49" s="3" t="s">
        <v>11</v>
      </c>
      <c r="I49" s="3" t="s">
        <v>122</v>
      </c>
      <c r="J49" s="3">
        <v>2</v>
      </c>
      <c r="K49" s="3">
        <v>0</v>
      </c>
      <c r="L49" s="3">
        <v>0</v>
      </c>
      <c r="M49" s="3">
        <v>0</v>
      </c>
      <c r="N49" s="3">
        <v>4</v>
      </c>
      <c r="O49" s="3">
        <v>1844.92</v>
      </c>
      <c r="P49" s="3">
        <v>284635</v>
      </c>
      <c r="Q49" s="3">
        <v>291</v>
      </c>
      <c r="R49" s="3">
        <v>27300</v>
      </c>
      <c r="S49" s="3">
        <v>10.16</v>
      </c>
      <c r="T49" s="3">
        <v>63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</row>
    <row r="50" spans="2:29" x14ac:dyDescent="0.25">
      <c r="B50" s="3">
        <v>48</v>
      </c>
      <c r="C50" s="3">
        <v>4600012998</v>
      </c>
      <c r="D50" s="3">
        <v>4600012893</v>
      </c>
      <c r="E50" s="3">
        <v>2021</v>
      </c>
      <c r="F50" s="39">
        <v>17285386429</v>
      </c>
      <c r="G50" s="38">
        <v>19025.747671503072</v>
      </c>
      <c r="H50" s="3" t="s">
        <v>4</v>
      </c>
      <c r="I50" s="3" t="s">
        <v>138</v>
      </c>
      <c r="J50" s="3">
        <v>8</v>
      </c>
      <c r="K50" s="3">
        <v>120</v>
      </c>
      <c r="L50" s="3">
        <v>1</v>
      </c>
      <c r="M50" s="3">
        <v>12</v>
      </c>
      <c r="N50" s="3">
        <v>23</v>
      </c>
      <c r="O50" s="3">
        <v>24446.6</v>
      </c>
      <c r="P50" s="3">
        <v>786908</v>
      </c>
      <c r="Q50" s="3">
        <v>1454</v>
      </c>
      <c r="R50" s="3">
        <v>382384</v>
      </c>
      <c r="S50" s="3">
        <v>123.97</v>
      </c>
      <c r="T50" s="3">
        <v>42808.47</v>
      </c>
      <c r="U50" s="3">
        <v>2296.5</v>
      </c>
      <c r="V50" s="3">
        <v>1334</v>
      </c>
      <c r="W50" s="3">
        <v>34402.199999999997</v>
      </c>
      <c r="X50" s="3">
        <v>0</v>
      </c>
      <c r="Y50" s="3">
        <v>0</v>
      </c>
      <c r="Z50" s="3">
        <v>0</v>
      </c>
      <c r="AA50" s="3">
        <v>0</v>
      </c>
      <c r="AB50" s="3">
        <v>3</v>
      </c>
      <c r="AC50" s="3">
        <v>6</v>
      </c>
    </row>
    <row r="51" spans="2:29" x14ac:dyDescent="0.25">
      <c r="B51" s="3">
        <v>49</v>
      </c>
      <c r="C51" s="3">
        <v>4600013148</v>
      </c>
      <c r="D51" s="3">
        <v>4600012908</v>
      </c>
      <c r="E51" s="3">
        <v>2021</v>
      </c>
      <c r="F51" s="39">
        <v>21621503360</v>
      </c>
      <c r="G51" s="38">
        <v>23798.442047888559</v>
      </c>
      <c r="H51" s="3" t="s">
        <v>5</v>
      </c>
      <c r="I51" s="3" t="s">
        <v>139</v>
      </c>
      <c r="J51" s="3">
        <v>11</v>
      </c>
      <c r="K51" s="3">
        <v>0</v>
      </c>
      <c r="L51" s="3">
        <v>0</v>
      </c>
      <c r="M51" s="3">
        <v>0</v>
      </c>
      <c r="N51" s="3">
        <v>31</v>
      </c>
      <c r="O51" s="3">
        <v>19047.080000000002</v>
      </c>
      <c r="P51" s="3">
        <v>463463.85</v>
      </c>
      <c r="Q51" s="3">
        <v>781</v>
      </c>
      <c r="R51" s="3">
        <v>145726.70000000001</v>
      </c>
      <c r="S51" s="3">
        <v>59.04</v>
      </c>
      <c r="T51" s="3">
        <v>85992.68</v>
      </c>
      <c r="U51" s="3">
        <v>589.01</v>
      </c>
      <c r="V51" s="3">
        <v>0</v>
      </c>
      <c r="W51" s="3">
        <v>54229.899999999994</v>
      </c>
      <c r="X51" s="3">
        <v>0</v>
      </c>
      <c r="Y51" s="3">
        <v>0</v>
      </c>
      <c r="Z51" s="3">
        <v>0</v>
      </c>
      <c r="AA51" s="3">
        <v>0</v>
      </c>
      <c r="AB51" s="3">
        <v>1</v>
      </c>
      <c r="AC51" s="3">
        <v>0</v>
      </c>
    </row>
    <row r="52" spans="2:29" x14ac:dyDescent="0.25">
      <c r="B52" s="3">
        <v>50</v>
      </c>
      <c r="C52" s="3">
        <v>4600012737</v>
      </c>
      <c r="D52" s="3">
        <v>4600012795</v>
      </c>
      <c r="E52" s="3">
        <v>2021</v>
      </c>
      <c r="F52" s="39">
        <v>9629909830</v>
      </c>
      <c r="G52" s="38">
        <v>10599.487334429614</v>
      </c>
      <c r="H52" s="3" t="s">
        <v>6</v>
      </c>
      <c r="I52" s="3" t="s">
        <v>140</v>
      </c>
      <c r="J52" s="3">
        <v>5</v>
      </c>
      <c r="K52" s="3">
        <v>60</v>
      </c>
      <c r="L52" s="3">
        <v>0</v>
      </c>
      <c r="M52" s="3">
        <v>1</v>
      </c>
      <c r="N52" s="3">
        <v>13</v>
      </c>
      <c r="O52" s="3">
        <v>3722.2</v>
      </c>
      <c r="P52" s="3">
        <v>183500</v>
      </c>
      <c r="Q52" s="3">
        <v>1274</v>
      </c>
      <c r="R52" s="3">
        <v>329403.5</v>
      </c>
      <c r="S52" s="3">
        <v>105.3</v>
      </c>
      <c r="T52" s="3">
        <v>48582.7</v>
      </c>
      <c r="U52" s="3">
        <v>3144.9</v>
      </c>
      <c r="V52" s="3">
        <v>0</v>
      </c>
      <c r="W52" s="3">
        <v>11400</v>
      </c>
      <c r="X52" s="3">
        <v>0</v>
      </c>
      <c r="Y52" s="3">
        <v>0</v>
      </c>
      <c r="Z52" s="3">
        <v>0</v>
      </c>
      <c r="AA52" s="3">
        <v>0</v>
      </c>
      <c r="AB52" s="3">
        <v>1</v>
      </c>
      <c r="AC52" s="3">
        <v>0</v>
      </c>
    </row>
    <row r="53" spans="2:29" x14ac:dyDescent="0.25">
      <c r="B53" s="3">
        <v>51</v>
      </c>
      <c r="C53" s="3">
        <v>4600014472</v>
      </c>
      <c r="D53" s="3">
        <v>4600014521</v>
      </c>
      <c r="E53" s="3">
        <v>2022</v>
      </c>
      <c r="F53" s="39">
        <v>42581904324</v>
      </c>
      <c r="G53" s="38">
        <v>42581.904324000003</v>
      </c>
      <c r="H53" s="3" t="s">
        <v>4</v>
      </c>
      <c r="I53" s="3" t="s">
        <v>141</v>
      </c>
      <c r="J53" s="3">
        <v>22</v>
      </c>
      <c r="K53" s="3">
        <v>378</v>
      </c>
      <c r="L53" s="3">
        <v>1</v>
      </c>
      <c r="M53" s="3">
        <v>16</v>
      </c>
      <c r="N53" s="3">
        <v>33</v>
      </c>
      <c r="O53" s="3">
        <v>9633</v>
      </c>
      <c r="P53" s="3">
        <v>642456.4</v>
      </c>
      <c r="Q53" s="3">
        <v>6825</v>
      </c>
      <c r="R53" s="3">
        <v>1298079.7</v>
      </c>
      <c r="S53" s="3">
        <v>461.68</v>
      </c>
      <c r="T53" s="3">
        <v>39376.699999999997</v>
      </c>
      <c r="U53" s="3">
        <v>769.1</v>
      </c>
      <c r="V53" s="3">
        <v>42053</v>
      </c>
      <c r="W53" s="3">
        <v>49606</v>
      </c>
      <c r="X53" s="3">
        <v>0</v>
      </c>
      <c r="Y53" s="3">
        <v>0</v>
      </c>
      <c r="Z53" s="3">
        <v>0</v>
      </c>
      <c r="AA53" s="3">
        <v>1</v>
      </c>
      <c r="AB53" s="3">
        <v>1</v>
      </c>
      <c r="AC53" s="3">
        <v>0</v>
      </c>
    </row>
    <row r="54" spans="2:29" x14ac:dyDescent="0.25">
      <c r="B54" s="3">
        <v>52</v>
      </c>
      <c r="C54" s="3">
        <v>4600014620</v>
      </c>
      <c r="D54" s="3">
        <v>4600014679</v>
      </c>
      <c r="E54" s="3">
        <v>2022</v>
      </c>
      <c r="F54" s="39">
        <v>53752988912</v>
      </c>
      <c r="G54" s="38">
        <v>53752.988912000001</v>
      </c>
      <c r="H54" s="3" t="s">
        <v>5</v>
      </c>
      <c r="I54" s="3" t="s">
        <v>139</v>
      </c>
      <c r="J54" s="3">
        <v>10</v>
      </c>
      <c r="K54" s="3">
        <v>2289</v>
      </c>
      <c r="L54" s="3">
        <v>1</v>
      </c>
      <c r="M54" s="3">
        <v>15</v>
      </c>
      <c r="N54" s="3">
        <v>52</v>
      </c>
      <c r="O54" s="3">
        <v>17419.73</v>
      </c>
      <c r="P54" s="3">
        <v>496825.67</v>
      </c>
      <c r="Q54" s="3">
        <v>2832</v>
      </c>
      <c r="R54" s="3">
        <v>602578</v>
      </c>
      <c r="S54" s="3">
        <v>282.26</v>
      </c>
      <c r="T54" s="3">
        <v>17331.48</v>
      </c>
      <c r="U54" s="3">
        <v>28458.83</v>
      </c>
      <c r="V54" s="3">
        <v>0</v>
      </c>
      <c r="W54" s="3">
        <v>126253.9</v>
      </c>
      <c r="X54" s="3">
        <v>157.19999999999999</v>
      </c>
      <c r="Y54" s="3">
        <v>0</v>
      </c>
      <c r="Z54" s="3">
        <v>0</v>
      </c>
      <c r="AA54" s="3">
        <v>0</v>
      </c>
      <c r="AB54" s="3">
        <v>3</v>
      </c>
      <c r="AC54" s="3">
        <v>0</v>
      </c>
    </row>
    <row r="55" spans="2:29" x14ac:dyDescent="0.25">
      <c r="B55" s="3">
        <v>53</v>
      </c>
      <c r="C55" s="3">
        <v>4600014079</v>
      </c>
      <c r="D55" s="3">
        <v>4600014329</v>
      </c>
      <c r="E55" s="3">
        <v>2022</v>
      </c>
      <c r="F55" s="39">
        <v>28520770272</v>
      </c>
      <c r="G55" s="38">
        <v>28520.770272000002</v>
      </c>
      <c r="H55" s="3" t="s">
        <v>6</v>
      </c>
      <c r="I55" s="3" t="s">
        <v>142</v>
      </c>
      <c r="J55" s="3">
        <v>15</v>
      </c>
      <c r="K55" s="3">
        <v>2002</v>
      </c>
      <c r="L55" s="3">
        <v>1</v>
      </c>
      <c r="M55" s="3">
        <v>17</v>
      </c>
      <c r="N55" s="3">
        <v>14</v>
      </c>
      <c r="O55" s="3">
        <v>10376.629999999999</v>
      </c>
      <c r="P55" s="3">
        <v>1057933.6499999999</v>
      </c>
      <c r="Q55" s="3">
        <v>1392</v>
      </c>
      <c r="R55" s="3">
        <v>203218.18</v>
      </c>
      <c r="S55" s="3">
        <v>135.74</v>
      </c>
      <c r="T55" s="3">
        <v>24255.22</v>
      </c>
      <c r="U55" s="3">
        <v>8861.5300000000007</v>
      </c>
      <c r="V55" s="3">
        <v>2398.5</v>
      </c>
      <c r="W55" s="3">
        <v>21201.7</v>
      </c>
      <c r="X55" s="3">
        <v>0</v>
      </c>
      <c r="Y55" s="3">
        <v>296.85000000000002</v>
      </c>
      <c r="Z55" s="3">
        <v>0</v>
      </c>
      <c r="AA55" s="3">
        <v>2</v>
      </c>
      <c r="AB55" s="3">
        <v>0</v>
      </c>
      <c r="AC55" s="3">
        <v>0</v>
      </c>
    </row>
    <row r="56" spans="2:29" x14ac:dyDescent="0.25">
      <c r="B56" s="3" t="s">
        <v>106</v>
      </c>
      <c r="C56" s="3"/>
      <c r="D56" s="3"/>
      <c r="E56" s="3"/>
      <c r="F56" s="39">
        <f>+SUM(F3:F55)</f>
        <v>681299349540</v>
      </c>
      <c r="G56" s="3"/>
      <c r="H56" s="3"/>
      <c r="I56" s="3"/>
      <c r="J56" s="3">
        <f>+SUM(J3:J55)</f>
        <v>735</v>
      </c>
      <c r="K56" s="3">
        <f t="shared" ref="K56:AC56" si="0">+SUM(K3:K55)</f>
        <v>33416.240000000005</v>
      </c>
      <c r="L56" s="3">
        <f t="shared" si="0"/>
        <v>53</v>
      </c>
      <c r="M56" s="3">
        <f t="shared" si="0"/>
        <v>177</v>
      </c>
      <c r="N56" s="3">
        <f t="shared" si="0"/>
        <v>907</v>
      </c>
      <c r="O56" s="3">
        <f t="shared" si="0"/>
        <v>1404965.9200000004</v>
      </c>
      <c r="P56" s="3">
        <f t="shared" si="0"/>
        <v>41987600.870000005</v>
      </c>
      <c r="Q56" s="3">
        <f t="shared" si="0"/>
        <v>112619.7</v>
      </c>
      <c r="R56" s="3">
        <f t="shared" si="0"/>
        <v>16814146.68</v>
      </c>
      <c r="S56" s="3">
        <f t="shared" si="0"/>
        <v>9807.4999999999982</v>
      </c>
      <c r="T56" s="3">
        <f t="shared" si="0"/>
        <v>2426990.040000001</v>
      </c>
      <c r="U56" s="3">
        <f t="shared" si="0"/>
        <v>91954.73</v>
      </c>
      <c r="V56" s="3">
        <f t="shared" si="0"/>
        <v>288833.69999999995</v>
      </c>
      <c r="W56" s="3">
        <f t="shared" si="0"/>
        <v>871514.79999999993</v>
      </c>
      <c r="X56" s="3">
        <f t="shared" si="0"/>
        <v>157.19999999999999</v>
      </c>
      <c r="Y56" s="3">
        <f t="shared" si="0"/>
        <v>88745.150000000009</v>
      </c>
      <c r="Z56" s="3">
        <f t="shared" si="0"/>
        <v>98507.9</v>
      </c>
      <c r="AA56" s="3">
        <f t="shared" si="0"/>
        <v>19</v>
      </c>
      <c r="AB56" s="3">
        <f t="shared" si="0"/>
        <v>30</v>
      </c>
      <c r="AC56" s="3">
        <f t="shared" si="0"/>
        <v>2882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AF23D-C10E-4D68-B345-252A7DABF261}">
  <dimension ref="B2:AC23"/>
  <sheetViews>
    <sheetView zoomScale="60" zoomScaleNormal="60" workbookViewId="0"/>
  </sheetViews>
  <sheetFormatPr baseColWidth="10" defaultRowHeight="15" x14ac:dyDescent="0.25"/>
  <cols>
    <col min="3" max="3" width="19.140625" bestFit="1" customWidth="1"/>
    <col min="4" max="4" width="29.7109375" bestFit="1" customWidth="1"/>
    <col min="6" max="6" width="25.42578125" bestFit="1" customWidth="1"/>
    <col min="7" max="7" width="26.85546875" customWidth="1"/>
    <col min="8" max="8" width="62.85546875" customWidth="1"/>
    <col min="9" max="9" width="27.5703125" bestFit="1" customWidth="1"/>
    <col min="22" max="22" width="17.28515625" customWidth="1"/>
  </cols>
  <sheetData>
    <row r="2" spans="2:29" x14ac:dyDescent="0.25">
      <c r="B2" s="71" t="s">
        <v>201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2:29" x14ac:dyDescent="0.25">
      <c r="B3" s="85" t="s">
        <v>0</v>
      </c>
      <c r="C3" s="70" t="s">
        <v>2</v>
      </c>
      <c r="D3" s="70" t="s">
        <v>96</v>
      </c>
      <c r="E3" s="92" t="s">
        <v>1</v>
      </c>
      <c r="F3" s="70" t="s">
        <v>115</v>
      </c>
      <c r="G3" s="70" t="s">
        <v>196</v>
      </c>
      <c r="H3" s="71" t="s">
        <v>3</v>
      </c>
      <c r="I3" s="88" t="s">
        <v>116</v>
      </c>
      <c r="J3" s="81" t="s">
        <v>189</v>
      </c>
      <c r="K3" s="82"/>
      <c r="L3" s="82"/>
      <c r="M3" s="83"/>
      <c r="N3" s="70" t="s">
        <v>183</v>
      </c>
      <c r="O3" s="70" t="s">
        <v>181</v>
      </c>
      <c r="P3" s="70" t="s">
        <v>112</v>
      </c>
      <c r="Q3" s="71" t="s">
        <v>97</v>
      </c>
      <c r="R3" s="71"/>
      <c r="S3" s="71"/>
      <c r="T3" s="70" t="s">
        <v>113</v>
      </c>
      <c r="U3" s="70" t="s">
        <v>172</v>
      </c>
      <c r="V3" s="71" t="s">
        <v>101</v>
      </c>
      <c r="W3" s="71"/>
      <c r="X3" s="71"/>
      <c r="Y3" s="71"/>
      <c r="Z3" s="71"/>
      <c r="AA3" s="71" t="s">
        <v>177</v>
      </c>
      <c r="AB3" s="71"/>
      <c r="AC3" s="70" t="s">
        <v>187</v>
      </c>
    </row>
    <row r="4" spans="2:29" ht="90" x14ac:dyDescent="0.25">
      <c r="B4" s="85"/>
      <c r="C4" s="70"/>
      <c r="D4" s="70"/>
      <c r="E4" s="93"/>
      <c r="F4" s="70"/>
      <c r="G4" s="70"/>
      <c r="H4" s="71"/>
      <c r="I4" s="89"/>
      <c r="J4" s="23" t="s">
        <v>188</v>
      </c>
      <c r="K4" s="23" t="s">
        <v>171</v>
      </c>
      <c r="L4" s="23" t="s">
        <v>190</v>
      </c>
      <c r="M4" s="23" t="s">
        <v>191</v>
      </c>
      <c r="N4" s="70"/>
      <c r="O4" s="70"/>
      <c r="P4" s="70"/>
      <c r="Q4" s="23" t="s">
        <v>107</v>
      </c>
      <c r="R4" s="23" t="s">
        <v>108</v>
      </c>
      <c r="S4" s="7" t="s">
        <v>109</v>
      </c>
      <c r="T4" s="70"/>
      <c r="U4" s="70"/>
      <c r="V4" s="23" t="s">
        <v>173</v>
      </c>
      <c r="W4" s="23" t="s">
        <v>180</v>
      </c>
      <c r="X4" s="7" t="s">
        <v>174</v>
      </c>
      <c r="Y4" s="23" t="s">
        <v>175</v>
      </c>
      <c r="Z4" s="23" t="s">
        <v>176</v>
      </c>
      <c r="AA4" s="23" t="s">
        <v>178</v>
      </c>
      <c r="AB4" s="23" t="s">
        <v>179</v>
      </c>
      <c r="AC4" s="70"/>
    </row>
    <row r="5" spans="2:29" ht="60" x14ac:dyDescent="0.25">
      <c r="B5" s="3">
        <v>1</v>
      </c>
      <c r="C5" s="3" t="s">
        <v>78</v>
      </c>
      <c r="D5" s="3" t="s">
        <v>79</v>
      </c>
      <c r="E5" s="3">
        <v>2012</v>
      </c>
      <c r="F5" s="44">
        <v>4474359011</v>
      </c>
      <c r="G5" s="45">
        <v>7895.4632274572086</v>
      </c>
      <c r="H5" s="9" t="s">
        <v>80</v>
      </c>
      <c r="I5" s="10" t="s">
        <v>117</v>
      </c>
      <c r="J5" s="10">
        <v>5</v>
      </c>
      <c r="K5" s="10">
        <v>0</v>
      </c>
      <c r="L5" s="10">
        <v>0</v>
      </c>
      <c r="M5" s="3">
        <v>3</v>
      </c>
      <c r="N5" s="3">
        <f>1+2+1</f>
        <v>4</v>
      </c>
      <c r="O5" s="3">
        <v>25472.11</v>
      </c>
      <c r="P5" s="3">
        <v>2866.68</v>
      </c>
      <c r="Q5" s="3">
        <v>1954</v>
      </c>
      <c r="R5" s="3">
        <v>249934.05</v>
      </c>
      <c r="S5" s="3">
        <v>609.80999999999995</v>
      </c>
      <c r="T5" s="3">
        <v>21224.25</v>
      </c>
      <c r="U5" s="31">
        <v>0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0</v>
      </c>
      <c r="AB5" s="32">
        <v>1</v>
      </c>
      <c r="AC5" s="32">
        <v>0</v>
      </c>
    </row>
    <row r="6" spans="2:29" ht="45" x14ac:dyDescent="0.25">
      <c r="B6" s="3">
        <v>2</v>
      </c>
      <c r="C6" s="3" t="s">
        <v>86</v>
      </c>
      <c r="D6" s="3" t="s">
        <v>91</v>
      </c>
      <c r="E6" s="3">
        <v>2012</v>
      </c>
      <c r="F6" s="44">
        <v>2157100125</v>
      </c>
      <c r="G6" s="45">
        <v>3806.4233721545793</v>
      </c>
      <c r="H6" s="9" t="s">
        <v>81</v>
      </c>
      <c r="I6" s="10" t="s">
        <v>118</v>
      </c>
      <c r="J6" s="10">
        <v>1</v>
      </c>
      <c r="K6" s="10">
        <v>0</v>
      </c>
      <c r="L6" s="10">
        <v>1</v>
      </c>
      <c r="M6" s="3">
        <v>0</v>
      </c>
      <c r="N6" s="3">
        <f>1+1</f>
        <v>2</v>
      </c>
      <c r="O6" s="3">
        <v>24490.18</v>
      </c>
      <c r="P6" s="3">
        <v>525715.30000000005</v>
      </c>
      <c r="Q6" s="3">
        <v>756</v>
      </c>
      <c r="R6" s="3">
        <v>34913.800000000003</v>
      </c>
      <c r="S6" s="3">
        <v>69.11</v>
      </c>
      <c r="T6" s="3">
        <v>12455.09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</row>
    <row r="7" spans="2:29" ht="30" x14ac:dyDescent="0.25">
      <c r="B7" s="3">
        <v>3</v>
      </c>
      <c r="C7" s="3" t="s">
        <v>87</v>
      </c>
      <c r="D7" s="3" t="s">
        <v>92</v>
      </c>
      <c r="E7" s="3">
        <v>2012</v>
      </c>
      <c r="F7" s="44">
        <v>5062209846</v>
      </c>
      <c r="G7" s="45">
        <v>8932.7860349391212</v>
      </c>
      <c r="H7" s="9" t="s">
        <v>82</v>
      </c>
      <c r="I7" s="10" t="s">
        <v>119</v>
      </c>
      <c r="J7" s="10">
        <v>0</v>
      </c>
      <c r="K7" s="10">
        <v>0</v>
      </c>
      <c r="L7" s="10">
        <v>0</v>
      </c>
      <c r="M7" s="3">
        <v>1</v>
      </c>
      <c r="N7" s="3">
        <v>2</v>
      </c>
      <c r="O7" s="3">
        <v>19645.849999999999</v>
      </c>
      <c r="P7" s="3">
        <v>428855</v>
      </c>
      <c r="Q7" s="3">
        <v>4815.7</v>
      </c>
      <c r="R7" s="3">
        <v>460920</v>
      </c>
      <c r="S7" s="3">
        <v>211.03</v>
      </c>
      <c r="T7" s="3">
        <v>39375.339999999997</v>
      </c>
      <c r="U7" s="32">
        <v>0</v>
      </c>
      <c r="V7" s="32">
        <v>0</v>
      </c>
      <c r="W7" s="3">
        <f>213.29/0.1</f>
        <v>2132.8999999999996</v>
      </c>
      <c r="X7" s="32">
        <v>0</v>
      </c>
      <c r="Y7" s="32">
        <v>0</v>
      </c>
      <c r="Z7" s="32">
        <v>0</v>
      </c>
      <c r="AA7" s="3">
        <v>0</v>
      </c>
      <c r="AB7" s="3">
        <v>0</v>
      </c>
      <c r="AC7" s="32">
        <v>72</v>
      </c>
    </row>
    <row r="8" spans="2:29" ht="45" x14ac:dyDescent="0.25">
      <c r="B8" s="3">
        <v>4</v>
      </c>
      <c r="C8" s="3" t="s">
        <v>88</v>
      </c>
      <c r="D8" s="3" t="s">
        <v>93</v>
      </c>
      <c r="E8" s="3">
        <v>2012</v>
      </c>
      <c r="F8" s="44">
        <v>2235162975</v>
      </c>
      <c r="G8" s="45">
        <v>3944.1732398094232</v>
      </c>
      <c r="H8" s="9" t="s">
        <v>83</v>
      </c>
      <c r="I8" s="10" t="s">
        <v>120</v>
      </c>
      <c r="J8" s="10">
        <v>8</v>
      </c>
      <c r="K8" s="10">
        <v>0</v>
      </c>
      <c r="L8" s="10">
        <v>0</v>
      </c>
      <c r="M8" s="3">
        <v>0</v>
      </c>
      <c r="N8" s="3">
        <v>1</v>
      </c>
      <c r="O8" s="3">
        <v>26178.5</v>
      </c>
      <c r="P8" s="3">
        <v>634461.25</v>
      </c>
      <c r="Q8" s="3">
        <v>479</v>
      </c>
      <c r="R8" s="3">
        <v>0</v>
      </c>
      <c r="S8" s="3">
        <v>59.56</v>
      </c>
      <c r="T8" s="3">
        <v>3333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">
        <v>0</v>
      </c>
      <c r="AB8" s="3">
        <v>0</v>
      </c>
      <c r="AC8" s="32">
        <v>0</v>
      </c>
    </row>
    <row r="9" spans="2:29" ht="30" x14ac:dyDescent="0.25">
      <c r="B9" s="3">
        <v>5</v>
      </c>
      <c r="C9" s="3" t="s">
        <v>89</v>
      </c>
      <c r="D9" s="3" t="s">
        <v>94</v>
      </c>
      <c r="E9" s="3">
        <v>2012</v>
      </c>
      <c r="F9" s="44">
        <v>5464669932</v>
      </c>
      <c r="G9" s="45">
        <v>9642.9679407093699</v>
      </c>
      <c r="H9" s="9" t="s">
        <v>84</v>
      </c>
      <c r="I9" s="10" t="s">
        <v>121</v>
      </c>
      <c r="J9" s="10">
        <v>3</v>
      </c>
      <c r="K9" s="10">
        <v>0</v>
      </c>
      <c r="L9" s="10">
        <v>0</v>
      </c>
      <c r="M9" s="3">
        <v>1</v>
      </c>
      <c r="N9" s="3">
        <f>1+3+1</f>
        <v>5</v>
      </c>
      <c r="O9" s="3">
        <v>52150.8</v>
      </c>
      <c r="P9" s="3">
        <v>2093944</v>
      </c>
      <c r="Q9" s="3">
        <v>4226</v>
      </c>
      <c r="R9" s="3">
        <v>174257.5</v>
      </c>
      <c r="S9" s="3">
        <v>272.3</v>
      </c>
      <c r="T9" s="3">
        <v>22099.5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2">
        <v>0</v>
      </c>
    </row>
    <row r="10" spans="2:29" ht="60" x14ac:dyDescent="0.25">
      <c r="B10" s="3">
        <v>6</v>
      </c>
      <c r="C10" s="3" t="s">
        <v>90</v>
      </c>
      <c r="D10" s="3" t="s">
        <v>95</v>
      </c>
      <c r="E10" s="3">
        <v>2012</v>
      </c>
      <c r="F10" s="44">
        <v>4256027853</v>
      </c>
      <c r="G10" s="45">
        <v>7510.1956114346212</v>
      </c>
      <c r="H10" s="9" t="s">
        <v>85</v>
      </c>
      <c r="I10" s="10" t="s">
        <v>122</v>
      </c>
      <c r="J10" s="10">
        <v>0</v>
      </c>
      <c r="K10" s="10">
        <v>0</v>
      </c>
      <c r="L10" s="10">
        <v>0</v>
      </c>
      <c r="M10" s="3">
        <v>0</v>
      </c>
      <c r="N10" s="3">
        <v>3</v>
      </c>
      <c r="O10" s="3">
        <v>25548.87</v>
      </c>
      <c r="P10" s="3">
        <v>1376742.83</v>
      </c>
      <c r="Q10" s="3">
        <v>1740</v>
      </c>
      <c r="R10" s="3">
        <v>273091.5</v>
      </c>
      <c r="S10" s="3">
        <v>76.37</v>
      </c>
      <c r="T10" s="3">
        <v>21773.759999999998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">
        <v>0</v>
      </c>
      <c r="AB10" s="3">
        <v>0</v>
      </c>
      <c r="AC10" s="32">
        <v>3</v>
      </c>
    </row>
    <row r="11" spans="2:29" ht="60" x14ac:dyDescent="0.25">
      <c r="B11" s="3">
        <v>7</v>
      </c>
      <c r="C11" s="3" t="s">
        <v>62</v>
      </c>
      <c r="D11" s="3" t="s">
        <v>63</v>
      </c>
      <c r="E11" s="3">
        <v>2013</v>
      </c>
      <c r="F11" s="44">
        <v>65379741628</v>
      </c>
      <c r="G11" s="3">
        <v>110907.11048006786</v>
      </c>
      <c r="H11" s="9" t="s">
        <v>64</v>
      </c>
      <c r="I11" s="3" t="s">
        <v>123</v>
      </c>
      <c r="J11" s="10">
        <f>5+34+18+59+5</f>
        <v>121</v>
      </c>
      <c r="K11" s="10">
        <v>0</v>
      </c>
      <c r="L11" s="10">
        <f>3+24+9</f>
        <v>36</v>
      </c>
      <c r="M11" s="3">
        <f>5+18+3</f>
        <v>26</v>
      </c>
      <c r="N11" s="3">
        <f>25+40+25+2+4+14+3</f>
        <v>113</v>
      </c>
      <c r="O11" s="32">
        <v>205918</v>
      </c>
      <c r="P11" s="32">
        <v>1658366.02</v>
      </c>
      <c r="Q11" s="32">
        <v>3278</v>
      </c>
      <c r="R11" s="32">
        <v>189863.9</v>
      </c>
      <c r="S11" s="32">
        <v>411.05</v>
      </c>
      <c r="T11" s="32">
        <v>98738.14</v>
      </c>
      <c r="U11" s="31">
        <v>0</v>
      </c>
      <c r="V11" s="3">
        <f>2128.64/0.1</f>
        <v>21286.399999999998</v>
      </c>
      <c r="W11" s="32">
        <f>1215.52/0.1</f>
        <v>12155.199999999999</v>
      </c>
      <c r="X11" s="32">
        <v>0</v>
      </c>
      <c r="Y11" s="32">
        <v>0</v>
      </c>
      <c r="Z11" s="32">
        <v>0</v>
      </c>
      <c r="AA11" s="3">
        <v>3</v>
      </c>
      <c r="AB11" s="3">
        <v>6</v>
      </c>
      <c r="AC11" s="32">
        <v>696</v>
      </c>
    </row>
    <row r="12" spans="2:29" ht="45" x14ac:dyDescent="0.25">
      <c r="B12" s="3">
        <v>8</v>
      </c>
      <c r="C12" s="3" t="s">
        <v>65</v>
      </c>
      <c r="D12" s="3" t="s">
        <v>66</v>
      </c>
      <c r="E12" s="3">
        <v>2013</v>
      </c>
      <c r="F12" s="44">
        <v>48754133104</v>
      </c>
      <c r="G12" s="3">
        <v>82704.212220525864</v>
      </c>
      <c r="H12" s="9" t="s">
        <v>67</v>
      </c>
      <c r="I12" s="3" t="s">
        <v>124</v>
      </c>
      <c r="J12" s="10">
        <v>10</v>
      </c>
      <c r="K12" s="10">
        <v>0</v>
      </c>
      <c r="L12" s="10">
        <v>0</v>
      </c>
      <c r="M12" s="3">
        <v>4</v>
      </c>
      <c r="N12" s="3">
        <v>17</v>
      </c>
      <c r="O12" s="3">
        <v>146676.35999999999</v>
      </c>
      <c r="P12" s="3">
        <v>1343482.92</v>
      </c>
      <c r="Q12" s="3">
        <v>5796</v>
      </c>
      <c r="R12" s="3">
        <v>2654235.15</v>
      </c>
      <c r="S12" s="3">
        <v>806.48</v>
      </c>
      <c r="T12" s="3">
        <v>309715.33</v>
      </c>
      <c r="U12" s="32">
        <v>0</v>
      </c>
      <c r="V12" s="3">
        <f>1972.65/0.1</f>
        <v>19726.5</v>
      </c>
      <c r="W12" s="3">
        <f>14491.25/0.1</f>
        <v>144912.5</v>
      </c>
      <c r="X12" s="32">
        <v>0</v>
      </c>
      <c r="Y12" s="32">
        <v>0</v>
      </c>
      <c r="Z12" s="32">
        <v>0</v>
      </c>
      <c r="AA12" s="3">
        <v>1</v>
      </c>
      <c r="AB12" s="3">
        <v>1</v>
      </c>
      <c r="AC12" s="32">
        <v>117</v>
      </c>
    </row>
    <row r="13" spans="2:29" ht="45" x14ac:dyDescent="0.25">
      <c r="B13" s="3">
        <v>9</v>
      </c>
      <c r="C13" s="3" t="s">
        <v>68</v>
      </c>
      <c r="D13" s="3" t="s">
        <v>69</v>
      </c>
      <c r="E13" s="3">
        <v>2013</v>
      </c>
      <c r="F13" s="44">
        <v>46586398574</v>
      </c>
      <c r="G13" s="3">
        <v>79026.96959117896</v>
      </c>
      <c r="H13" s="9" t="s">
        <v>70</v>
      </c>
      <c r="I13" s="3" t="s">
        <v>121</v>
      </c>
      <c r="J13" s="3">
        <v>64</v>
      </c>
      <c r="K13" s="3">
        <f>190+5079.3+41.82</f>
        <v>5311.12</v>
      </c>
      <c r="L13" s="3">
        <v>1</v>
      </c>
      <c r="M13" s="3">
        <v>18</v>
      </c>
      <c r="N13" s="3">
        <v>28</v>
      </c>
      <c r="O13" s="32">
        <v>22774.1</v>
      </c>
      <c r="P13" s="32">
        <v>997572.5</v>
      </c>
      <c r="Q13" s="3">
        <v>7110</v>
      </c>
      <c r="R13" s="32">
        <v>549628.30000000005</v>
      </c>
      <c r="S13" s="32">
        <v>387.1</v>
      </c>
      <c r="T13" s="32">
        <v>78115.600000000006</v>
      </c>
      <c r="U13" s="32">
        <v>0</v>
      </c>
      <c r="V13" s="32">
        <f>1918.9/0.1</f>
        <v>19189</v>
      </c>
      <c r="W13" s="3">
        <f>14598.9/0.1</f>
        <v>145989</v>
      </c>
      <c r="X13" s="32">
        <v>0</v>
      </c>
      <c r="Y13" s="32">
        <v>0</v>
      </c>
      <c r="Z13" s="3">
        <v>81234.3</v>
      </c>
      <c r="AA13" s="3">
        <f>1+1</f>
        <v>2</v>
      </c>
      <c r="AB13" s="3">
        <v>0</v>
      </c>
      <c r="AC13" s="32">
        <v>44</v>
      </c>
    </row>
    <row r="14" spans="2:29" ht="60" x14ac:dyDescent="0.25">
      <c r="B14" s="3">
        <v>10</v>
      </c>
      <c r="C14" s="3" t="s">
        <v>71</v>
      </c>
      <c r="D14" s="3" t="s">
        <v>72</v>
      </c>
      <c r="E14" s="3">
        <v>2013</v>
      </c>
      <c r="F14" s="44">
        <v>51121838090</v>
      </c>
      <c r="G14" s="3">
        <v>86720.67530110263</v>
      </c>
      <c r="H14" s="9" t="s">
        <v>73</v>
      </c>
      <c r="I14" s="3" t="s">
        <v>122</v>
      </c>
      <c r="J14" s="3">
        <v>90</v>
      </c>
      <c r="K14" s="3">
        <f>467.8+4.7+21+150.6</f>
        <v>644.1</v>
      </c>
      <c r="L14" s="3">
        <v>4</v>
      </c>
      <c r="M14" s="3">
        <v>16</v>
      </c>
      <c r="N14" s="3">
        <f>48+46+31</f>
        <v>125</v>
      </c>
      <c r="O14" s="32">
        <v>1737</v>
      </c>
      <c r="P14" s="3">
        <v>5179881.3</v>
      </c>
      <c r="Q14" s="3">
        <v>5594</v>
      </c>
      <c r="R14" s="3">
        <v>732793</v>
      </c>
      <c r="S14" s="3">
        <v>548.70000000000005</v>
      </c>
      <c r="T14" s="3">
        <v>233785.60000000001</v>
      </c>
      <c r="U14" s="32">
        <v>0</v>
      </c>
      <c r="V14" s="32">
        <f>1459.2/0.1</f>
        <v>14592</v>
      </c>
      <c r="W14" s="32">
        <f>9955.3/0.1</f>
        <v>99552.999999999985</v>
      </c>
      <c r="X14" s="32">
        <v>0</v>
      </c>
      <c r="Y14" s="3">
        <v>73345</v>
      </c>
      <c r="Z14" s="32">
        <v>0</v>
      </c>
      <c r="AA14" s="3">
        <v>0</v>
      </c>
      <c r="AB14" s="3">
        <v>0</v>
      </c>
      <c r="AC14" s="3">
        <v>897</v>
      </c>
    </row>
    <row r="15" spans="2:29" ht="60" x14ac:dyDescent="0.25">
      <c r="B15" s="3">
        <v>11</v>
      </c>
      <c r="C15" s="3" t="s">
        <v>74</v>
      </c>
      <c r="D15" s="3" t="s">
        <v>75</v>
      </c>
      <c r="E15" s="3">
        <v>2013</v>
      </c>
      <c r="F15" s="44">
        <v>45024335245</v>
      </c>
      <c r="G15" s="3">
        <v>76377.159024597117</v>
      </c>
      <c r="H15" s="9" t="s">
        <v>76</v>
      </c>
      <c r="I15" s="10" t="s">
        <v>117</v>
      </c>
      <c r="J15" s="10">
        <v>81</v>
      </c>
      <c r="K15" s="10">
        <f>2528+1178</f>
        <v>3706</v>
      </c>
      <c r="L15" s="10">
        <v>0</v>
      </c>
      <c r="M15" s="3">
        <v>2</v>
      </c>
      <c r="N15" s="3">
        <v>37</v>
      </c>
      <c r="O15" s="3">
        <v>276302.40000000002</v>
      </c>
      <c r="P15" s="3">
        <v>2276354</v>
      </c>
      <c r="Q15" s="3">
        <v>4582</v>
      </c>
      <c r="R15" s="3">
        <v>497321.4</v>
      </c>
      <c r="S15" s="3">
        <v>299.7</v>
      </c>
      <c r="T15" s="3">
        <v>249120.1</v>
      </c>
      <c r="U15" s="3">
        <v>0</v>
      </c>
      <c r="V15" s="3">
        <f>13/0.1</f>
        <v>130</v>
      </c>
      <c r="W15" s="3">
        <f>1076/0.1</f>
        <v>10760</v>
      </c>
      <c r="X15" s="3">
        <v>0</v>
      </c>
      <c r="Y15" s="3">
        <v>0</v>
      </c>
      <c r="Z15" s="3">
        <v>0</v>
      </c>
      <c r="AA15" s="3">
        <f>1+1</f>
        <v>2</v>
      </c>
      <c r="AB15" s="3">
        <v>1</v>
      </c>
      <c r="AC15" s="3">
        <v>6</v>
      </c>
    </row>
    <row r="16" spans="2:29" ht="45" x14ac:dyDescent="0.25">
      <c r="B16" s="3">
        <v>12</v>
      </c>
      <c r="C16" s="3">
        <v>4600000896</v>
      </c>
      <c r="D16" s="3">
        <v>4600000897</v>
      </c>
      <c r="E16" s="3">
        <v>2013</v>
      </c>
      <c r="F16" s="44">
        <v>4272550509</v>
      </c>
      <c r="G16" s="3">
        <v>7247.7531959287535</v>
      </c>
      <c r="H16" s="9" t="s">
        <v>77</v>
      </c>
      <c r="I16" s="3" t="s">
        <v>192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323</v>
      </c>
      <c r="P16" s="3">
        <v>0</v>
      </c>
      <c r="Q16" s="3">
        <v>211</v>
      </c>
      <c r="R16" s="3">
        <v>0</v>
      </c>
      <c r="S16" s="3">
        <v>9.36</v>
      </c>
      <c r="T16" s="3">
        <v>2662.62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">
        <v>0</v>
      </c>
      <c r="AB16" s="3">
        <v>0</v>
      </c>
      <c r="AC16" s="32">
        <v>0</v>
      </c>
    </row>
    <row r="17" spans="2:29" ht="60" x14ac:dyDescent="0.25">
      <c r="B17" s="3">
        <v>13</v>
      </c>
      <c r="C17" s="3">
        <v>4600001884</v>
      </c>
      <c r="D17" s="3">
        <v>4600001932</v>
      </c>
      <c r="E17" s="3">
        <v>2014</v>
      </c>
      <c r="F17" s="44">
        <v>13912360043</v>
      </c>
      <c r="G17" s="45">
        <v>22585.000069805195</v>
      </c>
      <c r="H17" s="9" t="s">
        <v>60</v>
      </c>
      <c r="I17" s="3" t="s">
        <v>120</v>
      </c>
      <c r="J17" s="10">
        <v>22</v>
      </c>
      <c r="K17" s="10">
        <f>136+17.5+5369</f>
        <v>5522.5</v>
      </c>
      <c r="L17" s="10">
        <v>3</v>
      </c>
      <c r="M17" s="3">
        <v>0</v>
      </c>
      <c r="N17" s="3">
        <v>12</v>
      </c>
      <c r="O17" s="32">
        <v>126081.04</v>
      </c>
      <c r="P17" s="3">
        <v>1246948.8</v>
      </c>
      <c r="Q17" s="3">
        <v>325</v>
      </c>
      <c r="R17" s="3">
        <v>0</v>
      </c>
      <c r="S17" s="3">
        <v>106.01</v>
      </c>
      <c r="T17" s="3">
        <v>19302.62</v>
      </c>
      <c r="U17" s="31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">
        <v>3</v>
      </c>
      <c r="AB17" s="3">
        <v>0</v>
      </c>
      <c r="AC17" s="32">
        <v>68</v>
      </c>
    </row>
    <row r="18" spans="2:29" ht="60" x14ac:dyDescent="0.25">
      <c r="B18" s="3">
        <v>14</v>
      </c>
      <c r="C18" s="3">
        <v>4600001939</v>
      </c>
      <c r="D18" s="3">
        <v>4600001885</v>
      </c>
      <c r="E18" s="3">
        <v>2014</v>
      </c>
      <c r="F18" s="44">
        <v>15979657808</v>
      </c>
      <c r="G18" s="45">
        <v>25941.002935064935</v>
      </c>
      <c r="H18" s="9" t="s">
        <v>61</v>
      </c>
      <c r="I18" s="10" t="s">
        <v>117</v>
      </c>
      <c r="J18" s="10">
        <v>1</v>
      </c>
      <c r="K18" s="10">
        <v>0</v>
      </c>
      <c r="L18" s="10">
        <v>0</v>
      </c>
      <c r="M18" s="3">
        <v>1</v>
      </c>
      <c r="N18" s="3">
        <v>3</v>
      </c>
      <c r="O18" s="3">
        <v>40640.699999999997</v>
      </c>
      <c r="P18" s="3">
        <v>2146824.7000000002</v>
      </c>
      <c r="Q18" s="3">
        <v>3301</v>
      </c>
      <c r="R18" s="3">
        <v>381474</v>
      </c>
      <c r="S18" s="3">
        <v>250.8</v>
      </c>
      <c r="T18" s="3">
        <v>57864.800000000003</v>
      </c>
      <c r="U18" s="32">
        <v>0</v>
      </c>
      <c r="V18" s="3">
        <f>644.1/0.1</f>
        <v>6441</v>
      </c>
      <c r="W18" s="3">
        <f>2153.3/0.1</f>
        <v>21533</v>
      </c>
      <c r="X18" s="32">
        <v>0</v>
      </c>
      <c r="Y18" s="32">
        <v>0</v>
      </c>
      <c r="Z18" s="32">
        <v>0</v>
      </c>
      <c r="AA18" s="3">
        <v>0</v>
      </c>
      <c r="AB18" s="3">
        <v>0</v>
      </c>
      <c r="AC18" s="32">
        <v>49</v>
      </c>
    </row>
    <row r="19" spans="2:29" ht="45" x14ac:dyDescent="0.25">
      <c r="B19" s="3">
        <v>15</v>
      </c>
      <c r="C19" s="3">
        <v>4600004086</v>
      </c>
      <c r="D19" s="3">
        <v>4600004434</v>
      </c>
      <c r="E19" s="34">
        <v>2015</v>
      </c>
      <c r="F19" s="44">
        <v>5655779205</v>
      </c>
      <c r="G19" s="45">
        <v>8777.4954683013893</v>
      </c>
      <c r="H19" s="9" t="s">
        <v>56</v>
      </c>
      <c r="I19" s="10" t="s">
        <v>125</v>
      </c>
      <c r="J19" s="10">
        <v>4</v>
      </c>
      <c r="K19" s="10">
        <v>0</v>
      </c>
      <c r="L19" s="10">
        <v>0</v>
      </c>
      <c r="M19" s="3">
        <v>0</v>
      </c>
      <c r="N19" s="3">
        <v>2</v>
      </c>
      <c r="O19" s="3">
        <v>5393.1</v>
      </c>
      <c r="P19" s="3">
        <v>422378</v>
      </c>
      <c r="Q19" s="3">
        <v>369</v>
      </c>
      <c r="R19" s="3">
        <v>81649.14</v>
      </c>
      <c r="S19" s="3">
        <v>53.68</v>
      </c>
      <c r="T19" s="3">
        <v>434</v>
      </c>
      <c r="U19" s="31">
        <v>0</v>
      </c>
      <c r="V19" s="3">
        <f>3784.57/0.1</f>
        <v>37845.699999999997</v>
      </c>
      <c r="W19" s="3">
        <f>1634.59/0.1</f>
        <v>16345.899999999998</v>
      </c>
      <c r="X19" s="32">
        <v>0</v>
      </c>
      <c r="Y19" s="32">
        <v>0</v>
      </c>
      <c r="Z19" s="32">
        <v>0</v>
      </c>
      <c r="AA19" s="3">
        <v>0</v>
      </c>
      <c r="AB19" s="3">
        <v>0</v>
      </c>
      <c r="AC19" s="32">
        <v>476</v>
      </c>
    </row>
    <row r="20" spans="2:29" ht="60" x14ac:dyDescent="0.25">
      <c r="B20" s="3">
        <v>16</v>
      </c>
      <c r="C20" s="3">
        <v>4600004484</v>
      </c>
      <c r="D20" s="3">
        <v>4600004530</v>
      </c>
      <c r="E20" s="3">
        <v>2015</v>
      </c>
      <c r="F20" s="44">
        <v>6114387127</v>
      </c>
      <c r="G20" s="45">
        <v>9489.2327570419802</v>
      </c>
      <c r="H20" s="9" t="s">
        <v>57</v>
      </c>
      <c r="I20" s="10" t="s">
        <v>126</v>
      </c>
      <c r="J20" s="10">
        <v>11</v>
      </c>
      <c r="K20" s="10">
        <v>980</v>
      </c>
      <c r="L20" s="10">
        <v>0</v>
      </c>
      <c r="M20" s="3">
        <v>0</v>
      </c>
      <c r="N20" s="3">
        <v>4</v>
      </c>
      <c r="O20" s="3">
        <v>23049</v>
      </c>
      <c r="P20" s="3">
        <v>1528155</v>
      </c>
      <c r="Q20" s="3">
        <v>1808</v>
      </c>
      <c r="R20" s="3">
        <v>98615</v>
      </c>
      <c r="S20" s="3">
        <v>128</v>
      </c>
      <c r="T20" s="3">
        <v>36904</v>
      </c>
      <c r="U20" s="3">
        <v>0</v>
      </c>
      <c r="V20" s="3">
        <f>476/0.1</f>
        <v>4760</v>
      </c>
      <c r="W20" s="3">
        <f>519/0.1</f>
        <v>5190</v>
      </c>
      <c r="X20" s="32">
        <v>0</v>
      </c>
      <c r="Y20" s="32">
        <v>0</v>
      </c>
      <c r="Z20" s="32">
        <v>0</v>
      </c>
      <c r="AA20" s="3">
        <v>0</v>
      </c>
      <c r="AB20" s="3">
        <v>0</v>
      </c>
      <c r="AC20" s="32">
        <v>11</v>
      </c>
    </row>
    <row r="21" spans="2:29" ht="60" x14ac:dyDescent="0.25">
      <c r="B21" s="3">
        <v>17</v>
      </c>
      <c r="C21" s="3">
        <v>4600004485</v>
      </c>
      <c r="D21" s="3">
        <v>4600004528</v>
      </c>
      <c r="E21" s="3">
        <v>2015</v>
      </c>
      <c r="F21" s="44">
        <v>5059721912</v>
      </c>
      <c r="G21" s="45">
        <v>7852.4434111895707</v>
      </c>
      <c r="H21" s="9" t="s">
        <v>58</v>
      </c>
      <c r="I21" s="3" t="s">
        <v>127</v>
      </c>
      <c r="J21" s="3">
        <v>9</v>
      </c>
      <c r="K21" s="3">
        <v>0</v>
      </c>
      <c r="L21" s="3">
        <v>0</v>
      </c>
      <c r="M21" s="3">
        <v>0</v>
      </c>
      <c r="N21" s="3">
        <f>2+2</f>
        <v>4</v>
      </c>
      <c r="O21" s="32">
        <v>20648.45</v>
      </c>
      <c r="P21" s="32">
        <v>946278.9</v>
      </c>
      <c r="Q21" s="32">
        <v>0</v>
      </c>
      <c r="R21" s="32">
        <v>15000</v>
      </c>
      <c r="S21" s="32">
        <v>69.22</v>
      </c>
      <c r="T21" s="32">
        <v>29299.5</v>
      </c>
      <c r="U21" s="32">
        <v>0</v>
      </c>
      <c r="V21" s="32">
        <v>0</v>
      </c>
      <c r="W21" s="32">
        <f>394.9/0.1</f>
        <v>3948.9999999999995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</row>
    <row r="22" spans="2:29" ht="60" x14ac:dyDescent="0.25">
      <c r="B22" s="3">
        <v>18</v>
      </c>
      <c r="C22" s="3">
        <v>4600004783</v>
      </c>
      <c r="D22" s="3">
        <v>4600004784</v>
      </c>
      <c r="E22" s="3">
        <v>2015</v>
      </c>
      <c r="F22" s="44">
        <v>3814683540</v>
      </c>
      <c r="G22" s="45">
        <v>5920.2041437107164</v>
      </c>
      <c r="H22" s="9" t="s">
        <v>59</v>
      </c>
      <c r="I22" s="3" t="s">
        <v>121</v>
      </c>
      <c r="J22" s="3">
        <v>15</v>
      </c>
      <c r="K22" s="3">
        <f>41.2+50.8</f>
        <v>92</v>
      </c>
      <c r="L22" s="3">
        <v>0</v>
      </c>
      <c r="M22" s="3">
        <v>1</v>
      </c>
      <c r="N22" s="3">
        <v>10</v>
      </c>
      <c r="O22" s="32">
        <v>2452.6</v>
      </c>
      <c r="P22" s="3">
        <v>16884</v>
      </c>
      <c r="Q22" s="3">
        <v>1277</v>
      </c>
      <c r="R22" s="3">
        <v>24180.9</v>
      </c>
      <c r="S22" s="3">
        <v>86.36</v>
      </c>
      <c r="T22" s="3">
        <v>2467.64</v>
      </c>
      <c r="U22" s="32">
        <v>0</v>
      </c>
      <c r="V22" s="32">
        <v>0</v>
      </c>
      <c r="W22" s="32">
        <f>36.95/0.1</f>
        <v>369.5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256</v>
      </c>
    </row>
    <row r="23" spans="2:29" x14ac:dyDescent="0.25">
      <c r="B23" s="71" t="s">
        <v>106</v>
      </c>
      <c r="C23" s="71"/>
      <c r="D23" s="71"/>
      <c r="E23" s="16"/>
      <c r="F23" s="35">
        <f>+SUM(F5:F22)</f>
        <v>335325116527</v>
      </c>
      <c r="G23" s="48">
        <f>+SUM(G5:G22)</f>
        <v>565281.26802501921</v>
      </c>
      <c r="H23" s="47"/>
      <c r="I23" s="8"/>
      <c r="J23" s="7">
        <f>SUM(J5:J22)</f>
        <v>445</v>
      </c>
      <c r="K23" s="7">
        <f t="shared" ref="K23:AC23" si="0">SUM(K5:K22)</f>
        <v>16255.720000000001</v>
      </c>
      <c r="L23" s="7">
        <f t="shared" si="0"/>
        <v>45</v>
      </c>
      <c r="M23" s="7">
        <f t="shared" si="0"/>
        <v>73</v>
      </c>
      <c r="N23" s="7">
        <f t="shared" si="0"/>
        <v>372</v>
      </c>
      <c r="O23" s="7">
        <f t="shared" si="0"/>
        <v>1045482.0599999998</v>
      </c>
      <c r="P23" s="7">
        <f t="shared" si="0"/>
        <v>22825711.199999999</v>
      </c>
      <c r="Q23" s="7">
        <f t="shared" si="0"/>
        <v>47621.7</v>
      </c>
      <c r="R23" s="7">
        <f t="shared" si="0"/>
        <v>6417877.6400000006</v>
      </c>
      <c r="S23" s="7">
        <f t="shared" si="0"/>
        <v>4454.6400000000003</v>
      </c>
      <c r="T23" s="7">
        <f t="shared" si="0"/>
        <v>1238670.8900000001</v>
      </c>
      <c r="U23" s="7">
        <f t="shared" si="0"/>
        <v>0</v>
      </c>
      <c r="V23" s="7">
        <f t="shared" si="0"/>
        <v>123970.59999999999</v>
      </c>
      <c r="W23" s="7">
        <f t="shared" si="0"/>
        <v>462890</v>
      </c>
      <c r="X23" s="7">
        <f t="shared" si="0"/>
        <v>0</v>
      </c>
      <c r="Y23" s="7">
        <f t="shared" si="0"/>
        <v>73345</v>
      </c>
      <c r="Z23" s="7">
        <f t="shared" si="0"/>
        <v>81234.3</v>
      </c>
      <c r="AA23" s="7">
        <f t="shared" si="0"/>
        <v>11</v>
      </c>
      <c r="AB23" s="7">
        <f t="shared" si="0"/>
        <v>9</v>
      </c>
      <c r="AC23" s="7">
        <f t="shared" si="0"/>
        <v>2695</v>
      </c>
    </row>
  </sheetData>
  <mergeCells count="20">
    <mergeCell ref="AA3:AB3"/>
    <mergeCell ref="AC3:AC4"/>
    <mergeCell ref="B23:D23"/>
    <mergeCell ref="B2:AC2"/>
    <mergeCell ref="I3:I4"/>
    <mergeCell ref="J3:M3"/>
    <mergeCell ref="P3:P4"/>
    <mergeCell ref="Q3:S3"/>
    <mergeCell ref="U3:U4"/>
    <mergeCell ref="N3:N4"/>
    <mergeCell ref="O3:O4"/>
    <mergeCell ref="T3:T4"/>
    <mergeCell ref="V3:Z3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EFACC-4321-4B82-A512-6FA5BAEE8AC4}">
  <dimension ref="B2:AC29"/>
  <sheetViews>
    <sheetView zoomScale="60" zoomScaleNormal="60" workbookViewId="0"/>
  </sheetViews>
  <sheetFormatPr baseColWidth="10" defaultRowHeight="15" x14ac:dyDescent="0.25"/>
  <cols>
    <col min="3" max="3" width="19.140625" bestFit="1" customWidth="1"/>
    <col min="4" max="4" width="29.7109375" bestFit="1" customWidth="1"/>
    <col min="6" max="6" width="23.5703125" customWidth="1"/>
    <col min="7" max="7" width="21.85546875" customWidth="1"/>
    <col min="8" max="8" width="63.42578125" bestFit="1" customWidth="1"/>
    <col min="9" max="9" width="20.5703125" bestFit="1" customWidth="1"/>
  </cols>
  <sheetData>
    <row r="2" spans="2:29" x14ac:dyDescent="0.25">
      <c r="B2" s="71" t="s">
        <v>202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2:29" x14ac:dyDescent="0.25">
      <c r="B3" s="85" t="s">
        <v>0</v>
      </c>
      <c r="C3" s="70" t="s">
        <v>2</v>
      </c>
      <c r="D3" s="70" t="s">
        <v>96</v>
      </c>
      <c r="E3" s="92" t="s">
        <v>1</v>
      </c>
      <c r="F3" s="70" t="s">
        <v>115</v>
      </c>
      <c r="G3" s="70" t="s">
        <v>196</v>
      </c>
      <c r="H3" s="71" t="s">
        <v>3</v>
      </c>
      <c r="I3" s="88" t="s">
        <v>116</v>
      </c>
      <c r="J3" s="81" t="s">
        <v>189</v>
      </c>
      <c r="K3" s="82"/>
      <c r="L3" s="82"/>
      <c r="M3" s="83"/>
      <c r="N3" s="70" t="s">
        <v>183</v>
      </c>
      <c r="O3" s="70" t="s">
        <v>181</v>
      </c>
      <c r="P3" s="70" t="s">
        <v>112</v>
      </c>
      <c r="Q3" s="71" t="s">
        <v>97</v>
      </c>
      <c r="R3" s="71"/>
      <c r="S3" s="71"/>
      <c r="T3" s="70" t="s">
        <v>113</v>
      </c>
      <c r="U3" s="70" t="s">
        <v>172</v>
      </c>
      <c r="V3" s="71" t="s">
        <v>101</v>
      </c>
      <c r="W3" s="71"/>
      <c r="X3" s="71"/>
      <c r="Y3" s="71"/>
      <c r="Z3" s="71"/>
      <c r="AA3" s="71" t="s">
        <v>177</v>
      </c>
      <c r="AB3" s="71"/>
      <c r="AC3" s="70" t="s">
        <v>187</v>
      </c>
    </row>
    <row r="4" spans="2:29" ht="90" x14ac:dyDescent="0.25">
      <c r="B4" s="85"/>
      <c r="C4" s="70"/>
      <c r="D4" s="70"/>
      <c r="E4" s="93"/>
      <c r="F4" s="70"/>
      <c r="G4" s="70"/>
      <c r="H4" s="71"/>
      <c r="I4" s="89"/>
      <c r="J4" s="23" t="s">
        <v>188</v>
      </c>
      <c r="K4" s="23" t="s">
        <v>171</v>
      </c>
      <c r="L4" s="23" t="s">
        <v>190</v>
      </c>
      <c r="M4" s="23" t="s">
        <v>191</v>
      </c>
      <c r="N4" s="70"/>
      <c r="O4" s="70"/>
      <c r="P4" s="70"/>
      <c r="Q4" s="23" t="s">
        <v>107</v>
      </c>
      <c r="R4" s="23" t="s">
        <v>108</v>
      </c>
      <c r="S4" s="7" t="s">
        <v>109</v>
      </c>
      <c r="T4" s="70"/>
      <c r="U4" s="70"/>
      <c r="V4" s="7" t="s">
        <v>173</v>
      </c>
      <c r="W4" s="23" t="s">
        <v>180</v>
      </c>
      <c r="X4" s="7" t="s">
        <v>174</v>
      </c>
      <c r="Y4" s="23" t="s">
        <v>175</v>
      </c>
      <c r="Z4" s="23" t="s">
        <v>176</v>
      </c>
      <c r="AA4" s="23" t="s">
        <v>178</v>
      </c>
      <c r="AB4" s="23" t="s">
        <v>179</v>
      </c>
      <c r="AC4" s="70"/>
    </row>
    <row r="5" spans="2:29" ht="60" x14ac:dyDescent="0.25">
      <c r="B5" s="3">
        <v>19</v>
      </c>
      <c r="C5" s="3">
        <v>4600005372</v>
      </c>
      <c r="D5" s="3">
        <v>4600005623</v>
      </c>
      <c r="E5" s="3">
        <v>2016</v>
      </c>
      <c r="F5" s="44">
        <v>5968995261</v>
      </c>
      <c r="G5" s="45">
        <v>8657.5559840743772</v>
      </c>
      <c r="H5" s="9" t="s">
        <v>50</v>
      </c>
      <c r="I5" s="3" t="s">
        <v>122</v>
      </c>
      <c r="J5" s="10">
        <v>15</v>
      </c>
      <c r="K5" s="10">
        <f>1095+100</f>
        <v>1195</v>
      </c>
      <c r="L5" s="10">
        <v>0</v>
      </c>
      <c r="M5" s="3">
        <v>2</v>
      </c>
      <c r="N5" s="3">
        <v>13</v>
      </c>
      <c r="O5" s="3">
        <v>0</v>
      </c>
      <c r="P5" s="3">
        <v>1151966.6000000001</v>
      </c>
      <c r="Q5" s="3">
        <v>3303</v>
      </c>
      <c r="R5" s="3">
        <v>258203</v>
      </c>
      <c r="S5" s="3">
        <v>202.95</v>
      </c>
      <c r="T5" s="3">
        <v>29457.5</v>
      </c>
      <c r="U5" s="10">
        <v>0</v>
      </c>
      <c r="V5" s="3">
        <f>245.1/0.1</f>
        <v>2451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1</v>
      </c>
      <c r="AC5" s="3">
        <v>10</v>
      </c>
    </row>
    <row r="6" spans="2:29" ht="30" x14ac:dyDescent="0.25">
      <c r="B6" s="3">
        <v>20</v>
      </c>
      <c r="C6" s="3">
        <v>4600005373</v>
      </c>
      <c r="D6" s="3">
        <v>4600005581</v>
      </c>
      <c r="E6" s="3">
        <v>2016</v>
      </c>
      <c r="F6" s="44">
        <v>6129620831</v>
      </c>
      <c r="G6" s="45">
        <v>8890.5306814802989</v>
      </c>
      <c r="H6" s="9" t="s">
        <v>51</v>
      </c>
      <c r="I6" s="3" t="s">
        <v>121</v>
      </c>
      <c r="J6" s="10">
        <v>10</v>
      </c>
      <c r="K6" s="10">
        <v>0</v>
      </c>
      <c r="L6" s="10">
        <v>0</v>
      </c>
      <c r="M6" s="3">
        <v>2</v>
      </c>
      <c r="N6" s="3">
        <v>15</v>
      </c>
      <c r="O6" s="3">
        <v>12281.32</v>
      </c>
      <c r="P6" s="3">
        <v>195348.75</v>
      </c>
      <c r="Q6" s="3">
        <v>4286</v>
      </c>
      <c r="R6" s="3">
        <v>328514</v>
      </c>
      <c r="S6" s="3">
        <v>302.13</v>
      </c>
      <c r="T6" s="3">
        <v>14608.1</v>
      </c>
      <c r="U6" s="3">
        <v>0</v>
      </c>
      <c r="V6" s="3">
        <f>775.39/0.1</f>
        <v>7753.9</v>
      </c>
      <c r="W6" s="3">
        <f>491.19/0.1</f>
        <v>4911.8999999999996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</row>
    <row r="7" spans="2:29" ht="45" x14ac:dyDescent="0.25">
      <c r="B7" s="3">
        <v>21</v>
      </c>
      <c r="C7" s="3">
        <v>4600005377</v>
      </c>
      <c r="D7" s="3">
        <v>4600005624</v>
      </c>
      <c r="E7" s="3">
        <v>2016</v>
      </c>
      <c r="F7" s="44">
        <v>6140397922</v>
      </c>
      <c r="G7" s="45">
        <v>8906.1620004206216</v>
      </c>
      <c r="H7" s="9" t="s">
        <v>52</v>
      </c>
      <c r="I7" s="3" t="s">
        <v>128</v>
      </c>
      <c r="J7" s="3">
        <v>13</v>
      </c>
      <c r="K7" s="3">
        <v>1246.5</v>
      </c>
      <c r="L7" s="3">
        <v>0</v>
      </c>
      <c r="M7" s="3">
        <v>1</v>
      </c>
      <c r="N7" s="3">
        <v>15</v>
      </c>
      <c r="O7" s="3">
        <v>24491.25</v>
      </c>
      <c r="P7" s="3">
        <v>999457.65</v>
      </c>
      <c r="Q7" s="3">
        <v>533</v>
      </c>
      <c r="R7" s="3">
        <v>13581.7</v>
      </c>
      <c r="S7" s="3">
        <v>83.73</v>
      </c>
      <c r="T7" s="3">
        <v>35595.160000000003</v>
      </c>
      <c r="U7" s="3">
        <v>0</v>
      </c>
      <c r="V7" s="3">
        <f>423.06/0.1</f>
        <v>4230.5999999999995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1</v>
      </c>
      <c r="AC7" s="3">
        <v>38</v>
      </c>
    </row>
    <row r="8" spans="2:29" ht="45" x14ac:dyDescent="0.25">
      <c r="B8" s="3">
        <v>22</v>
      </c>
      <c r="C8" s="3">
        <v>4600005393</v>
      </c>
      <c r="D8" s="3">
        <v>4600005566</v>
      </c>
      <c r="E8" s="3">
        <v>2016</v>
      </c>
      <c r="F8" s="44">
        <v>5421348765</v>
      </c>
      <c r="G8" s="45">
        <v>7863.2380140835876</v>
      </c>
      <c r="H8" s="9" t="s">
        <v>53</v>
      </c>
      <c r="I8" s="10" t="s">
        <v>117</v>
      </c>
      <c r="J8" s="10">
        <v>5</v>
      </c>
      <c r="K8" s="10">
        <v>0</v>
      </c>
      <c r="L8" s="10">
        <v>0</v>
      </c>
      <c r="M8" s="3">
        <v>1</v>
      </c>
      <c r="N8" s="3">
        <v>3</v>
      </c>
      <c r="O8" s="3">
        <v>8091</v>
      </c>
      <c r="P8" s="3">
        <v>1607369</v>
      </c>
      <c r="Q8" s="3">
        <v>1897</v>
      </c>
      <c r="R8" s="3">
        <v>70123</v>
      </c>
      <c r="S8" s="3">
        <v>149.19999999999999</v>
      </c>
      <c r="T8" s="3">
        <v>124693</v>
      </c>
      <c r="U8" s="3">
        <v>0</v>
      </c>
      <c r="V8" s="3">
        <v>0</v>
      </c>
      <c r="W8" s="3">
        <f>254.43/0.1</f>
        <v>2544.2999999999997</v>
      </c>
      <c r="X8" s="3">
        <v>0</v>
      </c>
      <c r="Y8" s="3">
        <v>0</v>
      </c>
      <c r="Z8" s="3">
        <v>0</v>
      </c>
      <c r="AA8" s="3">
        <v>0</v>
      </c>
      <c r="AB8" s="3">
        <v>1</v>
      </c>
      <c r="AC8" s="3">
        <v>28</v>
      </c>
    </row>
    <row r="9" spans="2:29" ht="30" x14ac:dyDescent="0.25">
      <c r="B9" s="3">
        <v>23</v>
      </c>
      <c r="C9" s="3">
        <v>4600005394</v>
      </c>
      <c r="D9" s="3">
        <v>4600005563</v>
      </c>
      <c r="E9" s="3">
        <v>2016</v>
      </c>
      <c r="F9" s="44">
        <v>6133562068</v>
      </c>
      <c r="G9" s="45">
        <v>8896.2471343307388</v>
      </c>
      <c r="H9" s="9" t="s">
        <v>54</v>
      </c>
      <c r="I9" s="3" t="s">
        <v>119</v>
      </c>
      <c r="J9" s="3">
        <v>3</v>
      </c>
      <c r="K9" s="3">
        <v>0</v>
      </c>
      <c r="L9" s="3">
        <v>0</v>
      </c>
      <c r="M9" s="3">
        <v>2</v>
      </c>
      <c r="N9" s="3">
        <v>8</v>
      </c>
      <c r="O9" s="3">
        <v>10409.24</v>
      </c>
      <c r="P9" s="3">
        <v>719074.1</v>
      </c>
      <c r="Q9" s="3">
        <v>7006</v>
      </c>
      <c r="R9" s="3">
        <v>965312.8</v>
      </c>
      <c r="S9" s="3">
        <v>583.59</v>
      </c>
      <c r="T9" s="3">
        <v>17147.38</v>
      </c>
      <c r="U9" s="3">
        <v>0</v>
      </c>
      <c r="V9" s="3">
        <v>0</v>
      </c>
      <c r="W9" s="3">
        <f>51.36/0.1</f>
        <v>513.59999999999991</v>
      </c>
      <c r="X9" s="3">
        <v>0</v>
      </c>
      <c r="Y9" s="3">
        <v>0</v>
      </c>
      <c r="Z9" s="3">
        <v>0</v>
      </c>
      <c r="AA9" s="3">
        <v>1</v>
      </c>
      <c r="AB9" s="3">
        <v>1</v>
      </c>
      <c r="AC9" s="3">
        <v>6</v>
      </c>
    </row>
    <row r="10" spans="2:29" ht="45" x14ac:dyDescent="0.25">
      <c r="B10" s="3">
        <v>24</v>
      </c>
      <c r="C10" s="3">
        <v>4600005515</v>
      </c>
      <c r="D10" s="3">
        <v>4600005622</v>
      </c>
      <c r="E10" s="3">
        <v>2016</v>
      </c>
      <c r="F10" s="44">
        <v>4599657246</v>
      </c>
      <c r="G10" s="45">
        <v>6671.4393919835229</v>
      </c>
      <c r="H10" s="9" t="s">
        <v>55</v>
      </c>
      <c r="I10" s="10" t="s">
        <v>129</v>
      </c>
      <c r="J10" s="10">
        <v>9</v>
      </c>
      <c r="K10" s="10">
        <f>45.6+76+16</f>
        <v>137.6</v>
      </c>
      <c r="L10" s="10">
        <v>0</v>
      </c>
      <c r="M10" s="3">
        <v>2</v>
      </c>
      <c r="N10" s="3">
        <v>17</v>
      </c>
      <c r="O10" s="3">
        <v>1206.5999999999999</v>
      </c>
      <c r="P10" s="3">
        <v>256900</v>
      </c>
      <c r="Q10" s="3">
        <v>1119</v>
      </c>
      <c r="R10" s="3">
        <v>192181</v>
      </c>
      <c r="S10" s="3">
        <v>88.21</v>
      </c>
      <c r="T10" s="3">
        <v>19394.7</v>
      </c>
      <c r="U10" s="3">
        <v>0</v>
      </c>
      <c r="V10" s="3">
        <v>0</v>
      </c>
      <c r="W10" s="3">
        <f>1385.47/0.1</f>
        <v>13854.699999999999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</row>
    <row r="11" spans="2:29" ht="45" x14ac:dyDescent="0.25">
      <c r="B11" s="3">
        <v>25</v>
      </c>
      <c r="C11" s="5">
        <v>4600007136</v>
      </c>
      <c r="D11" s="5">
        <v>4600007209</v>
      </c>
      <c r="E11" s="3">
        <v>2017</v>
      </c>
      <c r="F11" s="13">
        <v>1952872479</v>
      </c>
      <c r="G11" s="3">
        <v>2647.1837832122615</v>
      </c>
      <c r="H11" s="9" t="s">
        <v>46</v>
      </c>
      <c r="I11" s="9" t="s">
        <v>130</v>
      </c>
      <c r="J11" s="10">
        <v>0</v>
      </c>
      <c r="K11" s="10">
        <v>49</v>
      </c>
      <c r="L11" s="10">
        <v>0</v>
      </c>
      <c r="M11" s="3">
        <v>2</v>
      </c>
      <c r="N11" s="3">
        <v>4</v>
      </c>
      <c r="O11" s="3">
        <v>143.19999999999999</v>
      </c>
      <c r="P11" s="3">
        <v>0</v>
      </c>
      <c r="Q11" s="3">
        <v>893</v>
      </c>
      <c r="R11" s="3">
        <v>166550</v>
      </c>
      <c r="S11" s="3">
        <v>51.7</v>
      </c>
      <c r="T11" s="3">
        <v>1982.9</v>
      </c>
      <c r="U11" s="10">
        <v>0</v>
      </c>
      <c r="V11" s="3">
        <v>0</v>
      </c>
      <c r="W11" s="3">
        <f>1061.1/0.1</f>
        <v>10610.999999999998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8</v>
      </c>
    </row>
    <row r="12" spans="2:29" ht="45" x14ac:dyDescent="0.25">
      <c r="B12" s="3">
        <v>26</v>
      </c>
      <c r="C12" s="3">
        <v>4600007146</v>
      </c>
      <c r="D12" s="3">
        <v>4600007228</v>
      </c>
      <c r="E12" s="3">
        <v>2017</v>
      </c>
      <c r="F12" s="44">
        <v>4937970479</v>
      </c>
      <c r="G12" s="3">
        <v>6693.5836899515671</v>
      </c>
      <c r="H12" s="9" t="s">
        <v>47</v>
      </c>
      <c r="I12" s="10" t="s">
        <v>131</v>
      </c>
      <c r="J12" s="10">
        <v>4</v>
      </c>
      <c r="K12" s="10">
        <v>14.7</v>
      </c>
      <c r="L12" s="10">
        <v>0</v>
      </c>
      <c r="M12" s="3">
        <v>4</v>
      </c>
      <c r="N12" s="3">
        <v>9</v>
      </c>
      <c r="O12" s="3">
        <v>13636</v>
      </c>
      <c r="P12" s="3">
        <v>760789</v>
      </c>
      <c r="Q12" s="3">
        <v>84</v>
      </c>
      <c r="R12" s="3">
        <v>52400</v>
      </c>
      <c r="S12" s="3">
        <v>99</v>
      </c>
      <c r="T12" s="3">
        <v>66402</v>
      </c>
      <c r="U12" s="3">
        <v>0</v>
      </c>
      <c r="V12" s="3">
        <v>0</v>
      </c>
      <c r="W12" s="3">
        <f>745/0.1</f>
        <v>7450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</row>
    <row r="13" spans="2:29" ht="60" x14ac:dyDescent="0.25">
      <c r="B13" s="3">
        <v>27</v>
      </c>
      <c r="C13" s="3">
        <v>4600007149</v>
      </c>
      <c r="D13" s="3">
        <v>4600007198</v>
      </c>
      <c r="E13" s="3">
        <v>2017</v>
      </c>
      <c r="F13" s="44">
        <v>4139044164</v>
      </c>
      <c r="G13" s="3">
        <v>5610.6124218365576</v>
      </c>
      <c r="H13" s="9" t="s">
        <v>48</v>
      </c>
      <c r="I13" s="3" t="s">
        <v>127</v>
      </c>
      <c r="J13" s="3">
        <v>17</v>
      </c>
      <c r="K13" s="3">
        <v>135</v>
      </c>
      <c r="L13" s="3">
        <v>0</v>
      </c>
      <c r="M13" s="3">
        <v>0</v>
      </c>
      <c r="N13" s="3">
        <v>13</v>
      </c>
      <c r="O13" s="3">
        <v>17254</v>
      </c>
      <c r="P13" s="3">
        <v>403342.5</v>
      </c>
      <c r="Q13" s="3">
        <v>2234</v>
      </c>
      <c r="R13" s="3">
        <v>227653.6</v>
      </c>
      <c r="S13" s="3">
        <v>144.4</v>
      </c>
      <c r="T13" s="3">
        <v>4202</v>
      </c>
      <c r="U13" s="3">
        <v>0</v>
      </c>
      <c r="V13" s="3">
        <v>0</v>
      </c>
      <c r="W13" s="3">
        <f>9.3/0.1</f>
        <v>93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</row>
    <row r="14" spans="2:29" ht="30" x14ac:dyDescent="0.25">
      <c r="B14" s="3">
        <v>28</v>
      </c>
      <c r="C14" s="3">
        <v>4600007151</v>
      </c>
      <c r="D14" s="3">
        <v>4600007218</v>
      </c>
      <c r="E14" s="3">
        <v>2017</v>
      </c>
      <c r="F14" s="44">
        <v>5128428073</v>
      </c>
      <c r="G14" s="3">
        <v>6951.7553113185677</v>
      </c>
      <c r="H14" s="9" t="s">
        <v>39</v>
      </c>
      <c r="I14" s="3" t="s">
        <v>121</v>
      </c>
      <c r="J14" s="3">
        <v>14</v>
      </c>
      <c r="K14" s="3">
        <v>1000</v>
      </c>
      <c r="L14" s="3">
        <v>0</v>
      </c>
      <c r="M14" s="3">
        <v>0</v>
      </c>
      <c r="N14" s="3">
        <v>15</v>
      </c>
      <c r="O14" s="3">
        <v>14813.1</v>
      </c>
      <c r="P14" s="3">
        <v>239670.5</v>
      </c>
      <c r="Q14" s="3">
        <v>1058</v>
      </c>
      <c r="R14" s="3">
        <v>224730</v>
      </c>
      <c r="S14" s="3">
        <v>93.6</v>
      </c>
      <c r="T14" s="3">
        <v>4368</v>
      </c>
      <c r="U14" s="3">
        <v>0</v>
      </c>
      <c r="V14" s="3">
        <f>421.6/0.1</f>
        <v>4216</v>
      </c>
      <c r="W14" s="3">
        <f>439.2/0.1</f>
        <v>4392</v>
      </c>
      <c r="X14" s="3">
        <v>0</v>
      </c>
      <c r="Y14" s="3">
        <v>0</v>
      </c>
      <c r="Z14" s="3">
        <v>0</v>
      </c>
      <c r="AA14" s="3">
        <v>0</v>
      </c>
      <c r="AB14" s="3">
        <v>1</v>
      </c>
      <c r="AC14" s="3">
        <v>0</v>
      </c>
    </row>
    <row r="15" spans="2:29" ht="30" x14ac:dyDescent="0.25">
      <c r="B15" s="3">
        <v>29</v>
      </c>
      <c r="C15" s="3">
        <v>4600007152</v>
      </c>
      <c r="D15" s="3">
        <v>4600007222</v>
      </c>
      <c r="E15" s="3">
        <v>2017</v>
      </c>
      <c r="F15" s="44">
        <v>4131669988</v>
      </c>
      <c r="G15" s="3">
        <v>5600.6164803034226</v>
      </c>
      <c r="H15" s="9" t="s">
        <v>30</v>
      </c>
      <c r="I15" s="3" t="s">
        <v>119</v>
      </c>
      <c r="J15" s="3">
        <v>8</v>
      </c>
      <c r="K15" s="3">
        <v>0</v>
      </c>
      <c r="L15" s="3">
        <v>0</v>
      </c>
      <c r="M15" s="3">
        <v>2</v>
      </c>
      <c r="N15" s="3">
        <v>10</v>
      </c>
      <c r="O15" s="3">
        <v>10069.1</v>
      </c>
      <c r="P15" s="3">
        <v>457445</v>
      </c>
      <c r="Q15" s="3">
        <v>3618</v>
      </c>
      <c r="R15" s="3">
        <v>584605</v>
      </c>
      <c r="S15" s="3">
        <v>244.2</v>
      </c>
      <c r="T15" s="3">
        <v>17293.900000000001</v>
      </c>
      <c r="U15" s="3">
        <v>0</v>
      </c>
      <c r="V15" s="3">
        <f>10.7/0.1</f>
        <v>106.99999999999999</v>
      </c>
      <c r="W15" s="3">
        <f>600.9/0.1</f>
        <v>6008.9999999999991</v>
      </c>
      <c r="X15" s="3">
        <v>0</v>
      </c>
      <c r="Y15" s="3">
        <v>0</v>
      </c>
      <c r="Z15" s="3">
        <v>0</v>
      </c>
      <c r="AA15" s="3">
        <v>0</v>
      </c>
      <c r="AB15" s="3">
        <v>2</v>
      </c>
      <c r="AC15" s="3">
        <v>30</v>
      </c>
    </row>
    <row r="16" spans="2:29" ht="45" x14ac:dyDescent="0.25">
      <c r="B16" s="3">
        <v>30</v>
      </c>
      <c r="C16" s="3">
        <v>4600007155</v>
      </c>
      <c r="D16" s="3">
        <v>4600007208</v>
      </c>
      <c r="E16" s="3">
        <v>2017</v>
      </c>
      <c r="F16" s="44">
        <v>4145311783</v>
      </c>
      <c r="G16" s="3">
        <v>5619.10838844706</v>
      </c>
      <c r="H16" s="9" t="s">
        <v>49</v>
      </c>
      <c r="I16" s="3" t="s">
        <v>132</v>
      </c>
      <c r="J16" s="3">
        <v>4</v>
      </c>
      <c r="K16" s="3">
        <v>0</v>
      </c>
      <c r="L16" s="3">
        <v>0</v>
      </c>
      <c r="M16" s="3">
        <v>0</v>
      </c>
      <c r="N16" s="3">
        <v>15</v>
      </c>
      <c r="O16" s="3">
        <v>16242.61</v>
      </c>
      <c r="P16" s="3">
        <v>1121503.3999999999</v>
      </c>
      <c r="Q16" s="3">
        <v>1480</v>
      </c>
      <c r="R16" s="3">
        <v>158993.68</v>
      </c>
      <c r="S16" s="3">
        <v>152.85</v>
      </c>
      <c r="T16" s="3">
        <v>47283.9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1</v>
      </c>
      <c r="AB16" s="3">
        <v>0</v>
      </c>
      <c r="AC16" s="3">
        <v>0</v>
      </c>
    </row>
    <row r="17" spans="2:29" ht="30" x14ac:dyDescent="0.25">
      <c r="B17" s="3">
        <v>31</v>
      </c>
      <c r="C17" s="3" t="s">
        <v>28</v>
      </c>
      <c r="D17" s="3" t="s">
        <v>29</v>
      </c>
      <c r="E17" s="3">
        <v>2018</v>
      </c>
      <c r="F17" s="44">
        <v>8126599324</v>
      </c>
      <c r="G17" s="45">
        <v>10402.153652773404</v>
      </c>
      <c r="H17" s="9" t="s">
        <v>30</v>
      </c>
      <c r="I17" s="3" t="s">
        <v>119</v>
      </c>
      <c r="J17" s="10">
        <v>4</v>
      </c>
      <c r="K17" s="10">
        <v>802</v>
      </c>
      <c r="L17" s="10">
        <v>0</v>
      </c>
      <c r="M17" s="3">
        <v>3</v>
      </c>
      <c r="N17" s="3">
        <v>29</v>
      </c>
      <c r="O17" s="3">
        <v>2117.1999999999998</v>
      </c>
      <c r="P17" s="3">
        <v>275606</v>
      </c>
      <c r="Q17" s="3">
        <v>2187</v>
      </c>
      <c r="R17" s="3">
        <v>461490</v>
      </c>
      <c r="S17" s="3">
        <v>165.85</v>
      </c>
      <c r="T17" s="3">
        <v>64551.8</v>
      </c>
      <c r="U17" s="10">
        <v>0</v>
      </c>
      <c r="V17" s="3">
        <v>0</v>
      </c>
      <c r="W17" s="3">
        <f>1011.6/0.1</f>
        <v>10116</v>
      </c>
      <c r="X17" s="3">
        <v>0</v>
      </c>
      <c r="Y17" s="3">
        <v>0</v>
      </c>
      <c r="Z17" s="3">
        <v>0</v>
      </c>
      <c r="AA17" s="3">
        <v>0</v>
      </c>
      <c r="AB17" s="3">
        <v>1</v>
      </c>
      <c r="AC17" s="3">
        <v>4</v>
      </c>
    </row>
    <row r="18" spans="2:29" ht="60" x14ac:dyDescent="0.25">
      <c r="B18" s="3">
        <v>32</v>
      </c>
      <c r="C18" s="3" t="s">
        <v>31</v>
      </c>
      <c r="D18" s="3" t="s">
        <v>32</v>
      </c>
      <c r="E18" s="3">
        <v>2018</v>
      </c>
      <c r="F18" s="44">
        <v>6994292572</v>
      </c>
      <c r="G18" s="45">
        <v>8952.786168690367</v>
      </c>
      <c r="H18" s="9" t="s">
        <v>33</v>
      </c>
      <c r="I18" s="3" t="s">
        <v>122</v>
      </c>
      <c r="J18" s="10">
        <v>22</v>
      </c>
      <c r="K18" s="10">
        <f>43.5+1945</f>
        <v>1988.5</v>
      </c>
      <c r="L18" s="10">
        <v>0</v>
      </c>
      <c r="M18" s="3">
        <v>0</v>
      </c>
      <c r="N18" s="3">
        <v>20</v>
      </c>
      <c r="O18" s="3">
        <v>8780.0499999999993</v>
      </c>
      <c r="P18" s="3">
        <v>1257145</v>
      </c>
      <c r="Q18" s="3">
        <v>1132</v>
      </c>
      <c r="R18" s="3">
        <v>208905.3</v>
      </c>
      <c r="S18" s="3">
        <v>76.47</v>
      </c>
      <c r="T18" s="3">
        <v>88456.06</v>
      </c>
      <c r="U18" s="3">
        <v>0</v>
      </c>
      <c r="V18" s="3">
        <f>736.63/0.1</f>
        <v>7366.2999999999993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20</v>
      </c>
    </row>
    <row r="19" spans="2:29" ht="45" x14ac:dyDescent="0.25">
      <c r="B19" s="3">
        <v>33</v>
      </c>
      <c r="C19" s="3" t="s">
        <v>34</v>
      </c>
      <c r="D19" s="3" t="s">
        <v>35</v>
      </c>
      <c r="E19" s="3">
        <v>2018</v>
      </c>
      <c r="F19" s="44">
        <v>5499763303</v>
      </c>
      <c r="G19" s="45">
        <v>7039.7691150757382</v>
      </c>
      <c r="H19" s="9" t="s">
        <v>36</v>
      </c>
      <c r="I19" s="10" t="s">
        <v>129</v>
      </c>
      <c r="J19" s="10">
        <v>3</v>
      </c>
      <c r="K19" s="10">
        <v>3000</v>
      </c>
      <c r="L19" s="10">
        <v>4</v>
      </c>
      <c r="M19" s="3">
        <v>0</v>
      </c>
      <c r="N19" s="3">
        <v>5</v>
      </c>
      <c r="O19" s="3">
        <v>9164.1</v>
      </c>
      <c r="P19" s="3">
        <v>466854</v>
      </c>
      <c r="Q19" s="3">
        <v>1038</v>
      </c>
      <c r="R19" s="3">
        <v>154700</v>
      </c>
      <c r="S19" s="3">
        <v>74.33</v>
      </c>
      <c r="T19" s="3">
        <v>5238.8900000000003</v>
      </c>
      <c r="U19" s="3">
        <v>0</v>
      </c>
      <c r="V19" s="3">
        <f>1075.56/0.1</f>
        <v>10755.599999999999</v>
      </c>
      <c r="W19" s="3">
        <f>740.39/0.1</f>
        <v>7403.9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25</v>
      </c>
    </row>
    <row r="20" spans="2:29" ht="30" x14ac:dyDescent="0.25">
      <c r="B20" s="3">
        <v>34</v>
      </c>
      <c r="C20" s="3" t="s">
        <v>37</v>
      </c>
      <c r="D20" s="3" t="s">
        <v>38</v>
      </c>
      <c r="E20" s="3">
        <v>2018</v>
      </c>
      <c r="F20" s="44">
        <v>5961604389</v>
      </c>
      <c r="G20" s="45">
        <v>7630.9317586612087</v>
      </c>
      <c r="H20" s="9" t="s">
        <v>39</v>
      </c>
      <c r="I20" s="3" t="s">
        <v>121</v>
      </c>
      <c r="J20" s="3">
        <v>0</v>
      </c>
      <c r="K20" s="3">
        <v>0</v>
      </c>
      <c r="L20" s="3">
        <v>0</v>
      </c>
      <c r="M20" s="3">
        <v>2</v>
      </c>
      <c r="N20" s="3">
        <v>5</v>
      </c>
      <c r="O20" s="3">
        <v>10386.58</v>
      </c>
      <c r="P20" s="3">
        <v>64180</v>
      </c>
      <c r="Q20" s="3">
        <v>3335</v>
      </c>
      <c r="R20" s="3">
        <v>406350</v>
      </c>
      <c r="S20" s="3">
        <v>254.95</v>
      </c>
      <c r="T20" s="3">
        <v>41516.9</v>
      </c>
      <c r="U20" s="3">
        <v>0</v>
      </c>
      <c r="V20" s="3">
        <f>288.93/0.1</f>
        <v>2889.2999999999997</v>
      </c>
      <c r="W20" s="3">
        <f>499.56/0.1</f>
        <v>4995.5999999999995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</row>
    <row r="21" spans="2:29" ht="45" x14ac:dyDescent="0.25">
      <c r="B21" s="3">
        <v>35</v>
      </c>
      <c r="C21" s="3" t="s">
        <v>40</v>
      </c>
      <c r="D21" s="3" t="s">
        <v>41</v>
      </c>
      <c r="E21" s="3">
        <v>2018</v>
      </c>
      <c r="F21" s="44">
        <v>7506830256</v>
      </c>
      <c r="G21" s="45">
        <v>9608.8411222130908</v>
      </c>
      <c r="H21" s="9" t="s">
        <v>42</v>
      </c>
      <c r="I21" s="3" t="s">
        <v>133</v>
      </c>
      <c r="J21" s="3">
        <v>35</v>
      </c>
      <c r="K21" s="3">
        <v>311.39999999999998</v>
      </c>
      <c r="L21" s="3">
        <v>0</v>
      </c>
      <c r="M21" s="3">
        <v>7</v>
      </c>
      <c r="N21" s="3">
        <v>28</v>
      </c>
      <c r="O21" s="3">
        <v>22770.2</v>
      </c>
      <c r="P21" s="3">
        <v>1008800</v>
      </c>
      <c r="Q21" s="3">
        <v>1960</v>
      </c>
      <c r="R21" s="3">
        <v>215410</v>
      </c>
      <c r="S21" s="3">
        <v>184.7</v>
      </c>
      <c r="T21" s="3">
        <v>33004.9</v>
      </c>
      <c r="U21" s="3">
        <v>0</v>
      </c>
      <c r="V21" s="3">
        <f>646.4/0.1</f>
        <v>6463.9999999999991</v>
      </c>
      <c r="W21" s="3">
        <f>10.6/0.1</f>
        <v>105.99999999999999</v>
      </c>
      <c r="X21" s="3">
        <v>0</v>
      </c>
      <c r="Y21" s="3">
        <v>10268.799999999999</v>
      </c>
      <c r="Z21" s="3">
        <v>0</v>
      </c>
      <c r="AA21" s="3">
        <v>0</v>
      </c>
      <c r="AB21" s="3">
        <v>0</v>
      </c>
      <c r="AC21" s="3">
        <v>0</v>
      </c>
    </row>
    <row r="22" spans="2:29" ht="45" x14ac:dyDescent="0.25">
      <c r="B22" s="3">
        <v>36</v>
      </c>
      <c r="C22" s="3" t="s">
        <v>43</v>
      </c>
      <c r="D22" s="3" t="s">
        <v>44</v>
      </c>
      <c r="E22" s="3">
        <v>2018</v>
      </c>
      <c r="F22" s="44">
        <v>5321334795</v>
      </c>
      <c r="G22" s="45">
        <v>6811.3782861136497</v>
      </c>
      <c r="H22" s="9" t="s">
        <v>45</v>
      </c>
      <c r="I22" s="10" t="s">
        <v>117</v>
      </c>
      <c r="J22" s="10">
        <v>9</v>
      </c>
      <c r="K22" s="10">
        <v>0</v>
      </c>
      <c r="L22" s="10">
        <v>0</v>
      </c>
      <c r="M22" s="3">
        <v>1</v>
      </c>
      <c r="N22" s="3">
        <v>17</v>
      </c>
      <c r="O22" s="3">
        <v>7237.18</v>
      </c>
      <c r="P22" s="3">
        <v>828603.5</v>
      </c>
      <c r="Q22" s="3">
        <v>547</v>
      </c>
      <c r="R22" s="3">
        <v>186716.2</v>
      </c>
      <c r="S22" s="3">
        <v>81.290000000000006</v>
      </c>
      <c r="T22" s="3">
        <v>73058.100000000006</v>
      </c>
      <c r="U22" s="3">
        <v>0</v>
      </c>
      <c r="V22" s="3">
        <v>0</v>
      </c>
      <c r="W22" s="3">
        <f>697.4/0.1</f>
        <v>6973.9999999999991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12</v>
      </c>
    </row>
    <row r="23" spans="2:29" ht="45" x14ac:dyDescent="0.25">
      <c r="B23" s="3">
        <v>37</v>
      </c>
      <c r="C23" s="3" t="s">
        <v>12</v>
      </c>
      <c r="D23" s="3" t="s">
        <v>13</v>
      </c>
      <c r="E23" s="3">
        <v>2019</v>
      </c>
      <c r="F23" s="44">
        <v>6648674335</v>
      </c>
      <c r="G23" s="45">
        <v>8028.6751312618035</v>
      </c>
      <c r="H23" s="9" t="s">
        <v>14</v>
      </c>
      <c r="I23" s="3" t="s">
        <v>134</v>
      </c>
      <c r="J23" s="10">
        <v>7</v>
      </c>
      <c r="K23" s="10">
        <v>0</v>
      </c>
      <c r="L23" s="10">
        <v>0</v>
      </c>
      <c r="M23" s="3">
        <v>1</v>
      </c>
      <c r="N23" s="3">
        <v>27</v>
      </c>
      <c r="O23" s="3">
        <v>10264.799999999999</v>
      </c>
      <c r="P23" s="3">
        <v>492681</v>
      </c>
      <c r="Q23" s="3">
        <v>561</v>
      </c>
      <c r="R23" s="3">
        <v>184262</v>
      </c>
      <c r="S23" s="3">
        <v>121.13</v>
      </c>
      <c r="T23" s="3">
        <v>34137</v>
      </c>
      <c r="U23" s="10">
        <v>0</v>
      </c>
      <c r="V23" s="3">
        <f>604/0.1</f>
        <v>6040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</row>
    <row r="24" spans="2:29" ht="45" x14ac:dyDescent="0.25">
      <c r="B24" s="3">
        <v>38</v>
      </c>
      <c r="C24" s="3" t="s">
        <v>15</v>
      </c>
      <c r="D24" s="3" t="s">
        <v>16</v>
      </c>
      <c r="E24" s="3">
        <v>2019</v>
      </c>
      <c r="F24" s="44">
        <v>4776708403</v>
      </c>
      <c r="G24" s="45">
        <v>5768.1634010211128</v>
      </c>
      <c r="H24" s="9" t="s">
        <v>17</v>
      </c>
      <c r="I24" s="10" t="s">
        <v>117</v>
      </c>
      <c r="J24" s="10">
        <v>4</v>
      </c>
      <c r="K24" s="10">
        <v>0</v>
      </c>
      <c r="L24" s="10">
        <v>0</v>
      </c>
      <c r="M24" s="3">
        <v>3</v>
      </c>
      <c r="N24" s="3">
        <v>12</v>
      </c>
      <c r="O24" s="3">
        <v>82.19</v>
      </c>
      <c r="P24" s="3">
        <v>110550</v>
      </c>
      <c r="Q24" s="3">
        <v>1249</v>
      </c>
      <c r="R24" s="3">
        <v>391591</v>
      </c>
      <c r="S24" s="3">
        <v>151.69999999999999</v>
      </c>
      <c r="T24" s="3">
        <v>24230</v>
      </c>
      <c r="U24" s="10">
        <v>8864.4</v>
      </c>
      <c r="V24" s="3">
        <v>0</v>
      </c>
      <c r="W24" s="3">
        <f>808.4/0.1</f>
        <v>8083.9999999999991</v>
      </c>
      <c r="X24" s="3">
        <v>0</v>
      </c>
      <c r="Y24" s="3">
        <v>0</v>
      </c>
      <c r="Z24" s="3">
        <v>0</v>
      </c>
      <c r="AA24" s="3">
        <v>0</v>
      </c>
      <c r="AB24" s="3">
        <v>1</v>
      </c>
      <c r="AC24" s="3">
        <v>0</v>
      </c>
    </row>
    <row r="25" spans="2:29" ht="30" x14ac:dyDescent="0.25">
      <c r="B25" s="3">
        <v>39</v>
      </c>
      <c r="C25" s="3" t="s">
        <v>18</v>
      </c>
      <c r="D25" s="3" t="s">
        <v>19</v>
      </c>
      <c r="E25" s="3">
        <v>2019</v>
      </c>
      <c r="F25" s="44">
        <v>7392558930</v>
      </c>
      <c r="G25" s="45">
        <v>8926.9606311193111</v>
      </c>
      <c r="H25" s="9" t="s">
        <v>20</v>
      </c>
      <c r="I25" s="3" t="s">
        <v>119</v>
      </c>
      <c r="J25" s="3">
        <v>8</v>
      </c>
      <c r="K25" s="3">
        <v>0</v>
      </c>
      <c r="L25" s="3">
        <v>0</v>
      </c>
      <c r="M25" s="3">
        <v>2</v>
      </c>
      <c r="N25" s="3">
        <v>11</v>
      </c>
      <c r="O25" s="3">
        <v>2090.8000000000002</v>
      </c>
      <c r="P25" s="3">
        <v>102673.5</v>
      </c>
      <c r="Q25" s="3">
        <v>1775</v>
      </c>
      <c r="R25" s="3">
        <v>373078.8</v>
      </c>
      <c r="S25" s="3">
        <v>108.5</v>
      </c>
      <c r="T25" s="3">
        <v>10222.799999999999</v>
      </c>
      <c r="U25" s="10">
        <v>7028</v>
      </c>
      <c r="V25" s="3">
        <f>2132.6/0.1</f>
        <v>21325.999999999996</v>
      </c>
      <c r="W25" s="3">
        <v>0</v>
      </c>
      <c r="X25" s="3">
        <v>0</v>
      </c>
      <c r="Y25" s="3">
        <v>4834.5</v>
      </c>
      <c r="Z25" s="3">
        <v>0</v>
      </c>
      <c r="AA25" s="3">
        <v>0</v>
      </c>
      <c r="AB25" s="3">
        <v>0</v>
      </c>
      <c r="AC25" s="3">
        <v>0</v>
      </c>
    </row>
    <row r="26" spans="2:29" ht="30" x14ac:dyDescent="0.25">
      <c r="B26" s="3">
        <v>40</v>
      </c>
      <c r="C26" s="3" t="s">
        <v>21</v>
      </c>
      <c r="D26" s="3" t="s">
        <v>22</v>
      </c>
      <c r="E26" s="3">
        <v>2019</v>
      </c>
      <c r="F26" s="44">
        <v>5470030090</v>
      </c>
      <c r="G26" s="45">
        <v>6605.3911408546628</v>
      </c>
      <c r="H26" s="9" t="s">
        <v>23</v>
      </c>
      <c r="I26" s="3" t="s">
        <v>121</v>
      </c>
      <c r="J26" s="3">
        <v>7</v>
      </c>
      <c r="K26" s="3">
        <v>400</v>
      </c>
      <c r="L26" s="3">
        <v>0</v>
      </c>
      <c r="M26" s="3">
        <v>1</v>
      </c>
      <c r="N26" s="3">
        <v>11</v>
      </c>
      <c r="O26" s="3">
        <v>0</v>
      </c>
      <c r="P26" s="3">
        <v>9744</v>
      </c>
      <c r="Q26" s="3">
        <v>2594</v>
      </c>
      <c r="R26" s="3">
        <v>438718.4</v>
      </c>
      <c r="S26" s="3">
        <v>179.95</v>
      </c>
      <c r="T26" s="3">
        <v>6319.8</v>
      </c>
      <c r="U26" s="10">
        <v>158.9</v>
      </c>
      <c r="V26" s="3">
        <f>759.57/0.1</f>
        <v>7595.7</v>
      </c>
      <c r="W26" s="3">
        <f>202.19/0.1</f>
        <v>2021.8999999999999</v>
      </c>
      <c r="X26" s="3">
        <v>0</v>
      </c>
      <c r="Y26" s="3">
        <v>0</v>
      </c>
      <c r="Z26" s="3">
        <v>40</v>
      </c>
      <c r="AA26" s="3">
        <v>0</v>
      </c>
      <c r="AB26" s="3">
        <v>0</v>
      </c>
      <c r="AC26" s="3">
        <v>0</v>
      </c>
    </row>
    <row r="27" spans="2:29" ht="75" x14ac:dyDescent="0.25">
      <c r="B27" s="3">
        <v>41</v>
      </c>
      <c r="C27" s="3" t="s">
        <v>24</v>
      </c>
      <c r="D27" s="3" t="s">
        <v>25</v>
      </c>
      <c r="E27" s="3">
        <v>2019</v>
      </c>
      <c r="F27" s="44">
        <v>4152789616</v>
      </c>
      <c r="G27" s="45">
        <v>5014.7438474803048</v>
      </c>
      <c r="H27" s="9" t="s">
        <v>26</v>
      </c>
      <c r="I27" s="3" t="s">
        <v>122</v>
      </c>
      <c r="J27" s="3">
        <v>3</v>
      </c>
      <c r="K27" s="3">
        <v>500</v>
      </c>
      <c r="L27" s="3">
        <v>0</v>
      </c>
      <c r="M27" s="3">
        <v>1</v>
      </c>
      <c r="N27" s="3">
        <v>12</v>
      </c>
      <c r="O27" s="3">
        <v>9181.2999999999993</v>
      </c>
      <c r="P27" s="3">
        <v>192193.6</v>
      </c>
      <c r="Q27" s="3">
        <v>1351</v>
      </c>
      <c r="R27" s="3">
        <v>225817</v>
      </c>
      <c r="S27" s="3">
        <v>71.3</v>
      </c>
      <c r="T27" s="3">
        <v>9800</v>
      </c>
      <c r="U27" s="10">
        <v>0</v>
      </c>
      <c r="V27" s="3">
        <f>100.6/0.1</f>
        <v>1005.9999999999999</v>
      </c>
      <c r="W27" s="3">
        <f>364.2/0.1</f>
        <v>3641.9999999999995</v>
      </c>
      <c r="X27" s="3">
        <v>0</v>
      </c>
      <c r="Y27" s="3">
        <v>0</v>
      </c>
      <c r="Z27" s="3">
        <v>17233.599999999999</v>
      </c>
      <c r="AA27" s="3">
        <v>0</v>
      </c>
      <c r="AB27" s="3">
        <v>0</v>
      </c>
      <c r="AC27" s="3">
        <v>0</v>
      </c>
    </row>
    <row r="28" spans="2:29" ht="45" x14ac:dyDescent="0.25">
      <c r="B28" s="3">
        <v>42</v>
      </c>
      <c r="C28" s="3">
        <v>4600010158</v>
      </c>
      <c r="D28" s="3">
        <v>4600010165</v>
      </c>
      <c r="E28" s="3">
        <v>2019</v>
      </c>
      <c r="F28" s="44">
        <v>1900951518</v>
      </c>
      <c r="G28" s="45">
        <v>2295.5135729776989</v>
      </c>
      <c r="H28" s="9" t="s">
        <v>27</v>
      </c>
      <c r="I28" s="10" t="s">
        <v>135</v>
      </c>
      <c r="J28" s="10">
        <v>0</v>
      </c>
      <c r="K28" s="10">
        <v>0</v>
      </c>
      <c r="L28" s="10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10">
        <v>0</v>
      </c>
      <c r="V28" s="3">
        <f>1129.7/0.1</f>
        <v>11297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</row>
    <row r="29" spans="2:29" x14ac:dyDescent="0.25">
      <c r="B29" s="71" t="s">
        <v>106</v>
      </c>
      <c r="C29" s="71"/>
      <c r="D29" s="71"/>
      <c r="E29" s="16"/>
      <c r="F29" s="35">
        <f>+SUM(F5:F28)</f>
        <v>128581016590</v>
      </c>
      <c r="G29" s="48">
        <f>+SUM(G5:G28)</f>
        <v>170093.34110968493</v>
      </c>
      <c r="H29" s="47"/>
      <c r="I29" s="8"/>
      <c r="J29" s="7">
        <f>SUM(J5:J28)</f>
        <v>204</v>
      </c>
      <c r="K29" s="7">
        <f t="shared" ref="K29:AC29" si="0">SUM(K5:K28)</f>
        <v>10779.699999999999</v>
      </c>
      <c r="L29" s="7">
        <f t="shared" si="0"/>
        <v>4</v>
      </c>
      <c r="M29" s="7">
        <f t="shared" si="0"/>
        <v>39</v>
      </c>
      <c r="N29" s="7">
        <f t="shared" si="0"/>
        <v>314</v>
      </c>
      <c r="O29" s="7">
        <f t="shared" si="0"/>
        <v>210711.81999999995</v>
      </c>
      <c r="P29" s="7">
        <f t="shared" si="0"/>
        <v>12721897.1</v>
      </c>
      <c r="Q29" s="7">
        <f t="shared" si="0"/>
        <v>45240</v>
      </c>
      <c r="R29" s="7">
        <f t="shared" si="0"/>
        <v>6489886.4800000004</v>
      </c>
      <c r="S29" s="7">
        <f t="shared" si="0"/>
        <v>3665.7299999999991</v>
      </c>
      <c r="T29" s="7">
        <f t="shared" si="0"/>
        <v>772964.79000000015</v>
      </c>
      <c r="U29" s="7">
        <f t="shared" si="0"/>
        <v>16051.3</v>
      </c>
      <c r="V29" s="7">
        <f t="shared" si="0"/>
        <v>93498.4</v>
      </c>
      <c r="W29" s="7">
        <f t="shared" si="0"/>
        <v>93722.9</v>
      </c>
      <c r="X29" s="7">
        <f t="shared" si="0"/>
        <v>0</v>
      </c>
      <c r="Y29" s="7">
        <f t="shared" si="0"/>
        <v>15103.3</v>
      </c>
      <c r="Z29" s="7">
        <f t="shared" si="0"/>
        <v>17273.599999999999</v>
      </c>
      <c r="AA29" s="7">
        <f t="shared" si="0"/>
        <v>2</v>
      </c>
      <c r="AB29" s="7">
        <f t="shared" si="0"/>
        <v>9</v>
      </c>
      <c r="AC29" s="7">
        <f t="shared" si="0"/>
        <v>181</v>
      </c>
    </row>
  </sheetData>
  <mergeCells count="20">
    <mergeCell ref="B2:AC2"/>
    <mergeCell ref="B3:B4"/>
    <mergeCell ref="C3:C4"/>
    <mergeCell ref="D3:D4"/>
    <mergeCell ref="E3:E4"/>
    <mergeCell ref="F3:F4"/>
    <mergeCell ref="G3:G4"/>
    <mergeCell ref="H3:H4"/>
    <mergeCell ref="I3:I4"/>
    <mergeCell ref="J3:M3"/>
    <mergeCell ref="V3:Z3"/>
    <mergeCell ref="AA3:AB3"/>
    <mergeCell ref="AC3:AC4"/>
    <mergeCell ref="T3:T4"/>
    <mergeCell ref="U3:U4"/>
    <mergeCell ref="B29:D29"/>
    <mergeCell ref="N3:N4"/>
    <mergeCell ref="O3:O4"/>
    <mergeCell ref="P3:P4"/>
    <mergeCell ref="Q3:S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BBB0-1F17-4436-8486-C55966B2FAB8}">
  <dimension ref="B2:AC16"/>
  <sheetViews>
    <sheetView zoomScale="60" zoomScaleNormal="60" workbookViewId="0"/>
  </sheetViews>
  <sheetFormatPr baseColWidth="10" defaultRowHeight="15" x14ac:dyDescent="0.25"/>
  <cols>
    <col min="3" max="3" width="19.140625" bestFit="1" customWidth="1"/>
    <col min="4" max="4" width="29.7109375" bestFit="1" customWidth="1"/>
    <col min="6" max="6" width="25.42578125" customWidth="1"/>
    <col min="7" max="7" width="21.140625" customWidth="1"/>
    <col min="8" max="8" width="52" customWidth="1"/>
  </cols>
  <sheetData>
    <row r="2" spans="2:29" x14ac:dyDescent="0.25">
      <c r="B2" s="71" t="s">
        <v>203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2:29" x14ac:dyDescent="0.25">
      <c r="B3" s="85" t="s">
        <v>0</v>
      </c>
      <c r="C3" s="70" t="s">
        <v>2</v>
      </c>
      <c r="D3" s="70" t="s">
        <v>96</v>
      </c>
      <c r="E3" s="92" t="s">
        <v>1</v>
      </c>
      <c r="F3" s="70" t="s">
        <v>115</v>
      </c>
      <c r="G3" s="70" t="s">
        <v>196</v>
      </c>
      <c r="H3" s="71" t="s">
        <v>3</v>
      </c>
      <c r="I3" s="88" t="s">
        <v>116</v>
      </c>
      <c r="J3" s="81" t="s">
        <v>189</v>
      </c>
      <c r="K3" s="82"/>
      <c r="L3" s="82"/>
      <c r="M3" s="83"/>
      <c r="N3" s="70" t="s">
        <v>183</v>
      </c>
      <c r="O3" s="70" t="s">
        <v>181</v>
      </c>
      <c r="P3" s="70" t="s">
        <v>112</v>
      </c>
      <c r="Q3" s="71" t="s">
        <v>97</v>
      </c>
      <c r="R3" s="71"/>
      <c r="S3" s="71"/>
      <c r="T3" s="70" t="s">
        <v>113</v>
      </c>
      <c r="U3" s="70" t="s">
        <v>172</v>
      </c>
      <c r="V3" s="71" t="s">
        <v>101</v>
      </c>
      <c r="W3" s="71"/>
      <c r="X3" s="71"/>
      <c r="Y3" s="71"/>
      <c r="Z3" s="71"/>
      <c r="AA3" s="71" t="s">
        <v>177</v>
      </c>
      <c r="AB3" s="71"/>
      <c r="AC3" s="70" t="s">
        <v>187</v>
      </c>
    </row>
    <row r="4" spans="2:29" ht="90" x14ac:dyDescent="0.25">
      <c r="B4" s="85"/>
      <c r="C4" s="70"/>
      <c r="D4" s="70"/>
      <c r="E4" s="93"/>
      <c r="F4" s="70"/>
      <c r="G4" s="70"/>
      <c r="H4" s="71"/>
      <c r="I4" s="89"/>
      <c r="J4" s="23" t="s">
        <v>188</v>
      </c>
      <c r="K4" s="23" t="s">
        <v>171</v>
      </c>
      <c r="L4" s="23" t="s">
        <v>190</v>
      </c>
      <c r="M4" s="23" t="s">
        <v>191</v>
      </c>
      <c r="N4" s="70"/>
      <c r="O4" s="70"/>
      <c r="P4" s="70"/>
      <c r="Q4" s="23" t="s">
        <v>107</v>
      </c>
      <c r="R4" s="23" t="s">
        <v>108</v>
      </c>
      <c r="S4" s="7" t="s">
        <v>109</v>
      </c>
      <c r="T4" s="70"/>
      <c r="U4" s="70"/>
      <c r="V4" s="7" t="s">
        <v>173</v>
      </c>
      <c r="W4" s="23" t="s">
        <v>180</v>
      </c>
      <c r="X4" s="7" t="s">
        <v>174</v>
      </c>
      <c r="Y4" s="23" t="s">
        <v>175</v>
      </c>
      <c r="Z4" s="23" t="s">
        <v>176</v>
      </c>
      <c r="AA4" s="23" t="s">
        <v>178</v>
      </c>
      <c r="AB4" s="23" t="s">
        <v>179</v>
      </c>
      <c r="AC4" s="70"/>
    </row>
    <row r="5" spans="2:29" ht="60" x14ac:dyDescent="0.25">
      <c r="B5" s="3">
        <v>43</v>
      </c>
      <c r="C5" s="3">
        <v>4600010831</v>
      </c>
      <c r="D5" s="3">
        <v>4600010878</v>
      </c>
      <c r="E5" s="3">
        <v>2020</v>
      </c>
      <c r="F5" s="12">
        <v>9873865274</v>
      </c>
      <c r="G5" s="18">
        <v>11248.384061116218</v>
      </c>
      <c r="H5" s="9" t="s">
        <v>7</v>
      </c>
      <c r="I5" s="10" t="s">
        <v>117</v>
      </c>
      <c r="J5" s="10">
        <v>3</v>
      </c>
      <c r="K5" s="10">
        <v>71.900000000000006</v>
      </c>
      <c r="L5" s="10">
        <v>0</v>
      </c>
      <c r="M5" s="3">
        <v>0</v>
      </c>
      <c r="N5" s="3">
        <v>18</v>
      </c>
      <c r="O5" s="3">
        <v>33444.870000000003</v>
      </c>
      <c r="P5" s="3">
        <v>1226874</v>
      </c>
      <c r="Q5" s="3">
        <v>901</v>
      </c>
      <c r="R5" s="3">
        <v>282690.98</v>
      </c>
      <c r="S5" s="3">
        <v>135.53</v>
      </c>
      <c r="T5" s="3">
        <v>58114.12</v>
      </c>
      <c r="U5" s="10">
        <v>0</v>
      </c>
      <c r="V5" s="3">
        <f>315.64/0.1</f>
        <v>3156.3999999999996</v>
      </c>
      <c r="W5" s="3">
        <v>0</v>
      </c>
      <c r="X5" s="3">
        <v>0</v>
      </c>
      <c r="Y5" s="3">
        <v>0</v>
      </c>
      <c r="Z5" s="3">
        <v>0</v>
      </c>
      <c r="AA5" s="3">
        <v>2</v>
      </c>
      <c r="AB5" s="3">
        <v>0</v>
      </c>
      <c r="AC5" s="3">
        <v>0</v>
      </c>
    </row>
    <row r="6" spans="2:29" ht="60" x14ac:dyDescent="0.25">
      <c r="B6" s="3">
        <v>44</v>
      </c>
      <c r="C6" s="3">
        <v>4600010847</v>
      </c>
      <c r="D6" s="3">
        <v>4600010861</v>
      </c>
      <c r="E6" s="3">
        <v>2020</v>
      </c>
      <c r="F6" s="12">
        <v>7250689730</v>
      </c>
      <c r="G6" s="18">
        <v>8260.0420937271811</v>
      </c>
      <c r="H6" s="9" t="s">
        <v>8</v>
      </c>
      <c r="I6" s="3" t="s">
        <v>123</v>
      </c>
      <c r="J6" s="10">
        <v>3</v>
      </c>
      <c r="K6" s="10">
        <v>109.92</v>
      </c>
      <c r="L6" s="10">
        <v>0</v>
      </c>
      <c r="M6" s="3">
        <v>3</v>
      </c>
      <c r="N6" s="3">
        <v>11</v>
      </c>
      <c r="O6" s="3">
        <f>7215.85+14753.15</f>
        <v>21969</v>
      </c>
      <c r="P6" s="3">
        <v>919950</v>
      </c>
      <c r="Q6" s="3">
        <v>1204</v>
      </c>
      <c r="R6" s="3">
        <v>74697</v>
      </c>
      <c r="S6" s="3">
        <v>149.13999999999999</v>
      </c>
      <c r="T6" s="3">
        <v>36633.97</v>
      </c>
      <c r="U6" s="3">
        <v>15338.07</v>
      </c>
      <c r="V6" s="3">
        <f>608.35/0.1</f>
        <v>6083.5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1</v>
      </c>
      <c r="AC6" s="3">
        <v>0</v>
      </c>
    </row>
    <row r="7" spans="2:29" ht="45" x14ac:dyDescent="0.25">
      <c r="B7" s="3">
        <v>45</v>
      </c>
      <c r="C7" s="3">
        <v>4600010855</v>
      </c>
      <c r="D7" s="3">
        <v>4600010852</v>
      </c>
      <c r="E7" s="3">
        <v>2020</v>
      </c>
      <c r="F7" s="12">
        <v>10780239829</v>
      </c>
      <c r="G7" s="18">
        <v>12280.932998634089</v>
      </c>
      <c r="H7" s="9" t="s">
        <v>9</v>
      </c>
      <c r="I7" s="3" t="s">
        <v>136</v>
      </c>
      <c r="J7" s="10">
        <v>6</v>
      </c>
      <c r="K7" s="10">
        <v>1350</v>
      </c>
      <c r="L7" s="10">
        <v>0</v>
      </c>
      <c r="M7" s="3">
        <v>1</v>
      </c>
      <c r="N7" s="3">
        <v>19</v>
      </c>
      <c r="O7" s="3">
        <v>2235.64</v>
      </c>
      <c r="P7" s="3">
        <v>207858</v>
      </c>
      <c r="Q7" s="3">
        <v>2804</v>
      </c>
      <c r="R7" s="3">
        <v>541100</v>
      </c>
      <c r="S7" s="3">
        <v>197.66</v>
      </c>
      <c r="T7" s="3">
        <v>57717.14</v>
      </c>
      <c r="U7" s="3">
        <v>11066.14</v>
      </c>
      <c r="V7" s="3">
        <v>0</v>
      </c>
      <c r="W7" s="3">
        <f>1374.82/0.1</f>
        <v>13748.199999999999</v>
      </c>
      <c r="X7" s="3">
        <v>0</v>
      </c>
      <c r="Y7" s="3">
        <v>0</v>
      </c>
      <c r="Z7" s="3">
        <v>0</v>
      </c>
      <c r="AA7" s="3">
        <v>0</v>
      </c>
      <c r="AB7" s="3">
        <v>2</v>
      </c>
      <c r="AC7" s="3">
        <v>0</v>
      </c>
    </row>
    <row r="8" spans="2:29" ht="60" x14ac:dyDescent="0.25">
      <c r="B8" s="3">
        <v>46</v>
      </c>
      <c r="C8" s="3">
        <v>4600010869</v>
      </c>
      <c r="D8" s="3">
        <v>4600010896</v>
      </c>
      <c r="E8" s="3">
        <v>2020</v>
      </c>
      <c r="F8" s="12">
        <v>10256456299</v>
      </c>
      <c r="G8" s="18">
        <v>11684.234730343824</v>
      </c>
      <c r="H8" s="9" t="s">
        <v>10</v>
      </c>
      <c r="I8" s="10" t="s">
        <v>137</v>
      </c>
      <c r="J8" s="10">
        <v>1</v>
      </c>
      <c r="K8" s="10">
        <v>0</v>
      </c>
      <c r="L8" s="10">
        <v>0</v>
      </c>
      <c r="M8" s="3">
        <v>0</v>
      </c>
      <c r="N8" s="3">
        <v>3</v>
      </c>
      <c r="O8" s="3">
        <v>4632.37</v>
      </c>
      <c r="P8" s="3">
        <v>169588</v>
      </c>
      <c r="Q8" s="3">
        <v>0</v>
      </c>
      <c r="R8" s="3">
        <v>19204.5</v>
      </c>
      <c r="S8" s="3">
        <v>26.65</v>
      </c>
      <c r="T8" s="3">
        <v>4478.88</v>
      </c>
      <c r="U8" s="3">
        <v>5379.35</v>
      </c>
      <c r="V8" s="3">
        <f>1633.93/0.1</f>
        <v>16339.3</v>
      </c>
      <c r="W8" s="3">
        <f>406/0.1</f>
        <v>4060</v>
      </c>
      <c r="X8" s="3">
        <v>0</v>
      </c>
      <c r="Y8" s="3">
        <v>0</v>
      </c>
      <c r="Z8" s="3">
        <v>0</v>
      </c>
      <c r="AA8" s="3">
        <v>1</v>
      </c>
      <c r="AB8" s="3">
        <v>0</v>
      </c>
      <c r="AC8" s="3">
        <v>0</v>
      </c>
    </row>
    <row r="9" spans="2:29" ht="75" x14ac:dyDescent="0.25">
      <c r="B9" s="3">
        <v>47</v>
      </c>
      <c r="C9" s="3">
        <v>4600010884</v>
      </c>
      <c r="D9" s="3">
        <v>4600010871</v>
      </c>
      <c r="E9" s="3">
        <v>2020</v>
      </c>
      <c r="F9" s="12">
        <v>5839502164</v>
      </c>
      <c r="G9" s="18">
        <v>6652.4062506052041</v>
      </c>
      <c r="H9" s="9" t="s">
        <v>11</v>
      </c>
      <c r="I9" s="3" t="s">
        <v>122</v>
      </c>
      <c r="J9" s="3">
        <v>2</v>
      </c>
      <c r="K9" s="3">
        <v>0</v>
      </c>
      <c r="L9" s="3">
        <v>0</v>
      </c>
      <c r="M9" s="3">
        <v>0</v>
      </c>
      <c r="N9" s="3">
        <v>4</v>
      </c>
      <c r="O9" s="3">
        <v>1844.92</v>
      </c>
      <c r="P9" s="3">
        <v>284635</v>
      </c>
      <c r="Q9" s="3">
        <v>291</v>
      </c>
      <c r="R9" s="3">
        <v>27300</v>
      </c>
      <c r="S9" s="3">
        <v>10.16</v>
      </c>
      <c r="T9" s="3">
        <v>63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</row>
    <row r="10" spans="2:29" ht="60" x14ac:dyDescent="0.25">
      <c r="B10" s="3">
        <v>48</v>
      </c>
      <c r="C10" s="3">
        <v>4600012998</v>
      </c>
      <c r="D10" s="3">
        <v>4600012893</v>
      </c>
      <c r="E10" s="3">
        <v>2021</v>
      </c>
      <c r="F10" s="12">
        <v>17285386429</v>
      </c>
      <c r="G10" s="18">
        <v>19025.747671503072</v>
      </c>
      <c r="H10" s="9" t="s">
        <v>4</v>
      </c>
      <c r="I10" s="10" t="s">
        <v>138</v>
      </c>
      <c r="J10" s="10">
        <f>4+4</f>
        <v>8</v>
      </c>
      <c r="K10" s="10">
        <v>120</v>
      </c>
      <c r="L10" s="10">
        <v>1</v>
      </c>
      <c r="M10" s="3">
        <v>12</v>
      </c>
      <c r="N10" s="3">
        <v>23</v>
      </c>
      <c r="O10" s="3">
        <v>24446.6</v>
      </c>
      <c r="P10" s="3">
        <v>786908</v>
      </c>
      <c r="Q10" s="3">
        <v>1454</v>
      </c>
      <c r="R10" s="3">
        <v>382384</v>
      </c>
      <c r="S10" s="3">
        <v>123.97</v>
      </c>
      <c r="T10" s="3">
        <v>42808.47</v>
      </c>
      <c r="U10" s="10">
        <v>2296.5</v>
      </c>
      <c r="V10" s="3">
        <f>133.4/0.1</f>
        <v>1334</v>
      </c>
      <c r="W10" s="3">
        <f>3440.22/0.1</f>
        <v>34402.199999999997</v>
      </c>
      <c r="X10" s="3">
        <v>0</v>
      </c>
      <c r="Y10" s="3">
        <v>0</v>
      </c>
      <c r="Z10" s="3">
        <v>0</v>
      </c>
      <c r="AA10" s="3">
        <v>0</v>
      </c>
      <c r="AB10" s="3">
        <v>3</v>
      </c>
      <c r="AC10" s="3">
        <v>6</v>
      </c>
    </row>
    <row r="11" spans="2:29" ht="120" x14ac:dyDescent="0.25">
      <c r="B11" s="3">
        <v>49</v>
      </c>
      <c r="C11" s="3">
        <v>4600013148</v>
      </c>
      <c r="D11" s="3">
        <v>4600012908</v>
      </c>
      <c r="E11" s="3">
        <v>2021</v>
      </c>
      <c r="F11" s="12">
        <v>21621503360</v>
      </c>
      <c r="G11" s="18">
        <v>23798.442047888559</v>
      </c>
      <c r="H11" s="9" t="s">
        <v>5</v>
      </c>
      <c r="I11" s="10" t="s">
        <v>139</v>
      </c>
      <c r="J11" s="10">
        <v>11</v>
      </c>
      <c r="K11" s="10">
        <v>0</v>
      </c>
      <c r="L11" s="10">
        <v>0</v>
      </c>
      <c r="M11" s="3">
        <v>0</v>
      </c>
      <c r="N11" s="3">
        <v>31</v>
      </c>
      <c r="O11" s="3">
        <v>19047.080000000002</v>
      </c>
      <c r="P11" s="3">
        <v>463463.85</v>
      </c>
      <c r="Q11" s="3">
        <v>781</v>
      </c>
      <c r="R11" s="3">
        <v>145726.70000000001</v>
      </c>
      <c r="S11" s="3">
        <v>59.04</v>
      </c>
      <c r="T11" s="3">
        <v>85992.68</v>
      </c>
      <c r="U11" s="3">
        <v>589.01</v>
      </c>
      <c r="V11" s="3">
        <v>0</v>
      </c>
      <c r="W11" s="3">
        <f>5422.99/0.1</f>
        <v>54229.899999999994</v>
      </c>
      <c r="X11" s="3">
        <v>0</v>
      </c>
      <c r="Y11" s="3">
        <v>0</v>
      </c>
      <c r="Z11" s="3">
        <v>0</v>
      </c>
      <c r="AA11" s="3">
        <v>0</v>
      </c>
      <c r="AB11" s="3">
        <v>1</v>
      </c>
      <c r="AC11" s="3">
        <v>0</v>
      </c>
    </row>
    <row r="12" spans="2:29" ht="75" x14ac:dyDescent="0.25">
      <c r="B12" s="3">
        <v>50</v>
      </c>
      <c r="C12" s="3">
        <v>4600012737</v>
      </c>
      <c r="D12" s="3">
        <v>4600012795</v>
      </c>
      <c r="E12" s="3">
        <v>2021</v>
      </c>
      <c r="F12" s="12">
        <v>9629909830</v>
      </c>
      <c r="G12" s="18">
        <v>10599.487334429614</v>
      </c>
      <c r="H12" s="9" t="s">
        <v>6</v>
      </c>
      <c r="I12" s="10" t="s">
        <v>140</v>
      </c>
      <c r="J12" s="10">
        <v>5</v>
      </c>
      <c r="K12" s="10">
        <v>60</v>
      </c>
      <c r="L12" s="10">
        <v>0</v>
      </c>
      <c r="M12" s="3">
        <v>1</v>
      </c>
      <c r="N12" s="3">
        <v>13</v>
      </c>
      <c r="O12" s="3">
        <v>3722.2</v>
      </c>
      <c r="P12" s="3">
        <v>183500</v>
      </c>
      <c r="Q12" s="3">
        <v>1274</v>
      </c>
      <c r="R12" s="3">
        <v>329403.5</v>
      </c>
      <c r="S12" s="3">
        <v>105.3</v>
      </c>
      <c r="T12" s="3">
        <v>48582.7</v>
      </c>
      <c r="U12" s="3">
        <v>3144.9</v>
      </c>
      <c r="V12" s="3">
        <v>0</v>
      </c>
      <c r="W12" s="3">
        <f>1140/0.1</f>
        <v>11400</v>
      </c>
      <c r="X12" s="3">
        <v>0</v>
      </c>
      <c r="Y12" s="3">
        <v>0</v>
      </c>
      <c r="Z12" s="3">
        <v>0</v>
      </c>
      <c r="AA12" s="3">
        <v>0</v>
      </c>
      <c r="AB12" s="3">
        <v>1</v>
      </c>
      <c r="AC12" s="3">
        <v>0</v>
      </c>
    </row>
    <row r="13" spans="2:29" ht="60" x14ac:dyDescent="0.25">
      <c r="B13" s="3">
        <v>51</v>
      </c>
      <c r="C13" s="2">
        <v>4600014472</v>
      </c>
      <c r="D13" s="2">
        <v>4600014521</v>
      </c>
      <c r="E13" s="3">
        <v>2022</v>
      </c>
      <c r="F13" s="14">
        <v>42581904324</v>
      </c>
      <c r="G13" s="21">
        <v>42581.904324000003</v>
      </c>
      <c r="H13" s="9" t="s">
        <v>4</v>
      </c>
      <c r="I13" s="11" t="s">
        <v>141</v>
      </c>
      <c r="J13" s="10">
        <v>22</v>
      </c>
      <c r="K13" s="10">
        <v>378</v>
      </c>
      <c r="L13" s="10">
        <v>1</v>
      </c>
      <c r="M13" s="3">
        <v>16</v>
      </c>
      <c r="N13" s="5">
        <v>33</v>
      </c>
      <c r="O13" s="3">
        <v>9633</v>
      </c>
      <c r="P13" s="3">
        <v>642456.4</v>
      </c>
      <c r="Q13" s="3">
        <v>6825</v>
      </c>
      <c r="R13" s="3">
        <v>1298079.7</v>
      </c>
      <c r="S13" s="3">
        <v>461.68</v>
      </c>
      <c r="T13" s="3">
        <v>39376.699999999997</v>
      </c>
      <c r="U13" s="10">
        <v>769.1</v>
      </c>
      <c r="V13" s="3">
        <v>42053</v>
      </c>
      <c r="W13" s="3">
        <v>49606</v>
      </c>
      <c r="X13" s="3">
        <v>0</v>
      </c>
      <c r="Y13" s="3">
        <v>0</v>
      </c>
      <c r="Z13" s="3">
        <v>0</v>
      </c>
      <c r="AA13" s="3">
        <v>1</v>
      </c>
      <c r="AB13" s="3">
        <v>1</v>
      </c>
      <c r="AC13" s="3">
        <v>0</v>
      </c>
    </row>
    <row r="14" spans="2:29" ht="120" x14ac:dyDescent="0.25">
      <c r="B14" s="3">
        <v>52</v>
      </c>
      <c r="C14" s="3">
        <v>4600014620</v>
      </c>
      <c r="D14" s="3">
        <v>4600014679</v>
      </c>
      <c r="E14" s="3">
        <v>2022</v>
      </c>
      <c r="F14" s="12">
        <v>53752988912</v>
      </c>
      <c r="G14" s="21">
        <v>53752.988912000001</v>
      </c>
      <c r="H14" s="9" t="s">
        <v>5</v>
      </c>
      <c r="I14" s="10" t="s">
        <v>139</v>
      </c>
      <c r="J14" s="10">
        <v>10</v>
      </c>
      <c r="K14" s="10">
        <v>2289</v>
      </c>
      <c r="L14" s="10">
        <v>1</v>
      </c>
      <c r="M14" s="3">
        <v>15</v>
      </c>
      <c r="N14" s="5">
        <v>52</v>
      </c>
      <c r="O14" s="3">
        <v>17419.73</v>
      </c>
      <c r="P14" s="3">
        <v>496825.67</v>
      </c>
      <c r="Q14" s="3">
        <v>2832</v>
      </c>
      <c r="R14" s="3">
        <v>602578</v>
      </c>
      <c r="S14" s="3">
        <v>282.26</v>
      </c>
      <c r="T14" s="3">
        <v>17331.48</v>
      </c>
      <c r="U14" s="3">
        <v>28458.83</v>
      </c>
      <c r="V14" s="3">
        <v>0</v>
      </c>
      <c r="W14" s="3">
        <v>126253.9</v>
      </c>
      <c r="X14" s="3">
        <v>157.19999999999999</v>
      </c>
      <c r="Y14" s="3">
        <v>0</v>
      </c>
      <c r="Z14" s="3">
        <v>0</v>
      </c>
      <c r="AA14" s="3">
        <v>0</v>
      </c>
      <c r="AB14" s="3">
        <v>3</v>
      </c>
      <c r="AC14" s="3">
        <v>0</v>
      </c>
    </row>
    <row r="15" spans="2:29" ht="60" x14ac:dyDescent="0.25">
      <c r="B15" s="3">
        <v>53</v>
      </c>
      <c r="C15" s="3">
        <v>4600014079</v>
      </c>
      <c r="D15" s="3">
        <v>4600014329</v>
      </c>
      <c r="E15" s="3">
        <v>2022</v>
      </c>
      <c r="F15" s="12">
        <v>28520770272</v>
      </c>
      <c r="G15" s="21">
        <v>28520.770272000002</v>
      </c>
      <c r="H15" s="9" t="s">
        <v>6</v>
      </c>
      <c r="I15" s="10" t="s">
        <v>142</v>
      </c>
      <c r="J15" s="10">
        <v>15</v>
      </c>
      <c r="K15" s="10">
        <v>2002</v>
      </c>
      <c r="L15" s="10">
        <v>1</v>
      </c>
      <c r="M15" s="3">
        <v>17</v>
      </c>
      <c r="N15" s="5">
        <v>14</v>
      </c>
      <c r="O15" s="3">
        <v>10376.629999999999</v>
      </c>
      <c r="P15" s="3">
        <v>1057933.6499999999</v>
      </c>
      <c r="Q15" s="3">
        <v>1392</v>
      </c>
      <c r="R15" s="3">
        <v>203218.18</v>
      </c>
      <c r="S15" s="3">
        <v>135.74</v>
      </c>
      <c r="T15" s="3">
        <v>24255.22</v>
      </c>
      <c r="U15" s="3">
        <v>8861.5300000000007</v>
      </c>
      <c r="V15" s="3">
        <v>2398.5</v>
      </c>
      <c r="W15" s="3">
        <v>21201.7</v>
      </c>
      <c r="X15" s="3">
        <v>0</v>
      </c>
      <c r="Y15" s="3">
        <v>296.85000000000002</v>
      </c>
      <c r="Z15" s="3">
        <v>0</v>
      </c>
      <c r="AA15" s="3">
        <v>2</v>
      </c>
      <c r="AB15" s="3">
        <v>0</v>
      </c>
      <c r="AC15" s="3">
        <v>0</v>
      </c>
    </row>
    <row r="16" spans="2:29" x14ac:dyDescent="0.25">
      <c r="B16" s="71" t="s">
        <v>106</v>
      </c>
      <c r="C16" s="71"/>
      <c r="D16" s="71"/>
      <c r="E16" s="16"/>
      <c r="F16" s="35">
        <f>+SUM(F5:F15)</f>
        <v>217393216423</v>
      </c>
      <c r="G16" s="48">
        <f>+SUM(G5:G15)</f>
        <v>228405.34069624776</v>
      </c>
      <c r="H16" s="47"/>
      <c r="I16" s="8"/>
      <c r="J16" s="7">
        <f>SUM(J5:J15)</f>
        <v>86</v>
      </c>
      <c r="K16" s="7">
        <f t="shared" ref="K16:AC16" si="0">SUM(K5:K15)</f>
        <v>6380.82</v>
      </c>
      <c r="L16" s="7">
        <f t="shared" si="0"/>
        <v>4</v>
      </c>
      <c r="M16" s="7">
        <f t="shared" si="0"/>
        <v>65</v>
      </c>
      <c r="N16" s="7">
        <f t="shared" si="0"/>
        <v>221</v>
      </c>
      <c r="O16" s="7">
        <f t="shared" si="0"/>
        <v>148772.04</v>
      </c>
      <c r="P16" s="7">
        <f t="shared" si="0"/>
        <v>6439992.5700000003</v>
      </c>
      <c r="Q16" s="7">
        <f t="shared" si="0"/>
        <v>19758</v>
      </c>
      <c r="R16" s="7">
        <f t="shared" si="0"/>
        <v>3906382.56</v>
      </c>
      <c r="S16" s="7">
        <f t="shared" si="0"/>
        <v>1687.1299999999999</v>
      </c>
      <c r="T16" s="7">
        <f t="shared" si="0"/>
        <v>415354.36</v>
      </c>
      <c r="U16" s="7">
        <f t="shared" si="0"/>
        <v>75903.429999999993</v>
      </c>
      <c r="V16" s="7">
        <f t="shared" si="0"/>
        <v>71364.7</v>
      </c>
      <c r="W16" s="7">
        <f t="shared" si="0"/>
        <v>314901.89999999997</v>
      </c>
      <c r="X16" s="7">
        <f t="shared" si="0"/>
        <v>157.19999999999999</v>
      </c>
      <c r="Y16" s="7">
        <f t="shared" si="0"/>
        <v>296.85000000000002</v>
      </c>
      <c r="Z16" s="7">
        <f t="shared" si="0"/>
        <v>0</v>
      </c>
      <c r="AA16" s="7">
        <f t="shared" si="0"/>
        <v>6</v>
      </c>
      <c r="AB16" s="7">
        <f t="shared" si="0"/>
        <v>12</v>
      </c>
      <c r="AC16" s="7">
        <f t="shared" si="0"/>
        <v>6</v>
      </c>
    </row>
  </sheetData>
  <autoFilter ref="I3:I15" xr:uid="{0142BBB0-1F17-4436-8486-C55966B2FAB8}"/>
  <mergeCells count="20">
    <mergeCell ref="B2:AC2"/>
    <mergeCell ref="B3:B4"/>
    <mergeCell ref="C3:C4"/>
    <mergeCell ref="D3:D4"/>
    <mergeCell ref="E3:E4"/>
    <mergeCell ref="F3:F4"/>
    <mergeCell ref="G3:G4"/>
    <mergeCell ref="H3:H4"/>
    <mergeCell ref="I3:I4"/>
    <mergeCell ref="J3:M3"/>
    <mergeCell ref="V3:Z3"/>
    <mergeCell ref="AA3:AB3"/>
    <mergeCell ref="AC3:AC4"/>
    <mergeCell ref="T3:T4"/>
    <mergeCell ref="U3:U4"/>
    <mergeCell ref="B16:D16"/>
    <mergeCell ref="N3:N4"/>
    <mergeCell ref="O3:O4"/>
    <mergeCell ref="P3:P4"/>
    <mergeCell ref="Q3:S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60195-790D-442D-853A-A99FE79629A0}">
  <dimension ref="B2:X10"/>
  <sheetViews>
    <sheetView zoomScale="60" zoomScaleNormal="60" workbookViewId="0"/>
  </sheetViews>
  <sheetFormatPr baseColWidth="10" defaultRowHeight="15" x14ac:dyDescent="0.25"/>
  <cols>
    <col min="1" max="1" width="11.42578125" style="1"/>
    <col min="2" max="2" width="20.42578125" style="1" bestFit="1" customWidth="1"/>
    <col min="3" max="3" width="26.5703125" style="1" bestFit="1" customWidth="1"/>
    <col min="4" max="4" width="21.7109375" style="1" customWidth="1"/>
    <col min="5" max="9" width="11.42578125" style="1"/>
    <col min="10" max="10" width="24.85546875" style="1" customWidth="1"/>
    <col min="11" max="11" width="29.140625" style="1" bestFit="1" customWidth="1"/>
    <col min="12" max="12" width="11.42578125" style="1"/>
    <col min="13" max="13" width="12.42578125" style="1" bestFit="1" customWidth="1"/>
    <col min="14" max="14" width="11.42578125" style="1"/>
    <col min="15" max="15" width="38" style="1" bestFit="1" customWidth="1"/>
    <col min="16" max="18" width="11.42578125" style="1"/>
    <col min="19" max="19" width="13.5703125" style="1" bestFit="1" customWidth="1"/>
    <col min="20" max="21" width="11.42578125" style="1"/>
    <col min="22" max="22" width="13.85546875" style="1" customWidth="1"/>
    <col min="23" max="23" width="14.42578125" style="1" customWidth="1"/>
    <col min="24" max="16384" width="11.42578125" style="1"/>
  </cols>
  <sheetData>
    <row r="2" spans="2:24" x14ac:dyDescent="0.25">
      <c r="B2" s="71" t="s">
        <v>208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</row>
    <row r="3" spans="2:24" ht="15" customHeight="1" x14ac:dyDescent="0.25">
      <c r="B3" s="92" t="s">
        <v>204</v>
      </c>
      <c r="C3" s="70" t="s">
        <v>194</v>
      </c>
      <c r="D3" s="70" t="s">
        <v>196</v>
      </c>
      <c r="E3" s="81" t="s">
        <v>189</v>
      </c>
      <c r="F3" s="82"/>
      <c r="G3" s="82"/>
      <c r="H3" s="83"/>
      <c r="I3" s="70" t="s">
        <v>183</v>
      </c>
      <c r="J3" s="70" t="s">
        <v>181</v>
      </c>
      <c r="K3" s="70" t="s">
        <v>112</v>
      </c>
      <c r="L3" s="71" t="s">
        <v>97</v>
      </c>
      <c r="M3" s="71"/>
      <c r="N3" s="71"/>
      <c r="O3" s="70" t="s">
        <v>113</v>
      </c>
      <c r="P3" s="70" t="s">
        <v>172</v>
      </c>
      <c r="Q3" s="71" t="s">
        <v>101</v>
      </c>
      <c r="R3" s="71"/>
      <c r="S3" s="71"/>
      <c r="T3" s="71"/>
      <c r="U3" s="71"/>
      <c r="V3" s="71" t="s">
        <v>177</v>
      </c>
      <c r="W3" s="71"/>
      <c r="X3" s="70" t="s">
        <v>187</v>
      </c>
    </row>
    <row r="4" spans="2:24" ht="48.75" customHeight="1" x14ac:dyDescent="0.25">
      <c r="B4" s="93"/>
      <c r="C4" s="70"/>
      <c r="D4" s="70"/>
      <c r="E4" s="23" t="s">
        <v>188</v>
      </c>
      <c r="F4" s="23" t="s">
        <v>171</v>
      </c>
      <c r="G4" s="23" t="s">
        <v>190</v>
      </c>
      <c r="H4" s="23" t="s">
        <v>191</v>
      </c>
      <c r="I4" s="70"/>
      <c r="J4" s="70"/>
      <c r="K4" s="70"/>
      <c r="L4" s="23" t="s">
        <v>107</v>
      </c>
      <c r="M4" s="23" t="s">
        <v>108</v>
      </c>
      <c r="N4" s="7" t="s">
        <v>109</v>
      </c>
      <c r="O4" s="70"/>
      <c r="P4" s="70"/>
      <c r="Q4" s="23" t="s">
        <v>173</v>
      </c>
      <c r="R4" s="23" t="s">
        <v>180</v>
      </c>
      <c r="S4" s="7" t="s">
        <v>174</v>
      </c>
      <c r="T4" s="23" t="s">
        <v>175</v>
      </c>
      <c r="U4" s="23" t="s">
        <v>176</v>
      </c>
      <c r="V4" s="23" t="s">
        <v>178</v>
      </c>
      <c r="W4" s="23" t="s">
        <v>179</v>
      </c>
      <c r="X4" s="70"/>
    </row>
    <row r="5" spans="2:24" x14ac:dyDescent="0.25">
      <c r="B5" s="3" t="s">
        <v>205</v>
      </c>
      <c r="C5" s="46">
        <f>+'Administración 2012-2015'!F23</f>
        <v>335325116527</v>
      </c>
      <c r="D5" s="38">
        <f>+'Administración 2012-2015'!G23</f>
        <v>565281.26802501921</v>
      </c>
      <c r="E5" s="3">
        <v>445</v>
      </c>
      <c r="F5" s="3">
        <v>16255.720000000001</v>
      </c>
      <c r="G5" s="3">
        <v>45</v>
      </c>
      <c r="H5" s="3">
        <v>73</v>
      </c>
      <c r="I5" s="3">
        <v>372</v>
      </c>
      <c r="J5" s="3">
        <v>1045482.0599999998</v>
      </c>
      <c r="K5" s="3">
        <v>22825711.199999999</v>
      </c>
      <c r="L5" s="3">
        <v>47621.7</v>
      </c>
      <c r="M5" s="3">
        <v>6417877.6400000006</v>
      </c>
      <c r="N5" s="3">
        <v>4454.6400000000003</v>
      </c>
      <c r="O5" s="3">
        <v>1238670.8900000001</v>
      </c>
      <c r="P5" s="3">
        <v>0</v>
      </c>
      <c r="Q5" s="3">
        <v>123970.59999999999</v>
      </c>
      <c r="R5" s="3">
        <v>462890</v>
      </c>
      <c r="S5" s="3">
        <v>0</v>
      </c>
      <c r="T5" s="3">
        <v>73345</v>
      </c>
      <c r="U5" s="3">
        <v>81234.3</v>
      </c>
      <c r="V5" s="3">
        <v>11</v>
      </c>
      <c r="W5" s="3">
        <v>9</v>
      </c>
      <c r="X5" s="3">
        <v>2695</v>
      </c>
    </row>
    <row r="6" spans="2:24" x14ac:dyDescent="0.25">
      <c r="B6" s="3" t="s">
        <v>206</v>
      </c>
      <c r="C6" s="50">
        <f>+'Administración 2016-2019'!F29</f>
        <v>128581016590</v>
      </c>
      <c r="D6" s="38">
        <f>+'Administración 2016-2019'!G29</f>
        <v>170093.34110968493</v>
      </c>
      <c r="E6" s="3">
        <v>204</v>
      </c>
      <c r="F6" s="3">
        <v>10779.699999999999</v>
      </c>
      <c r="G6" s="3">
        <v>4</v>
      </c>
      <c r="H6" s="3">
        <v>39</v>
      </c>
      <c r="I6" s="3">
        <v>314</v>
      </c>
      <c r="J6" s="3">
        <v>210711.81999999995</v>
      </c>
      <c r="K6" s="3">
        <v>12721897.1</v>
      </c>
      <c r="L6" s="3">
        <v>45240</v>
      </c>
      <c r="M6" s="3">
        <v>6489886.4800000004</v>
      </c>
      <c r="N6" s="3">
        <v>3665.7299999999991</v>
      </c>
      <c r="O6" s="51">
        <v>772964.79000000015</v>
      </c>
      <c r="P6" s="3">
        <v>16051.3</v>
      </c>
      <c r="Q6" s="3">
        <v>93498.4</v>
      </c>
      <c r="R6" s="3">
        <v>93722.9</v>
      </c>
      <c r="S6" s="3">
        <v>0</v>
      </c>
      <c r="T6" s="3">
        <v>15103.3</v>
      </c>
      <c r="U6" s="3">
        <v>17273.599999999999</v>
      </c>
      <c r="V6" s="3">
        <v>2</v>
      </c>
      <c r="W6" s="3">
        <v>9</v>
      </c>
      <c r="X6" s="3">
        <v>181</v>
      </c>
    </row>
    <row r="7" spans="2:24" x14ac:dyDescent="0.25">
      <c r="B7" s="3" t="s">
        <v>207</v>
      </c>
      <c r="C7" s="50">
        <f>+'Administración 2020-2023'!F16</f>
        <v>217393216423</v>
      </c>
      <c r="D7" s="38">
        <f>+'Administración 2020-2023'!G16</f>
        <v>228405.34069624776</v>
      </c>
      <c r="E7" s="3">
        <v>86</v>
      </c>
      <c r="F7" s="3">
        <v>6380.82</v>
      </c>
      <c r="G7" s="3">
        <v>4</v>
      </c>
      <c r="H7" s="3">
        <v>65</v>
      </c>
      <c r="I7" s="3">
        <v>221</v>
      </c>
      <c r="J7" s="3">
        <v>148772.04</v>
      </c>
      <c r="K7" s="3">
        <v>6439992.5700000003</v>
      </c>
      <c r="L7" s="3">
        <v>19758</v>
      </c>
      <c r="M7" s="3">
        <v>3906382.56</v>
      </c>
      <c r="N7" s="3">
        <v>1687.1299999999999</v>
      </c>
      <c r="O7" s="51">
        <v>415354.36</v>
      </c>
      <c r="P7" s="3">
        <v>75903.429999999993</v>
      </c>
      <c r="Q7" s="3">
        <v>71364.7</v>
      </c>
      <c r="R7" s="3">
        <v>314901.89999999997</v>
      </c>
      <c r="S7" s="3">
        <v>157.19999999999999</v>
      </c>
      <c r="T7" s="3">
        <v>296.85000000000002</v>
      </c>
      <c r="U7" s="3">
        <v>0</v>
      </c>
      <c r="V7" s="3">
        <v>6</v>
      </c>
      <c r="W7" s="3">
        <v>12</v>
      </c>
      <c r="X7" s="3">
        <v>6</v>
      </c>
    </row>
    <row r="8" spans="2:24" x14ac:dyDescent="0.25">
      <c r="B8" s="7" t="s">
        <v>106</v>
      </c>
      <c r="C8" s="50">
        <f>+SUM(C5:C7)</f>
        <v>681299349540</v>
      </c>
      <c r="D8" s="38">
        <f t="shared" ref="D8:X8" si="0">+SUM(D5:D7)</f>
        <v>963779.94983095187</v>
      </c>
      <c r="E8" s="38">
        <f t="shared" si="0"/>
        <v>735</v>
      </c>
      <c r="F8" s="38">
        <f t="shared" si="0"/>
        <v>33416.239999999998</v>
      </c>
      <c r="G8" s="38">
        <f t="shared" si="0"/>
        <v>53</v>
      </c>
      <c r="H8" s="38">
        <f t="shared" si="0"/>
        <v>177</v>
      </c>
      <c r="I8" s="38">
        <f t="shared" si="0"/>
        <v>907</v>
      </c>
      <c r="J8" s="38">
        <f t="shared" si="0"/>
        <v>1404965.92</v>
      </c>
      <c r="K8" s="38">
        <f t="shared" si="0"/>
        <v>41987600.869999997</v>
      </c>
      <c r="L8" s="38">
        <f t="shared" si="0"/>
        <v>112619.7</v>
      </c>
      <c r="M8" s="38">
        <f t="shared" si="0"/>
        <v>16814146.68</v>
      </c>
      <c r="N8" s="38">
        <f t="shared" si="0"/>
        <v>9807.4999999999982</v>
      </c>
      <c r="O8" s="38">
        <f t="shared" si="0"/>
        <v>2426990.04</v>
      </c>
      <c r="P8" s="38">
        <f t="shared" si="0"/>
        <v>91954.73</v>
      </c>
      <c r="Q8" s="38">
        <f t="shared" si="0"/>
        <v>288833.7</v>
      </c>
      <c r="R8" s="38">
        <f t="shared" si="0"/>
        <v>871514.8</v>
      </c>
      <c r="S8" s="38">
        <f t="shared" si="0"/>
        <v>157.19999999999999</v>
      </c>
      <c r="T8" s="38">
        <f t="shared" si="0"/>
        <v>88745.150000000009</v>
      </c>
      <c r="U8" s="38">
        <f t="shared" si="0"/>
        <v>98507.9</v>
      </c>
      <c r="V8" s="38">
        <f t="shared" si="0"/>
        <v>19</v>
      </c>
      <c r="W8" s="38">
        <f t="shared" si="0"/>
        <v>30</v>
      </c>
      <c r="X8" s="38">
        <f t="shared" si="0"/>
        <v>2882</v>
      </c>
    </row>
    <row r="9" spans="2:24" x14ac:dyDescent="0.25">
      <c r="C9" s="57"/>
    </row>
    <row r="10" spans="2:24" x14ac:dyDescent="0.25">
      <c r="D10" s="56"/>
    </row>
  </sheetData>
  <mergeCells count="14">
    <mergeCell ref="B2:X2"/>
    <mergeCell ref="B3:B4"/>
    <mergeCell ref="C3:C4"/>
    <mergeCell ref="D3:D4"/>
    <mergeCell ref="E3:H3"/>
    <mergeCell ref="Q3:U3"/>
    <mergeCell ref="V3:W3"/>
    <mergeCell ref="X3:X4"/>
    <mergeCell ref="I3:I4"/>
    <mergeCell ref="J3:J4"/>
    <mergeCell ref="K3:K4"/>
    <mergeCell ref="L3:N3"/>
    <mergeCell ref="O3:O4"/>
    <mergeCell ref="P3:P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B24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4.5703125" style="1" customWidth="1"/>
    <col min="3" max="3" width="18.85546875" style="1" bestFit="1" customWidth="1"/>
    <col min="4" max="4" width="17" style="1" customWidth="1"/>
    <col min="5" max="5" width="33.140625" style="1" bestFit="1" customWidth="1"/>
    <col min="6" max="6" width="21" style="1" customWidth="1"/>
    <col min="7" max="7" width="45.42578125" style="1" customWidth="1"/>
    <col min="8" max="12" width="23" style="1" customWidth="1"/>
    <col min="13" max="13" width="19" style="1" bestFit="1" customWidth="1"/>
    <col min="14" max="14" width="24.42578125" style="1" customWidth="1"/>
    <col min="15" max="16" width="21.140625" style="1" customWidth="1"/>
    <col min="17" max="19" width="26.7109375" style="1" customWidth="1"/>
    <col min="20" max="22" width="25.85546875" style="1" customWidth="1"/>
    <col min="23" max="23" width="21.7109375" style="1" customWidth="1"/>
    <col min="24" max="25" width="19.28515625" style="1" bestFit="1" customWidth="1"/>
    <col min="26" max="26" width="12.42578125" style="1" bestFit="1" customWidth="1"/>
    <col min="27" max="27" width="12.5703125" style="1" bestFit="1" customWidth="1"/>
    <col min="28" max="28" width="14.85546875" style="1" customWidth="1"/>
    <col min="29" max="16384" width="11.42578125" style="1"/>
  </cols>
  <sheetData>
    <row r="2" spans="2:28" x14ac:dyDescent="0.25">
      <c r="B2" s="71" t="s">
        <v>98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86" t="s">
        <v>2</v>
      </c>
      <c r="D3" s="70" t="s">
        <v>96</v>
      </c>
      <c r="E3" s="70" t="s">
        <v>115</v>
      </c>
      <c r="F3" s="70" t="s">
        <v>151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87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23" t="s">
        <v>107</v>
      </c>
      <c r="Q4" s="23" t="s">
        <v>108</v>
      </c>
      <c r="R4" s="7" t="s">
        <v>109</v>
      </c>
      <c r="S4" s="70"/>
      <c r="T4" s="70"/>
      <c r="U4" s="7" t="s">
        <v>173</v>
      </c>
      <c r="V4" s="23" t="s">
        <v>180</v>
      </c>
      <c r="W4" s="7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75" x14ac:dyDescent="0.25">
      <c r="B5" s="3">
        <v>1</v>
      </c>
      <c r="C5" s="3" t="s">
        <v>78</v>
      </c>
      <c r="D5" s="3" t="s">
        <v>79</v>
      </c>
      <c r="E5" s="12">
        <v>4474359011</v>
      </c>
      <c r="F5" s="18">
        <f t="shared" ref="F5:F10" si="0">E5/$E$24</f>
        <v>7895.4632274572086</v>
      </c>
      <c r="G5" s="9" t="s">
        <v>80</v>
      </c>
      <c r="H5" s="10" t="s">
        <v>117</v>
      </c>
      <c r="I5" s="10">
        <v>5</v>
      </c>
      <c r="J5" s="10">
        <v>0</v>
      </c>
      <c r="K5" s="10">
        <v>0</v>
      </c>
      <c r="L5" s="3">
        <v>3</v>
      </c>
      <c r="M5" s="3">
        <f>1+2+1</f>
        <v>4</v>
      </c>
      <c r="N5" s="3">
        <v>25472.11</v>
      </c>
      <c r="O5" s="3">
        <v>2866.68</v>
      </c>
      <c r="P5" s="3">
        <v>1954</v>
      </c>
      <c r="Q5" s="3">
        <v>249934.05</v>
      </c>
      <c r="R5" s="3">
        <v>609.80999999999995</v>
      </c>
      <c r="S5" s="3">
        <v>21224.25</v>
      </c>
      <c r="T5" s="31">
        <v>0</v>
      </c>
      <c r="U5" s="32">
        <v>0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1</v>
      </c>
      <c r="AB5" s="32">
        <v>0</v>
      </c>
    </row>
    <row r="6" spans="2:28" ht="75" x14ac:dyDescent="0.25">
      <c r="B6" s="3">
        <v>2</v>
      </c>
      <c r="C6" s="3" t="s">
        <v>86</v>
      </c>
      <c r="D6" s="3" t="s">
        <v>91</v>
      </c>
      <c r="E6" s="12">
        <v>2157100125</v>
      </c>
      <c r="F6" s="18">
        <f t="shared" si="0"/>
        <v>3806.4233721545793</v>
      </c>
      <c r="G6" s="9" t="s">
        <v>81</v>
      </c>
      <c r="H6" s="10" t="s">
        <v>118</v>
      </c>
      <c r="I6" s="10">
        <v>1</v>
      </c>
      <c r="J6" s="10">
        <v>0</v>
      </c>
      <c r="K6" s="10">
        <v>1</v>
      </c>
      <c r="L6" s="3">
        <v>0</v>
      </c>
      <c r="M6" s="3">
        <f>1+1</f>
        <v>2</v>
      </c>
      <c r="N6" s="3">
        <v>24490.18</v>
      </c>
      <c r="O6" s="3">
        <v>525715.30000000005</v>
      </c>
      <c r="P6" s="3">
        <v>756</v>
      </c>
      <c r="Q6" s="3">
        <v>34913.800000000003</v>
      </c>
      <c r="R6" s="3">
        <v>69.11</v>
      </c>
      <c r="S6" s="3">
        <v>12455.09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</row>
    <row r="7" spans="2:28" ht="45" x14ac:dyDescent="0.25">
      <c r="B7" s="3">
        <v>3</v>
      </c>
      <c r="C7" s="3" t="s">
        <v>87</v>
      </c>
      <c r="D7" s="3" t="s">
        <v>92</v>
      </c>
      <c r="E7" s="12">
        <v>5062209846</v>
      </c>
      <c r="F7" s="18">
        <f t="shared" si="0"/>
        <v>8932.7860349391212</v>
      </c>
      <c r="G7" s="9" t="s">
        <v>82</v>
      </c>
      <c r="H7" s="10" t="s">
        <v>119</v>
      </c>
      <c r="I7" s="10">
        <v>0</v>
      </c>
      <c r="J7" s="10">
        <v>0</v>
      </c>
      <c r="K7" s="10">
        <v>0</v>
      </c>
      <c r="L7" s="3">
        <v>1</v>
      </c>
      <c r="M7" s="3">
        <v>2</v>
      </c>
      <c r="N7" s="3">
        <v>19645.849999999999</v>
      </c>
      <c r="O7" s="3">
        <v>428855</v>
      </c>
      <c r="P7" s="3">
        <v>4815.7</v>
      </c>
      <c r="Q7" s="3">
        <v>460920</v>
      </c>
      <c r="R7" s="3">
        <v>211.03</v>
      </c>
      <c r="S7" s="3">
        <v>39375.339999999997</v>
      </c>
      <c r="T7" s="32">
        <v>0</v>
      </c>
      <c r="U7" s="32">
        <v>0</v>
      </c>
      <c r="V7" s="3">
        <f>213.29/0.1</f>
        <v>2132.8999999999996</v>
      </c>
      <c r="W7" s="32">
        <v>0</v>
      </c>
      <c r="X7" s="32">
        <v>0</v>
      </c>
      <c r="Y7" s="32">
        <v>0</v>
      </c>
      <c r="Z7" s="3">
        <v>0</v>
      </c>
      <c r="AA7" s="3">
        <v>0</v>
      </c>
      <c r="AB7" s="32">
        <v>72</v>
      </c>
    </row>
    <row r="8" spans="2:28" ht="60" x14ac:dyDescent="0.25">
      <c r="B8" s="3">
        <v>4</v>
      </c>
      <c r="C8" s="3" t="s">
        <v>88</v>
      </c>
      <c r="D8" s="3" t="s">
        <v>93</v>
      </c>
      <c r="E8" s="12">
        <v>2235162975</v>
      </c>
      <c r="F8" s="18">
        <f t="shared" si="0"/>
        <v>3944.1732398094232</v>
      </c>
      <c r="G8" s="9" t="s">
        <v>83</v>
      </c>
      <c r="H8" s="10" t="s">
        <v>120</v>
      </c>
      <c r="I8" s="10">
        <v>8</v>
      </c>
      <c r="J8" s="10">
        <v>0</v>
      </c>
      <c r="K8" s="10">
        <v>0</v>
      </c>
      <c r="L8" s="3">
        <v>0</v>
      </c>
      <c r="M8" s="3">
        <v>1</v>
      </c>
      <c r="N8" s="3">
        <v>26178.5</v>
      </c>
      <c r="O8" s="3">
        <v>634461.25</v>
      </c>
      <c r="P8" s="3">
        <v>479</v>
      </c>
      <c r="Q8" s="3">
        <v>0</v>
      </c>
      <c r="R8" s="3">
        <v>59.56</v>
      </c>
      <c r="S8" s="3">
        <v>3333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">
        <v>0</v>
      </c>
      <c r="AA8" s="3">
        <v>0</v>
      </c>
      <c r="AB8" s="32">
        <v>0</v>
      </c>
    </row>
    <row r="9" spans="2:28" ht="45" x14ac:dyDescent="0.25">
      <c r="B9" s="3">
        <v>5</v>
      </c>
      <c r="C9" s="3" t="s">
        <v>89</v>
      </c>
      <c r="D9" s="3" t="s">
        <v>94</v>
      </c>
      <c r="E9" s="12">
        <v>5464669932</v>
      </c>
      <c r="F9" s="18">
        <f t="shared" si="0"/>
        <v>9642.9679407093699</v>
      </c>
      <c r="G9" s="9" t="s">
        <v>84</v>
      </c>
      <c r="H9" s="10" t="s">
        <v>121</v>
      </c>
      <c r="I9" s="10">
        <v>3</v>
      </c>
      <c r="J9" s="10">
        <v>0</v>
      </c>
      <c r="K9" s="10">
        <v>0</v>
      </c>
      <c r="L9" s="3">
        <v>1</v>
      </c>
      <c r="M9" s="3">
        <f>1+3+1</f>
        <v>5</v>
      </c>
      <c r="N9" s="3">
        <v>52150.8</v>
      </c>
      <c r="O9" s="3">
        <v>2093944</v>
      </c>
      <c r="P9" s="3">
        <v>4226</v>
      </c>
      <c r="Q9" s="3">
        <v>174257.5</v>
      </c>
      <c r="R9" s="3">
        <v>272.3</v>
      </c>
      <c r="S9" s="3">
        <v>22099.5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2">
        <v>0</v>
      </c>
    </row>
    <row r="10" spans="2:28" ht="75" x14ac:dyDescent="0.25">
      <c r="B10" s="3">
        <v>6</v>
      </c>
      <c r="C10" s="3" t="s">
        <v>90</v>
      </c>
      <c r="D10" s="3" t="s">
        <v>95</v>
      </c>
      <c r="E10" s="12">
        <v>4256027853</v>
      </c>
      <c r="F10" s="18">
        <f t="shared" si="0"/>
        <v>7510.1956114346212</v>
      </c>
      <c r="G10" s="9" t="s">
        <v>85</v>
      </c>
      <c r="H10" s="10" t="s">
        <v>122</v>
      </c>
      <c r="I10" s="10">
        <v>0</v>
      </c>
      <c r="J10" s="10">
        <v>0</v>
      </c>
      <c r="K10" s="10">
        <v>0</v>
      </c>
      <c r="L10" s="3">
        <v>0</v>
      </c>
      <c r="M10" s="3">
        <v>3</v>
      </c>
      <c r="N10" s="3">
        <v>25548.87</v>
      </c>
      <c r="O10" s="3">
        <v>1376742.83</v>
      </c>
      <c r="P10" s="3">
        <v>1740</v>
      </c>
      <c r="Q10" s="3">
        <v>273091.5</v>
      </c>
      <c r="R10" s="3">
        <v>76.37</v>
      </c>
      <c r="S10" s="3">
        <v>21773.759999999998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">
        <v>0</v>
      </c>
      <c r="AA10" s="3">
        <v>0</v>
      </c>
      <c r="AB10" s="32">
        <v>3</v>
      </c>
    </row>
    <row r="11" spans="2:28" s="24" customFormat="1" x14ac:dyDescent="0.25">
      <c r="B11" s="71" t="s">
        <v>106</v>
      </c>
      <c r="C11" s="71"/>
      <c r="D11" s="71"/>
      <c r="E11" s="15">
        <f>SUM(E5:E10)</f>
        <v>23649529742</v>
      </c>
      <c r="F11" s="28">
        <f>SUM(F5:F10)</f>
        <v>41732.00942650433</v>
      </c>
      <c r="G11" s="58"/>
      <c r="H11" s="58"/>
      <c r="I11" s="7">
        <f>SUM(I5:I10)</f>
        <v>17</v>
      </c>
      <c r="J11" s="7">
        <f>SUM(J5:J10)</f>
        <v>0</v>
      </c>
      <c r="K11" s="7">
        <f>SUM(K5:K10)</f>
        <v>1</v>
      </c>
      <c r="L11" s="7">
        <f>SUM(L5:L10)</f>
        <v>5</v>
      </c>
      <c r="M11" s="7">
        <f t="shared" ref="M11:AB11" si="1">SUM(M5:M10)</f>
        <v>17</v>
      </c>
      <c r="N11" s="7">
        <f t="shared" si="1"/>
        <v>173486.31</v>
      </c>
      <c r="O11" s="7">
        <f t="shared" si="1"/>
        <v>5062585.0600000005</v>
      </c>
      <c r="P11" s="7">
        <f t="shared" si="1"/>
        <v>13970.7</v>
      </c>
      <c r="Q11" s="7">
        <f t="shared" si="1"/>
        <v>1193116.8500000001</v>
      </c>
      <c r="R11" s="7">
        <f t="shared" si="1"/>
        <v>1298.1799999999998</v>
      </c>
      <c r="S11" s="7">
        <f t="shared" si="1"/>
        <v>120260.93999999999</v>
      </c>
      <c r="T11" s="7">
        <f t="shared" si="1"/>
        <v>0</v>
      </c>
      <c r="U11" s="7">
        <f t="shared" si="1"/>
        <v>0</v>
      </c>
      <c r="V11" s="7">
        <f t="shared" si="1"/>
        <v>2132.8999999999996</v>
      </c>
      <c r="W11" s="7">
        <f t="shared" si="1"/>
        <v>0</v>
      </c>
      <c r="X11" s="7">
        <f t="shared" si="1"/>
        <v>0</v>
      </c>
      <c r="Y11" s="7">
        <f t="shared" si="1"/>
        <v>0</v>
      </c>
      <c r="Z11" s="7">
        <f t="shared" si="1"/>
        <v>0</v>
      </c>
      <c r="AA11" s="7">
        <f t="shared" si="1"/>
        <v>1</v>
      </c>
      <c r="AB11" s="7">
        <f t="shared" si="1"/>
        <v>75</v>
      </c>
    </row>
    <row r="12" spans="2:28" s="24" customFormat="1" x14ac:dyDescent="0.25">
      <c r="E12" s="25"/>
    </row>
    <row r="13" spans="2:28" s="24" customFormat="1" x14ac:dyDescent="0.25">
      <c r="E13" s="25"/>
    </row>
    <row r="14" spans="2:28" s="24" customFormat="1" x14ac:dyDescent="0.25">
      <c r="B14" s="77" t="s">
        <v>104</v>
      </c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</row>
    <row r="15" spans="2:28" s="24" customFormat="1" x14ac:dyDescent="0.25">
      <c r="B15" s="78" t="s">
        <v>102</v>
      </c>
      <c r="C15" s="79"/>
      <c r="D15" s="80"/>
      <c r="E15" s="78" t="s">
        <v>103</v>
      </c>
      <c r="F15" s="79"/>
      <c r="G15" s="79"/>
      <c r="H15" s="79"/>
      <c r="I15" s="79"/>
      <c r="J15" s="79"/>
      <c r="K15" s="79"/>
      <c r="L15" s="79"/>
      <c r="M15" s="80"/>
    </row>
    <row r="16" spans="2:28" s="24" customFormat="1" x14ac:dyDescent="0.25">
      <c r="B16" s="84" t="s">
        <v>171</v>
      </c>
      <c r="C16" s="84"/>
      <c r="D16" s="84"/>
      <c r="E16" s="76" t="s">
        <v>182</v>
      </c>
      <c r="F16" s="74"/>
      <c r="G16" s="74"/>
      <c r="H16" s="74"/>
      <c r="I16" s="74"/>
      <c r="J16" s="74"/>
      <c r="K16" s="74"/>
      <c r="L16" s="74"/>
      <c r="M16" s="75"/>
    </row>
    <row r="17" spans="2:21" s="24" customFormat="1" x14ac:dyDescent="0.25">
      <c r="B17" s="84" t="s">
        <v>183</v>
      </c>
      <c r="C17" s="84"/>
      <c r="D17" s="84"/>
      <c r="E17" s="76" t="s">
        <v>111</v>
      </c>
      <c r="F17" s="74"/>
      <c r="G17" s="74"/>
      <c r="H17" s="74"/>
      <c r="I17" s="74"/>
      <c r="J17" s="74"/>
      <c r="K17" s="74"/>
      <c r="L17" s="74"/>
      <c r="M17" s="75"/>
    </row>
    <row r="18" spans="2:21" s="24" customFormat="1" x14ac:dyDescent="0.25">
      <c r="B18" s="84" t="s">
        <v>100</v>
      </c>
      <c r="C18" s="84"/>
      <c r="D18" s="84"/>
      <c r="E18" s="76" t="s">
        <v>200</v>
      </c>
      <c r="F18" s="74"/>
      <c r="G18" s="74"/>
      <c r="H18" s="74"/>
      <c r="I18" s="74"/>
      <c r="J18" s="74"/>
      <c r="K18" s="74"/>
      <c r="L18" s="74"/>
      <c r="M18" s="75"/>
    </row>
    <row r="19" spans="2:21" s="24" customFormat="1" ht="25.5" customHeight="1" x14ac:dyDescent="0.25">
      <c r="B19" s="72" t="s">
        <v>181</v>
      </c>
      <c r="C19" s="72"/>
      <c r="D19" s="72"/>
      <c r="E19" s="73" t="s">
        <v>184</v>
      </c>
      <c r="F19" s="74"/>
      <c r="G19" s="74"/>
      <c r="H19" s="74"/>
      <c r="I19" s="74"/>
      <c r="J19" s="74"/>
      <c r="K19" s="74"/>
      <c r="L19" s="74"/>
      <c r="M19" s="75"/>
    </row>
    <row r="20" spans="2:21" x14ac:dyDescent="0.25">
      <c r="B20" s="76" t="s">
        <v>112</v>
      </c>
      <c r="C20" s="74"/>
      <c r="D20" s="75"/>
      <c r="E20" s="76" t="s">
        <v>186</v>
      </c>
      <c r="F20" s="74"/>
      <c r="G20" s="74"/>
      <c r="H20" s="74"/>
      <c r="I20" s="74"/>
      <c r="J20" s="74"/>
      <c r="K20" s="74"/>
      <c r="L20" s="74"/>
      <c r="M20" s="75"/>
      <c r="U20" s="24"/>
    </row>
    <row r="21" spans="2:21" x14ac:dyDescent="0.25">
      <c r="B21" s="84" t="s">
        <v>97</v>
      </c>
      <c r="C21" s="84"/>
      <c r="D21" s="84"/>
      <c r="E21" s="76" t="s">
        <v>105</v>
      </c>
      <c r="F21" s="74"/>
      <c r="G21" s="74"/>
      <c r="H21" s="74"/>
      <c r="I21" s="74"/>
      <c r="J21" s="74"/>
      <c r="K21" s="74"/>
      <c r="L21" s="74"/>
      <c r="M21" s="75"/>
    </row>
    <row r="24" spans="2:21" x14ac:dyDescent="0.25">
      <c r="C24" s="78" t="s">
        <v>110</v>
      </c>
      <c r="D24" s="80"/>
      <c r="E24" s="17">
        <v>566700</v>
      </c>
    </row>
  </sheetData>
  <mergeCells count="36">
    <mergeCell ref="C24:D24"/>
    <mergeCell ref="F3:F4"/>
    <mergeCell ref="B11:D11"/>
    <mergeCell ref="Z3:AA3"/>
    <mergeCell ref="U3:Y3"/>
    <mergeCell ref="S3:S4"/>
    <mergeCell ref="B3:B4"/>
    <mergeCell ref="P3:R3"/>
    <mergeCell ref="C3:C4"/>
    <mergeCell ref="D3:D4"/>
    <mergeCell ref="M3:M4"/>
    <mergeCell ref="O3:O4"/>
    <mergeCell ref="E3:E4"/>
    <mergeCell ref="G3:G4"/>
    <mergeCell ref="H3:H4"/>
    <mergeCell ref="B21:D21"/>
    <mergeCell ref="E21:M21"/>
    <mergeCell ref="B16:D16"/>
    <mergeCell ref="E16:M16"/>
    <mergeCell ref="B17:D17"/>
    <mergeCell ref="E17:M17"/>
    <mergeCell ref="B18:D18"/>
    <mergeCell ref="E18:M18"/>
    <mergeCell ref="AB3:AB4"/>
    <mergeCell ref="B2:AB2"/>
    <mergeCell ref="B19:D19"/>
    <mergeCell ref="E19:M19"/>
    <mergeCell ref="B20:D20"/>
    <mergeCell ref="E20:M20"/>
    <mergeCell ref="T3:T4"/>
    <mergeCell ref="N3:N4"/>
    <mergeCell ref="B14:M14"/>
    <mergeCell ref="B15:D15"/>
    <mergeCell ref="E15:M15"/>
    <mergeCell ref="G11:H11"/>
    <mergeCell ref="I3:L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B24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7" style="1" customWidth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41.42578125" style="1" bestFit="1" customWidth="1"/>
    <col min="7" max="7" width="30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5.85546875" style="1" bestFit="1" customWidth="1"/>
    <col min="19" max="19" width="16.140625" style="1" bestFit="1" customWidth="1"/>
    <col min="20" max="20" width="11.42578125" style="1"/>
    <col min="21" max="21" width="24" style="1" bestFit="1" customWidth="1"/>
    <col min="22" max="22" width="25" style="1" bestFit="1" customWidth="1"/>
    <col min="23" max="23" width="11.42578125" style="1"/>
    <col min="24" max="24" width="18.42578125" style="1" customWidth="1"/>
    <col min="25" max="25" width="19.140625" style="1" customWidth="1"/>
    <col min="26" max="26" width="20.140625" style="1" customWidth="1"/>
    <col min="27" max="27" width="20.7109375" style="1" customWidth="1"/>
    <col min="28" max="28" width="22.5703125" style="1" bestFit="1" customWidth="1"/>
    <col min="29" max="16384" width="11.42578125" style="1"/>
  </cols>
  <sheetData>
    <row r="2" spans="2:28" x14ac:dyDescent="0.25">
      <c r="B2" s="90" t="s">
        <v>163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</row>
    <row r="3" spans="2:28" ht="15" customHeight="1" x14ac:dyDescent="0.25">
      <c r="B3" s="85" t="s">
        <v>0</v>
      </c>
      <c r="C3" s="94" t="s">
        <v>2</v>
      </c>
      <c r="D3" s="92" t="s">
        <v>96</v>
      </c>
      <c r="E3" s="92" t="s">
        <v>115</v>
      </c>
      <c r="F3" s="92" t="s">
        <v>152</v>
      </c>
      <c r="G3" s="88" t="s">
        <v>3</v>
      </c>
      <c r="H3" s="88" t="s">
        <v>116</v>
      </c>
      <c r="I3" s="81" t="s">
        <v>189</v>
      </c>
      <c r="J3" s="82"/>
      <c r="K3" s="82"/>
      <c r="L3" s="83"/>
      <c r="M3" s="95" t="s">
        <v>183</v>
      </c>
      <c r="N3" s="70" t="s">
        <v>181</v>
      </c>
      <c r="O3" s="95" t="s">
        <v>112</v>
      </c>
      <c r="P3" s="90" t="s">
        <v>97</v>
      </c>
      <c r="Q3" s="91"/>
      <c r="R3" s="96"/>
      <c r="S3" s="95" t="s">
        <v>113</v>
      </c>
      <c r="T3" s="92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89"/>
      <c r="D4" s="93"/>
      <c r="E4" s="93"/>
      <c r="F4" s="93"/>
      <c r="G4" s="89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93"/>
      <c r="N4" s="70"/>
      <c r="O4" s="93"/>
      <c r="P4" s="23" t="s">
        <v>107</v>
      </c>
      <c r="Q4" s="23" t="s">
        <v>108</v>
      </c>
      <c r="R4" s="7" t="s">
        <v>109</v>
      </c>
      <c r="S4" s="93"/>
      <c r="T4" s="93"/>
      <c r="U4" s="7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120" x14ac:dyDescent="0.25">
      <c r="B5" s="3">
        <v>7</v>
      </c>
      <c r="C5" s="3" t="s">
        <v>62</v>
      </c>
      <c r="D5" s="3" t="s">
        <v>63</v>
      </c>
      <c r="E5" s="12">
        <v>65379741628</v>
      </c>
      <c r="F5" s="18">
        <f t="shared" ref="F5:F10" si="0">E5/$E$24</f>
        <v>110907.11048006786</v>
      </c>
      <c r="G5" s="9" t="s">
        <v>64</v>
      </c>
      <c r="H5" s="3" t="s">
        <v>123</v>
      </c>
      <c r="I5" s="10">
        <f>5+34+18+59+5</f>
        <v>121</v>
      </c>
      <c r="J5" s="10">
        <v>0</v>
      </c>
      <c r="K5" s="10">
        <f>3+24+9</f>
        <v>36</v>
      </c>
      <c r="L5" s="3">
        <f>5+18+3</f>
        <v>26</v>
      </c>
      <c r="M5" s="3">
        <f>25+40+25+2+4+14+3</f>
        <v>113</v>
      </c>
      <c r="N5" s="32">
        <v>205918</v>
      </c>
      <c r="O5" s="32">
        <v>1658366.02</v>
      </c>
      <c r="P5" s="32">
        <v>3278</v>
      </c>
      <c r="Q5" s="32">
        <v>189863.9</v>
      </c>
      <c r="R5" s="32">
        <v>411.05</v>
      </c>
      <c r="S5" s="32">
        <v>98738.14</v>
      </c>
      <c r="T5" s="33">
        <v>0</v>
      </c>
      <c r="U5" s="3">
        <f>2128.64/0.1</f>
        <v>21286.399999999998</v>
      </c>
      <c r="V5" s="32">
        <f>1215.52/0.1</f>
        <v>12155.199999999999</v>
      </c>
      <c r="W5" s="32">
        <v>0</v>
      </c>
      <c r="X5" s="32">
        <v>0</v>
      </c>
      <c r="Y5" s="32">
        <v>0</v>
      </c>
      <c r="Z5" s="3">
        <v>3</v>
      </c>
      <c r="AA5" s="3">
        <v>6</v>
      </c>
      <c r="AB5" s="32">
        <v>696</v>
      </c>
    </row>
    <row r="6" spans="2:28" ht="120" x14ac:dyDescent="0.25">
      <c r="B6" s="3">
        <v>8</v>
      </c>
      <c r="C6" s="3" t="s">
        <v>65</v>
      </c>
      <c r="D6" s="3" t="s">
        <v>66</v>
      </c>
      <c r="E6" s="12">
        <v>48754133104</v>
      </c>
      <c r="F6" s="18">
        <f t="shared" si="0"/>
        <v>82704.212220525864</v>
      </c>
      <c r="G6" s="9" t="s">
        <v>67</v>
      </c>
      <c r="H6" s="3" t="s">
        <v>119</v>
      </c>
      <c r="I6" s="10">
        <v>10</v>
      </c>
      <c r="J6" s="10">
        <v>0</v>
      </c>
      <c r="K6" s="10">
        <v>0</v>
      </c>
      <c r="L6" s="3">
        <v>4</v>
      </c>
      <c r="M6" s="3">
        <v>17</v>
      </c>
      <c r="N6" s="3">
        <v>146676.35999999999</v>
      </c>
      <c r="O6" s="3">
        <v>1343482.92</v>
      </c>
      <c r="P6" s="3">
        <v>5796</v>
      </c>
      <c r="Q6" s="3">
        <v>2654235.15</v>
      </c>
      <c r="R6" s="3">
        <v>806.48</v>
      </c>
      <c r="S6" s="3">
        <v>309715.33</v>
      </c>
      <c r="T6" s="32">
        <v>0</v>
      </c>
      <c r="U6" s="3">
        <f>1972.65/0.1</f>
        <v>19726.5</v>
      </c>
      <c r="V6" s="3">
        <f>14491.25/0.1</f>
        <v>144912.5</v>
      </c>
      <c r="W6" s="32">
        <v>0</v>
      </c>
      <c r="X6" s="32">
        <v>0</v>
      </c>
      <c r="Y6" s="32">
        <v>0</v>
      </c>
      <c r="Z6" s="3">
        <v>1</v>
      </c>
      <c r="AA6" s="3">
        <v>1</v>
      </c>
      <c r="AB6" s="32">
        <v>117</v>
      </c>
    </row>
    <row r="7" spans="2:28" ht="120" x14ac:dyDescent="0.25">
      <c r="B7" s="3">
        <v>9</v>
      </c>
      <c r="C7" s="3" t="s">
        <v>68</v>
      </c>
      <c r="D7" s="3" t="s">
        <v>69</v>
      </c>
      <c r="E7" s="12">
        <v>46586398574</v>
      </c>
      <c r="F7" s="18">
        <f t="shared" si="0"/>
        <v>79026.96959117896</v>
      </c>
      <c r="G7" s="9" t="s">
        <v>70</v>
      </c>
      <c r="H7" s="3" t="s">
        <v>121</v>
      </c>
      <c r="I7" s="3">
        <v>64</v>
      </c>
      <c r="J7" s="3">
        <f>190+5079.3+41.82</f>
        <v>5311.12</v>
      </c>
      <c r="K7" s="3">
        <v>1</v>
      </c>
      <c r="L7" s="3">
        <v>18</v>
      </c>
      <c r="M7" s="3">
        <v>28</v>
      </c>
      <c r="N7" s="32">
        <v>22774.1</v>
      </c>
      <c r="O7" s="32">
        <v>997572.5</v>
      </c>
      <c r="P7" s="32">
        <v>7110</v>
      </c>
      <c r="Q7" s="32">
        <v>549628.30000000005</v>
      </c>
      <c r="R7" s="32">
        <v>387.1</v>
      </c>
      <c r="S7" s="32">
        <v>78115.600000000006</v>
      </c>
      <c r="T7" s="32">
        <v>0</v>
      </c>
      <c r="U7" s="32">
        <f>1918.9/0.1</f>
        <v>19189</v>
      </c>
      <c r="V7" s="32">
        <f>14598.9/0.1</f>
        <v>145989</v>
      </c>
      <c r="W7" s="32">
        <v>0</v>
      </c>
      <c r="X7" s="32">
        <v>0</v>
      </c>
      <c r="Y7" s="32">
        <v>81234.3</v>
      </c>
      <c r="Z7" s="3">
        <f>1+1</f>
        <v>2</v>
      </c>
      <c r="AA7" s="3">
        <v>0</v>
      </c>
      <c r="AB7" s="32">
        <v>44</v>
      </c>
    </row>
    <row r="8" spans="2:28" ht="120" x14ac:dyDescent="0.25">
      <c r="B8" s="3">
        <v>10</v>
      </c>
      <c r="C8" s="3" t="s">
        <v>71</v>
      </c>
      <c r="D8" s="3" t="s">
        <v>72</v>
      </c>
      <c r="E8" s="12">
        <v>51121838090</v>
      </c>
      <c r="F8" s="18">
        <f t="shared" si="0"/>
        <v>86720.67530110263</v>
      </c>
      <c r="G8" s="9" t="s">
        <v>73</v>
      </c>
      <c r="H8" s="3" t="s">
        <v>122</v>
      </c>
      <c r="I8" s="3">
        <v>90</v>
      </c>
      <c r="J8" s="3">
        <f>467.8+4.7+21+150.6</f>
        <v>644.1</v>
      </c>
      <c r="K8" s="3">
        <v>4</v>
      </c>
      <c r="L8" s="3">
        <v>16</v>
      </c>
      <c r="M8" s="3">
        <f>48+46+31</f>
        <v>125</v>
      </c>
      <c r="N8" s="32">
        <v>1737</v>
      </c>
      <c r="O8" s="3">
        <v>5179881.3</v>
      </c>
      <c r="P8" s="3">
        <v>5594</v>
      </c>
      <c r="Q8" s="3">
        <v>732793</v>
      </c>
      <c r="R8" s="3">
        <v>548.70000000000005</v>
      </c>
      <c r="S8" s="3">
        <v>233785.60000000001</v>
      </c>
      <c r="T8" s="32">
        <v>0</v>
      </c>
      <c r="U8" s="32">
        <f>1459.2/0.1</f>
        <v>14592</v>
      </c>
      <c r="V8" s="32">
        <f>9955.3/0.1</f>
        <v>99552.999999999985</v>
      </c>
      <c r="W8" s="32">
        <v>0</v>
      </c>
      <c r="X8" s="32">
        <v>73345</v>
      </c>
      <c r="Y8" s="32">
        <v>0</v>
      </c>
      <c r="Z8" s="3">
        <v>0</v>
      </c>
      <c r="AA8" s="3">
        <v>0</v>
      </c>
      <c r="AB8" s="32">
        <v>897</v>
      </c>
    </row>
    <row r="9" spans="2:28" ht="135" x14ac:dyDescent="0.25">
      <c r="B9" s="3">
        <v>11</v>
      </c>
      <c r="C9" s="3" t="s">
        <v>74</v>
      </c>
      <c r="D9" s="3" t="s">
        <v>75</v>
      </c>
      <c r="E9" s="12">
        <v>45024335245</v>
      </c>
      <c r="F9" s="18">
        <f t="shared" si="0"/>
        <v>76377.159024597117</v>
      </c>
      <c r="G9" s="9" t="s">
        <v>76</v>
      </c>
      <c r="H9" s="10" t="s">
        <v>117</v>
      </c>
      <c r="I9" s="10">
        <v>81</v>
      </c>
      <c r="J9" s="10">
        <f>2528+1178</f>
        <v>3706</v>
      </c>
      <c r="K9" s="10">
        <v>0</v>
      </c>
      <c r="L9" s="3">
        <v>2</v>
      </c>
      <c r="M9" s="3">
        <v>37</v>
      </c>
      <c r="N9" s="32">
        <v>276302.40000000002</v>
      </c>
      <c r="O9" s="3">
        <v>2276354</v>
      </c>
      <c r="P9" s="3">
        <v>4582</v>
      </c>
      <c r="Q9" s="3">
        <v>497321.4</v>
      </c>
      <c r="R9" s="3">
        <v>299.7</v>
      </c>
      <c r="S9" s="3">
        <v>249120.1</v>
      </c>
      <c r="T9" s="3">
        <v>0</v>
      </c>
      <c r="U9" s="3">
        <f>13/0.1</f>
        <v>130</v>
      </c>
      <c r="V9" s="3">
        <f>1076/0.1</f>
        <v>10760</v>
      </c>
      <c r="W9" s="3">
        <v>0</v>
      </c>
      <c r="X9" s="3">
        <v>0</v>
      </c>
      <c r="Y9" s="3">
        <v>0</v>
      </c>
      <c r="Z9" s="3">
        <f>1+1</f>
        <v>2</v>
      </c>
      <c r="AA9" s="3">
        <v>1</v>
      </c>
      <c r="AB9" s="3">
        <v>6</v>
      </c>
    </row>
    <row r="10" spans="2:28" ht="90" x14ac:dyDescent="0.25">
      <c r="B10" s="3">
        <v>12</v>
      </c>
      <c r="C10" s="3">
        <v>4600000896</v>
      </c>
      <c r="D10" s="3">
        <v>4600000897</v>
      </c>
      <c r="E10" s="12">
        <v>4272550509</v>
      </c>
      <c r="F10" s="18">
        <f t="shared" si="0"/>
        <v>7247.7531959287535</v>
      </c>
      <c r="G10" s="9" t="s">
        <v>77</v>
      </c>
      <c r="H10" s="3" t="s">
        <v>193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323</v>
      </c>
      <c r="O10" s="3">
        <v>0</v>
      </c>
      <c r="P10" s="3">
        <v>211</v>
      </c>
      <c r="Q10" s="3">
        <v>0</v>
      </c>
      <c r="R10" s="3">
        <v>9.36</v>
      </c>
      <c r="S10" s="3">
        <v>2662.62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">
        <v>0</v>
      </c>
      <c r="AA10" s="3">
        <v>0</v>
      </c>
      <c r="AB10" s="32">
        <v>0</v>
      </c>
    </row>
    <row r="11" spans="2:28" s="24" customFormat="1" x14ac:dyDescent="0.25">
      <c r="B11" s="99" t="s">
        <v>106</v>
      </c>
      <c r="C11" s="100"/>
      <c r="D11" s="101"/>
      <c r="E11" s="16">
        <f>SUM(E5:E10)</f>
        <v>261138997150</v>
      </c>
      <c r="F11" s="29">
        <f>SUM(F5:F10)</f>
        <v>442983.87981340114</v>
      </c>
      <c r="G11" s="97"/>
      <c r="H11" s="98"/>
      <c r="I11" s="7">
        <f>SUM(I5:I10)</f>
        <v>366</v>
      </c>
      <c r="J11" s="7">
        <f>SUM(J5:J10)</f>
        <v>9661.2200000000012</v>
      </c>
      <c r="K11" s="7">
        <f>SUM(K5:K10)</f>
        <v>41</v>
      </c>
      <c r="L11" s="7">
        <f>SUM(L5:L10)</f>
        <v>66</v>
      </c>
      <c r="M11" s="7">
        <f t="shared" ref="M11:AB11" si="1">SUM(M5:M10)</f>
        <v>320</v>
      </c>
      <c r="N11" s="7">
        <f t="shared" si="1"/>
        <v>653730.86</v>
      </c>
      <c r="O11" s="7">
        <f t="shared" si="1"/>
        <v>11455656.74</v>
      </c>
      <c r="P11" s="7">
        <f t="shared" si="1"/>
        <v>26571</v>
      </c>
      <c r="Q11" s="7">
        <f t="shared" si="1"/>
        <v>4623841.75</v>
      </c>
      <c r="R11" s="7">
        <f t="shared" si="1"/>
        <v>2462.39</v>
      </c>
      <c r="S11" s="7">
        <f t="shared" si="1"/>
        <v>972137.39</v>
      </c>
      <c r="T11" s="7">
        <f t="shared" si="1"/>
        <v>0</v>
      </c>
      <c r="U11" s="7">
        <f t="shared" si="1"/>
        <v>74923.899999999994</v>
      </c>
      <c r="V11" s="7">
        <f t="shared" si="1"/>
        <v>413369.7</v>
      </c>
      <c r="W11" s="7">
        <f t="shared" si="1"/>
        <v>0</v>
      </c>
      <c r="X11" s="7">
        <f t="shared" si="1"/>
        <v>73345</v>
      </c>
      <c r="Y11" s="7">
        <f t="shared" si="1"/>
        <v>81234.3</v>
      </c>
      <c r="Z11" s="7">
        <f t="shared" si="1"/>
        <v>8</v>
      </c>
      <c r="AA11" s="7">
        <f t="shared" si="1"/>
        <v>8</v>
      </c>
      <c r="AB11" s="7">
        <f t="shared" si="1"/>
        <v>1760</v>
      </c>
    </row>
    <row r="12" spans="2:28" s="24" customFormat="1" x14ac:dyDescent="0.25">
      <c r="E12" s="26"/>
      <c r="F12" s="40"/>
    </row>
    <row r="14" spans="2:28" x14ac:dyDescent="0.25">
      <c r="C14" s="77" t="s">
        <v>104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2:28" x14ac:dyDescent="0.25">
      <c r="C15" s="78" t="s">
        <v>102</v>
      </c>
      <c r="D15" s="79"/>
      <c r="E15" s="80"/>
      <c r="F15" s="78" t="s">
        <v>103</v>
      </c>
      <c r="G15" s="79"/>
      <c r="H15" s="79"/>
      <c r="I15" s="79"/>
      <c r="J15" s="79"/>
      <c r="K15" s="79"/>
      <c r="L15" s="79"/>
      <c r="M15" s="79"/>
      <c r="N15" s="80"/>
    </row>
    <row r="16" spans="2:28" x14ac:dyDescent="0.25">
      <c r="C16" s="84" t="s">
        <v>171</v>
      </c>
      <c r="D16" s="84"/>
      <c r="E16" s="84"/>
      <c r="F16" s="76" t="s">
        <v>182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183</v>
      </c>
      <c r="D17" s="84"/>
      <c r="E17" s="84"/>
      <c r="F17" s="76" t="s">
        <v>111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100</v>
      </c>
      <c r="D18" s="84"/>
      <c r="E18" s="84"/>
      <c r="F18" s="76" t="s">
        <v>200</v>
      </c>
      <c r="G18" s="74"/>
      <c r="H18" s="74"/>
      <c r="I18" s="74"/>
      <c r="J18" s="74"/>
      <c r="K18" s="74"/>
      <c r="L18" s="74"/>
      <c r="M18" s="74"/>
      <c r="N18" s="75"/>
    </row>
    <row r="19" spans="3:14" ht="27.75" customHeight="1" x14ac:dyDescent="0.25">
      <c r="C19" s="72" t="s">
        <v>181</v>
      </c>
      <c r="D19" s="72"/>
      <c r="E19" s="72"/>
      <c r="F19" s="73" t="s">
        <v>184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76" t="s">
        <v>112</v>
      </c>
      <c r="D20" s="74"/>
      <c r="E20" s="75"/>
      <c r="F20" s="76" t="s">
        <v>186</v>
      </c>
      <c r="G20" s="74"/>
      <c r="H20" s="74"/>
      <c r="I20" s="74"/>
      <c r="J20" s="74"/>
      <c r="K20" s="74"/>
      <c r="L20" s="74"/>
      <c r="M20" s="74"/>
      <c r="N20" s="75"/>
    </row>
    <row r="21" spans="3:14" x14ac:dyDescent="0.25">
      <c r="C21" s="84" t="s">
        <v>97</v>
      </c>
      <c r="D21" s="84"/>
      <c r="E21" s="84"/>
      <c r="F21" s="76" t="s">
        <v>105</v>
      </c>
      <c r="G21" s="74"/>
      <c r="H21" s="74"/>
      <c r="I21" s="74"/>
      <c r="J21" s="74"/>
      <c r="K21" s="74"/>
      <c r="L21" s="74"/>
      <c r="M21" s="74"/>
      <c r="N21" s="75"/>
    </row>
    <row r="24" spans="3:14" x14ac:dyDescent="0.25">
      <c r="C24" s="78" t="s">
        <v>114</v>
      </c>
      <c r="D24" s="80"/>
      <c r="E24" s="19">
        <v>589500</v>
      </c>
    </row>
  </sheetData>
  <mergeCells count="36">
    <mergeCell ref="F19:N19"/>
    <mergeCell ref="F20:N20"/>
    <mergeCell ref="F21:N21"/>
    <mergeCell ref="C24:D24"/>
    <mergeCell ref="B11:D11"/>
    <mergeCell ref="C20:E20"/>
    <mergeCell ref="C15:E15"/>
    <mergeCell ref="C19:E19"/>
    <mergeCell ref="C16:E16"/>
    <mergeCell ref="C17:E17"/>
    <mergeCell ref="C18:E18"/>
    <mergeCell ref="C21:E21"/>
    <mergeCell ref="F18:N18"/>
    <mergeCell ref="C14:N14"/>
    <mergeCell ref="F15:N15"/>
    <mergeCell ref="F16:N16"/>
    <mergeCell ref="F17:N17"/>
    <mergeCell ref="G11:H11"/>
    <mergeCell ref="AB3:AB4"/>
    <mergeCell ref="F3:F4"/>
    <mergeCell ref="I3:L3"/>
    <mergeCell ref="H3:H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AB20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6.140625" style="1" customWidth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3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32.85546875" style="1" bestFit="1" customWidth="1"/>
    <col min="17" max="17" width="30.140625" style="1" bestFit="1" customWidth="1"/>
    <col min="18" max="18" width="15.85546875" style="1" bestFit="1" customWidth="1"/>
    <col min="19" max="19" width="25.28515625" style="1" customWidth="1"/>
    <col min="20" max="20" width="32.28515625" style="1" customWidth="1"/>
    <col min="21" max="21" width="24" style="1" bestFit="1" customWidth="1"/>
    <col min="22" max="22" width="24.140625" style="1" customWidth="1"/>
    <col min="23" max="23" width="17.140625" style="1" bestFit="1" customWidth="1"/>
    <col min="24" max="24" width="39.140625" style="1" customWidth="1"/>
    <col min="25" max="25" width="15.28515625" style="1" bestFit="1" customWidth="1"/>
    <col min="26" max="26" width="17.7109375" style="1" customWidth="1"/>
    <col min="27" max="27" width="19.85546875" style="1" customWidth="1"/>
    <col min="28" max="28" width="22.5703125" style="1" bestFit="1" customWidth="1"/>
    <col min="29" max="16384" width="11.42578125" style="1"/>
  </cols>
  <sheetData>
    <row r="2" spans="2:28" x14ac:dyDescent="0.25">
      <c r="B2" s="71" t="s">
        <v>99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153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23" t="s">
        <v>185</v>
      </c>
      <c r="Q4" s="7" t="s">
        <v>108</v>
      </c>
      <c r="R4" s="7" t="s">
        <v>109</v>
      </c>
      <c r="S4" s="70"/>
      <c r="T4" s="70"/>
      <c r="U4" s="7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105" x14ac:dyDescent="0.25">
      <c r="B5" s="3">
        <v>13</v>
      </c>
      <c r="C5" s="3">
        <v>4600001884</v>
      </c>
      <c r="D5" s="3">
        <v>4600001932</v>
      </c>
      <c r="E5" s="12">
        <v>13912360043</v>
      </c>
      <c r="F5" s="18">
        <f>E5/$E$20</f>
        <v>22585.000069805195</v>
      </c>
      <c r="G5" s="9" t="s">
        <v>60</v>
      </c>
      <c r="H5" s="3" t="s">
        <v>120</v>
      </c>
      <c r="I5" s="10">
        <v>22</v>
      </c>
      <c r="J5" s="10">
        <f>136+17.5+5369</f>
        <v>5522.5</v>
      </c>
      <c r="K5" s="10">
        <v>3</v>
      </c>
      <c r="L5" s="3">
        <v>0</v>
      </c>
      <c r="M5" s="3">
        <v>12</v>
      </c>
      <c r="N5" s="32">
        <v>126081.04</v>
      </c>
      <c r="O5" s="3">
        <v>1246948.8</v>
      </c>
      <c r="P5" s="3">
        <v>325</v>
      </c>
      <c r="Q5" s="3">
        <v>0</v>
      </c>
      <c r="R5" s="3">
        <v>106.01</v>
      </c>
      <c r="S5" s="3">
        <v>19302.62</v>
      </c>
      <c r="T5" s="33">
        <v>0</v>
      </c>
      <c r="U5" s="32">
        <v>0</v>
      </c>
      <c r="V5" s="32">
        <v>0</v>
      </c>
      <c r="W5" s="32">
        <v>0</v>
      </c>
      <c r="X5" s="32">
        <v>0</v>
      </c>
      <c r="Y5" s="32">
        <v>0</v>
      </c>
      <c r="Z5" s="3">
        <v>3</v>
      </c>
      <c r="AA5" s="3">
        <v>0</v>
      </c>
      <c r="AB5" s="32">
        <v>68</v>
      </c>
    </row>
    <row r="6" spans="2:28" ht="120" x14ac:dyDescent="0.25">
      <c r="B6" s="3">
        <v>14</v>
      </c>
      <c r="C6" s="3">
        <v>4600001939</v>
      </c>
      <c r="D6" s="3">
        <v>4600001885</v>
      </c>
      <c r="E6" s="12">
        <v>15979657808</v>
      </c>
      <c r="F6" s="18">
        <f>E6/$E$20</f>
        <v>25941.002935064935</v>
      </c>
      <c r="G6" s="9" t="s">
        <v>61</v>
      </c>
      <c r="H6" s="10" t="s">
        <v>117</v>
      </c>
      <c r="I6" s="10">
        <v>1</v>
      </c>
      <c r="J6" s="10">
        <v>0</v>
      </c>
      <c r="K6" s="10">
        <v>0</v>
      </c>
      <c r="L6" s="3">
        <v>1</v>
      </c>
      <c r="M6" s="3">
        <v>3</v>
      </c>
      <c r="N6" s="3">
        <v>40640.699999999997</v>
      </c>
      <c r="O6" s="3">
        <v>2146824.7000000002</v>
      </c>
      <c r="P6" s="3">
        <v>3301</v>
      </c>
      <c r="Q6" s="3">
        <v>381474</v>
      </c>
      <c r="R6" s="3">
        <v>250.8</v>
      </c>
      <c r="S6" s="3">
        <v>57864.800000000003</v>
      </c>
      <c r="T6" s="32">
        <v>0</v>
      </c>
      <c r="U6" s="3">
        <f>644.1/0.1</f>
        <v>6441</v>
      </c>
      <c r="V6" s="3">
        <f>2153.3/0.1</f>
        <v>21533</v>
      </c>
      <c r="W6" s="32">
        <v>0</v>
      </c>
      <c r="X6" s="32">
        <v>0</v>
      </c>
      <c r="Y6" s="32">
        <v>0</v>
      </c>
      <c r="Z6" s="3">
        <v>0</v>
      </c>
      <c r="AA6" s="3">
        <v>0</v>
      </c>
      <c r="AB6" s="32">
        <v>49</v>
      </c>
    </row>
    <row r="7" spans="2:28" s="24" customFormat="1" x14ac:dyDescent="0.25">
      <c r="B7" s="71" t="s">
        <v>106</v>
      </c>
      <c r="C7" s="71"/>
      <c r="D7" s="71"/>
      <c r="E7" s="16">
        <f>SUM(E1:E6)</f>
        <v>29892017851</v>
      </c>
      <c r="F7" s="29">
        <f>SUM(F1:F6)</f>
        <v>48526.00300487013</v>
      </c>
      <c r="G7" s="58"/>
      <c r="H7" s="58"/>
      <c r="I7" s="7">
        <f>SUM(I5:I6)</f>
        <v>23</v>
      </c>
      <c r="J7" s="7">
        <f>SUM(J5:J6)</f>
        <v>5522.5</v>
      </c>
      <c r="K7" s="7">
        <f>SUM(K5:K6)</f>
        <v>3</v>
      </c>
      <c r="L7" s="7">
        <f>SUM(L5:L6)</f>
        <v>1</v>
      </c>
      <c r="M7" s="7">
        <f t="shared" ref="M7:AB7" si="0">SUM(M5:M6)</f>
        <v>15</v>
      </c>
      <c r="N7" s="7">
        <f t="shared" si="0"/>
        <v>166721.74</v>
      </c>
      <c r="O7" s="7">
        <f t="shared" si="0"/>
        <v>3393773.5</v>
      </c>
      <c r="P7" s="7">
        <f t="shared" si="0"/>
        <v>3626</v>
      </c>
      <c r="Q7" s="7">
        <f t="shared" si="0"/>
        <v>381474</v>
      </c>
      <c r="R7" s="7">
        <f t="shared" si="0"/>
        <v>356.81</v>
      </c>
      <c r="S7" s="7">
        <f t="shared" si="0"/>
        <v>77167.42</v>
      </c>
      <c r="T7" s="7">
        <f t="shared" si="0"/>
        <v>0</v>
      </c>
      <c r="U7" s="7">
        <f t="shared" si="0"/>
        <v>6441</v>
      </c>
      <c r="V7" s="7">
        <f t="shared" si="0"/>
        <v>21533</v>
      </c>
      <c r="W7" s="7">
        <f t="shared" si="0"/>
        <v>0</v>
      </c>
      <c r="X7" s="7">
        <f t="shared" si="0"/>
        <v>0</v>
      </c>
      <c r="Y7" s="7">
        <f t="shared" si="0"/>
        <v>0</v>
      </c>
      <c r="Z7" s="7">
        <f t="shared" si="0"/>
        <v>3</v>
      </c>
      <c r="AA7" s="7">
        <f t="shared" si="0"/>
        <v>0</v>
      </c>
      <c r="AB7" s="7">
        <f t="shared" si="0"/>
        <v>117</v>
      </c>
    </row>
    <row r="8" spans="2:28" s="24" customFormat="1" x14ac:dyDescent="0.25">
      <c r="E8" s="26"/>
    </row>
    <row r="10" spans="2:28" x14ac:dyDescent="0.25">
      <c r="C10" s="77" t="s">
        <v>104</v>
      </c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</row>
    <row r="11" spans="2:28" x14ac:dyDescent="0.25">
      <c r="C11" s="78" t="s">
        <v>102</v>
      </c>
      <c r="D11" s="79"/>
      <c r="E11" s="80"/>
      <c r="F11" s="78" t="s">
        <v>103</v>
      </c>
      <c r="G11" s="79"/>
      <c r="H11" s="79"/>
      <c r="I11" s="79"/>
      <c r="J11" s="79"/>
      <c r="K11" s="79"/>
      <c r="L11" s="79"/>
      <c r="M11" s="79"/>
      <c r="N11" s="80"/>
    </row>
    <row r="12" spans="2:28" x14ac:dyDescent="0.25">
      <c r="C12" s="84" t="s">
        <v>171</v>
      </c>
      <c r="D12" s="84"/>
      <c r="E12" s="84"/>
      <c r="F12" s="76" t="s">
        <v>182</v>
      </c>
      <c r="G12" s="74"/>
      <c r="H12" s="74"/>
      <c r="I12" s="74"/>
      <c r="J12" s="74"/>
      <c r="K12" s="74"/>
      <c r="L12" s="74"/>
      <c r="M12" s="74"/>
      <c r="N12" s="75"/>
    </row>
    <row r="13" spans="2:28" x14ac:dyDescent="0.25">
      <c r="C13" s="84" t="s">
        <v>183</v>
      </c>
      <c r="D13" s="84"/>
      <c r="E13" s="84"/>
      <c r="F13" s="76" t="s">
        <v>111</v>
      </c>
      <c r="G13" s="74"/>
      <c r="H13" s="74"/>
      <c r="I13" s="74"/>
      <c r="J13" s="74"/>
      <c r="K13" s="74"/>
      <c r="L13" s="74"/>
      <c r="M13" s="74"/>
      <c r="N13" s="75"/>
    </row>
    <row r="14" spans="2:28" x14ac:dyDescent="0.25">
      <c r="C14" s="84" t="s">
        <v>100</v>
      </c>
      <c r="D14" s="84"/>
      <c r="E14" s="84"/>
      <c r="F14" s="76" t="s">
        <v>200</v>
      </c>
      <c r="G14" s="74"/>
      <c r="H14" s="74"/>
      <c r="I14" s="74"/>
      <c r="J14" s="74"/>
      <c r="K14" s="74"/>
      <c r="L14" s="74"/>
      <c r="M14" s="74"/>
      <c r="N14" s="75"/>
    </row>
    <row r="15" spans="2:28" ht="29.25" customHeight="1" x14ac:dyDescent="0.25">
      <c r="C15" s="72" t="s">
        <v>181</v>
      </c>
      <c r="D15" s="72"/>
      <c r="E15" s="72"/>
      <c r="F15" s="73" t="s">
        <v>184</v>
      </c>
      <c r="G15" s="74"/>
      <c r="H15" s="74"/>
      <c r="I15" s="74"/>
      <c r="J15" s="74"/>
      <c r="K15" s="74"/>
      <c r="L15" s="74"/>
      <c r="M15" s="74"/>
      <c r="N15" s="75"/>
    </row>
    <row r="16" spans="2:28" x14ac:dyDescent="0.25">
      <c r="C16" s="76" t="s">
        <v>112</v>
      </c>
      <c r="D16" s="74"/>
      <c r="E16" s="75"/>
      <c r="F16" s="76" t="s">
        <v>186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97</v>
      </c>
      <c r="D17" s="84"/>
      <c r="E17" s="84"/>
      <c r="F17" s="76" t="s">
        <v>105</v>
      </c>
      <c r="G17" s="74"/>
      <c r="H17" s="74"/>
      <c r="I17" s="74"/>
      <c r="J17" s="74"/>
      <c r="K17" s="74"/>
      <c r="L17" s="74"/>
      <c r="M17" s="74"/>
      <c r="N17" s="75"/>
    </row>
    <row r="20" spans="3:14" x14ac:dyDescent="0.25">
      <c r="C20" s="78" t="s">
        <v>143</v>
      </c>
      <c r="D20" s="80"/>
      <c r="E20" s="19">
        <v>616000</v>
      </c>
    </row>
  </sheetData>
  <mergeCells count="36">
    <mergeCell ref="F14:N14"/>
    <mergeCell ref="E3:E4"/>
    <mergeCell ref="G3:G4"/>
    <mergeCell ref="H3:H4"/>
    <mergeCell ref="F3:F4"/>
    <mergeCell ref="C20:D20"/>
    <mergeCell ref="B7:D7"/>
    <mergeCell ref="C11:E11"/>
    <mergeCell ref="C12:E12"/>
    <mergeCell ref="C17:E17"/>
    <mergeCell ref="C14:E14"/>
    <mergeCell ref="C15:E15"/>
    <mergeCell ref="C10:N10"/>
    <mergeCell ref="F16:N16"/>
    <mergeCell ref="F17:N17"/>
    <mergeCell ref="F11:N11"/>
    <mergeCell ref="C16:E16"/>
    <mergeCell ref="F15:N15"/>
    <mergeCell ref="C13:E13"/>
    <mergeCell ref="F12:N12"/>
    <mergeCell ref="F13:N13"/>
    <mergeCell ref="B2:AB2"/>
    <mergeCell ref="B3:B4"/>
    <mergeCell ref="AB3:AB4"/>
    <mergeCell ref="I3:L3"/>
    <mergeCell ref="G7:H7"/>
    <mergeCell ref="T3:T4"/>
    <mergeCell ref="U3:Y3"/>
    <mergeCell ref="Z3:AA3"/>
    <mergeCell ref="N3:N4"/>
    <mergeCell ref="C3:C4"/>
    <mergeCell ref="D3:D4"/>
    <mergeCell ref="M3:M4"/>
    <mergeCell ref="O3:O4"/>
    <mergeCell ref="P3:R3"/>
    <mergeCell ref="S3:S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B22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6.140625" style="1" customWidth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4.28515625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21" width="14.28515625" style="1" customWidth="1"/>
    <col min="22" max="16384" width="11.42578125" style="1"/>
  </cols>
  <sheetData>
    <row r="2" spans="2:28" x14ac:dyDescent="0.25">
      <c r="B2" s="71" t="s">
        <v>164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154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9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7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75" x14ac:dyDescent="0.25">
      <c r="B5" s="3">
        <v>15</v>
      </c>
      <c r="C5" s="3">
        <v>4600004086</v>
      </c>
      <c r="D5" s="3">
        <v>4600004434</v>
      </c>
      <c r="E5" s="12">
        <v>5655779205</v>
      </c>
      <c r="F5" s="18">
        <f>E5/$E$22</f>
        <v>8777.4954683013893</v>
      </c>
      <c r="G5" s="9" t="s">
        <v>56</v>
      </c>
      <c r="H5" s="10" t="s">
        <v>125</v>
      </c>
      <c r="I5" s="10">
        <v>4</v>
      </c>
      <c r="J5" s="10">
        <v>0</v>
      </c>
      <c r="K5" s="10">
        <v>0</v>
      </c>
      <c r="L5" s="3">
        <v>0</v>
      </c>
      <c r="M5" s="3">
        <v>2</v>
      </c>
      <c r="N5" s="3">
        <v>5393.1</v>
      </c>
      <c r="O5" s="3">
        <v>422378</v>
      </c>
      <c r="P5" s="3">
        <v>369</v>
      </c>
      <c r="Q5" s="3">
        <v>81649.14</v>
      </c>
      <c r="R5" s="3">
        <v>53.68</v>
      </c>
      <c r="S5" s="3">
        <v>434</v>
      </c>
      <c r="T5" s="33">
        <v>0</v>
      </c>
      <c r="U5" s="3">
        <f>3784.57/0.1</f>
        <v>37845.699999999997</v>
      </c>
      <c r="V5" s="3">
        <f>1634.59/0.1</f>
        <v>16345.899999999998</v>
      </c>
      <c r="W5" s="32">
        <v>0</v>
      </c>
      <c r="X5" s="32">
        <v>0</v>
      </c>
      <c r="Y5" s="32">
        <v>0</v>
      </c>
      <c r="Z5" s="3">
        <v>0</v>
      </c>
      <c r="AA5" s="3">
        <v>0</v>
      </c>
      <c r="AB5" s="32">
        <v>476</v>
      </c>
    </row>
    <row r="6" spans="2:28" ht="105" x14ac:dyDescent="0.25">
      <c r="B6" s="3">
        <v>16</v>
      </c>
      <c r="C6" s="3">
        <v>4600004484</v>
      </c>
      <c r="D6" s="3">
        <v>4600004530</v>
      </c>
      <c r="E6" s="12">
        <v>6114387127</v>
      </c>
      <c r="F6" s="18">
        <f>E6/$E$22</f>
        <v>9489.2327570419802</v>
      </c>
      <c r="G6" s="9" t="s">
        <v>57</v>
      </c>
      <c r="H6" s="10" t="s">
        <v>126</v>
      </c>
      <c r="I6" s="10">
        <v>11</v>
      </c>
      <c r="J6" s="10">
        <v>980</v>
      </c>
      <c r="K6" s="10">
        <v>0</v>
      </c>
      <c r="L6" s="3">
        <v>0</v>
      </c>
      <c r="M6" s="3">
        <v>4</v>
      </c>
      <c r="N6" s="3">
        <v>23049</v>
      </c>
      <c r="O6" s="3">
        <v>1528155</v>
      </c>
      <c r="P6" s="3">
        <v>1808</v>
      </c>
      <c r="Q6" s="3">
        <v>98615</v>
      </c>
      <c r="R6" s="3">
        <v>128</v>
      </c>
      <c r="S6" s="3">
        <v>36904</v>
      </c>
      <c r="T6" s="3">
        <v>0</v>
      </c>
      <c r="U6" s="3">
        <f>476/0.1</f>
        <v>4760</v>
      </c>
      <c r="V6" s="3">
        <f>519/0.1</f>
        <v>5190</v>
      </c>
      <c r="W6" s="32">
        <v>0</v>
      </c>
      <c r="X6" s="32">
        <v>0</v>
      </c>
      <c r="Y6" s="32">
        <v>0</v>
      </c>
      <c r="Z6" s="3">
        <v>0</v>
      </c>
      <c r="AA6" s="3">
        <v>0</v>
      </c>
      <c r="AB6" s="32">
        <v>11</v>
      </c>
    </row>
    <row r="7" spans="2:28" ht="90" x14ac:dyDescent="0.25">
      <c r="B7" s="3">
        <v>17</v>
      </c>
      <c r="C7" s="3">
        <v>4600004485</v>
      </c>
      <c r="D7" s="3">
        <v>4600004528</v>
      </c>
      <c r="E7" s="12">
        <v>5059721912</v>
      </c>
      <c r="F7" s="18">
        <f>E7/$E$22</f>
        <v>7852.4434111895707</v>
      </c>
      <c r="G7" s="9" t="s">
        <v>58</v>
      </c>
      <c r="H7" s="3" t="s">
        <v>127</v>
      </c>
      <c r="I7" s="3">
        <v>9</v>
      </c>
      <c r="J7" s="3">
        <v>0</v>
      </c>
      <c r="K7" s="3">
        <v>0</v>
      </c>
      <c r="L7" s="3">
        <v>0</v>
      </c>
      <c r="M7" s="3">
        <f>2+2</f>
        <v>4</v>
      </c>
      <c r="N7" s="32">
        <v>20648.45</v>
      </c>
      <c r="O7" s="32">
        <v>946278.9</v>
      </c>
      <c r="P7" s="32">
        <v>0</v>
      </c>
      <c r="Q7" s="32">
        <v>15000</v>
      </c>
      <c r="R7" s="32">
        <v>69.22</v>
      </c>
      <c r="S7" s="32">
        <v>29299.5</v>
      </c>
      <c r="T7" s="32">
        <v>0</v>
      </c>
      <c r="U7" s="32">
        <v>0</v>
      </c>
      <c r="V7" s="32">
        <f>394.9/0.1</f>
        <v>3948.9999999999995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</row>
    <row r="8" spans="2:28" ht="90" x14ac:dyDescent="0.25">
      <c r="B8" s="3">
        <v>18</v>
      </c>
      <c r="C8" s="3">
        <v>4600004783</v>
      </c>
      <c r="D8" s="3">
        <v>4600004784</v>
      </c>
      <c r="E8" s="12">
        <v>3814683540</v>
      </c>
      <c r="F8" s="18">
        <f>E8/$E$22</f>
        <v>5920.2041437107164</v>
      </c>
      <c r="G8" s="9" t="s">
        <v>59</v>
      </c>
      <c r="H8" s="3" t="s">
        <v>121</v>
      </c>
      <c r="I8" s="3">
        <v>15</v>
      </c>
      <c r="J8" s="3">
        <f>41.2+50.8</f>
        <v>92</v>
      </c>
      <c r="K8" s="3">
        <v>0</v>
      </c>
      <c r="L8" s="3">
        <v>1</v>
      </c>
      <c r="M8" s="3">
        <v>10</v>
      </c>
      <c r="N8" s="32">
        <v>2452.6</v>
      </c>
      <c r="O8" s="3">
        <v>16884</v>
      </c>
      <c r="P8" s="3">
        <v>1277</v>
      </c>
      <c r="Q8" s="3">
        <v>24180.9</v>
      </c>
      <c r="R8" s="3">
        <v>86.36</v>
      </c>
      <c r="S8" s="3">
        <v>2467.64</v>
      </c>
      <c r="T8" s="32">
        <v>0</v>
      </c>
      <c r="U8" s="32">
        <v>0</v>
      </c>
      <c r="V8" s="32">
        <f>36.95/0.1</f>
        <v>369.5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256</v>
      </c>
    </row>
    <row r="9" spans="2:28" s="24" customFormat="1" x14ac:dyDescent="0.25">
      <c r="B9" s="71" t="s">
        <v>106</v>
      </c>
      <c r="C9" s="71"/>
      <c r="D9" s="71"/>
      <c r="E9" s="16">
        <f>SUM(E3:E8)</f>
        <v>20644571784</v>
      </c>
      <c r="F9" s="29">
        <f>SUM(F3:F8)</f>
        <v>32039.375780243659</v>
      </c>
      <c r="G9" s="8"/>
      <c r="H9" s="8"/>
      <c r="I9" s="7">
        <f>SUM(I5:I8)</f>
        <v>39</v>
      </c>
      <c r="J9" s="7">
        <f>SUM(J5:J8)</f>
        <v>1072</v>
      </c>
      <c r="K9" s="7">
        <f>SUM(K5:K8)</f>
        <v>0</v>
      </c>
      <c r="L9" s="7">
        <f>SUM(L5:L8)</f>
        <v>1</v>
      </c>
      <c r="M9" s="7">
        <f t="shared" ref="M9:AB9" si="0">SUM(M5:M8)</f>
        <v>20</v>
      </c>
      <c r="N9" s="7">
        <f t="shared" si="0"/>
        <v>51543.15</v>
      </c>
      <c r="O9" s="7">
        <f t="shared" si="0"/>
        <v>2913695.9</v>
      </c>
      <c r="P9" s="7">
        <f t="shared" si="0"/>
        <v>3454</v>
      </c>
      <c r="Q9" s="7">
        <f t="shared" si="0"/>
        <v>219445.04</v>
      </c>
      <c r="R9" s="7">
        <f t="shared" si="0"/>
        <v>337.26</v>
      </c>
      <c r="S9" s="7">
        <f t="shared" si="0"/>
        <v>69105.14</v>
      </c>
      <c r="T9" s="7">
        <f t="shared" si="0"/>
        <v>0</v>
      </c>
      <c r="U9" s="7">
        <f t="shared" si="0"/>
        <v>42605.7</v>
      </c>
      <c r="V9" s="7">
        <f t="shared" si="0"/>
        <v>25854.399999999998</v>
      </c>
      <c r="W9" s="7">
        <f t="shared" si="0"/>
        <v>0</v>
      </c>
      <c r="X9" s="7">
        <f t="shared" si="0"/>
        <v>0</v>
      </c>
      <c r="Y9" s="7">
        <f t="shared" si="0"/>
        <v>0</v>
      </c>
      <c r="Z9" s="7">
        <f t="shared" si="0"/>
        <v>0</v>
      </c>
      <c r="AA9" s="7">
        <f t="shared" si="0"/>
        <v>0</v>
      </c>
      <c r="AB9" s="7">
        <f t="shared" si="0"/>
        <v>743</v>
      </c>
    </row>
    <row r="10" spans="2:28" s="24" customFormat="1" x14ac:dyDescent="0.25">
      <c r="E10" s="26"/>
    </row>
    <row r="12" spans="2:28" x14ac:dyDescent="0.25">
      <c r="C12" s="77" t="s">
        <v>104</v>
      </c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</row>
    <row r="13" spans="2:28" x14ac:dyDescent="0.25">
      <c r="C13" s="78" t="s">
        <v>102</v>
      </c>
      <c r="D13" s="79"/>
      <c r="E13" s="80"/>
      <c r="F13" s="78" t="s">
        <v>103</v>
      </c>
      <c r="G13" s="79"/>
      <c r="H13" s="79"/>
      <c r="I13" s="79"/>
      <c r="J13" s="79"/>
      <c r="K13" s="79"/>
      <c r="L13" s="79"/>
      <c r="M13" s="79"/>
      <c r="N13" s="80"/>
    </row>
    <row r="14" spans="2:28" x14ac:dyDescent="0.25">
      <c r="C14" s="84" t="s">
        <v>171</v>
      </c>
      <c r="D14" s="84"/>
      <c r="E14" s="84"/>
      <c r="F14" s="76" t="s">
        <v>182</v>
      </c>
      <c r="G14" s="74"/>
      <c r="H14" s="74"/>
      <c r="I14" s="74"/>
      <c r="J14" s="74"/>
      <c r="K14" s="74"/>
      <c r="L14" s="74"/>
      <c r="M14" s="74"/>
      <c r="N14" s="75"/>
    </row>
    <row r="15" spans="2:28" x14ac:dyDescent="0.25">
      <c r="C15" s="84" t="s">
        <v>183</v>
      </c>
      <c r="D15" s="84"/>
      <c r="E15" s="84"/>
      <c r="F15" s="76" t="s">
        <v>111</v>
      </c>
      <c r="G15" s="74"/>
      <c r="H15" s="74"/>
      <c r="I15" s="74"/>
      <c r="J15" s="74"/>
      <c r="K15" s="74"/>
      <c r="L15" s="74"/>
      <c r="M15" s="74"/>
      <c r="N15" s="75"/>
    </row>
    <row r="16" spans="2:28" x14ac:dyDescent="0.25">
      <c r="C16" s="84" t="s">
        <v>100</v>
      </c>
      <c r="D16" s="84"/>
      <c r="E16" s="84"/>
      <c r="F16" s="76" t="s">
        <v>200</v>
      </c>
      <c r="G16" s="74"/>
      <c r="H16" s="74"/>
      <c r="I16" s="74"/>
      <c r="J16" s="74"/>
      <c r="K16" s="74"/>
      <c r="L16" s="74"/>
      <c r="M16" s="74"/>
      <c r="N16" s="75"/>
    </row>
    <row r="17" spans="3:14" ht="30.75" customHeight="1" x14ac:dyDescent="0.25">
      <c r="C17" s="72" t="s">
        <v>181</v>
      </c>
      <c r="D17" s="72"/>
      <c r="E17" s="72"/>
      <c r="F17" s="73" t="s">
        <v>184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76" t="s">
        <v>112</v>
      </c>
      <c r="D18" s="74"/>
      <c r="E18" s="75"/>
      <c r="F18" s="76" t="s">
        <v>186</v>
      </c>
      <c r="G18" s="74"/>
      <c r="H18" s="74"/>
      <c r="I18" s="74"/>
      <c r="J18" s="74"/>
      <c r="K18" s="74"/>
      <c r="L18" s="74"/>
      <c r="M18" s="74"/>
      <c r="N18" s="75"/>
    </row>
    <row r="19" spans="3:14" x14ac:dyDescent="0.25">
      <c r="C19" s="84" t="s">
        <v>97</v>
      </c>
      <c r="D19" s="84"/>
      <c r="E19" s="84"/>
      <c r="F19" s="76" t="s">
        <v>105</v>
      </c>
      <c r="G19" s="74"/>
      <c r="H19" s="74"/>
      <c r="I19" s="74"/>
      <c r="J19" s="74"/>
      <c r="K19" s="74"/>
      <c r="L19" s="74"/>
      <c r="M19" s="74"/>
      <c r="N19" s="75"/>
    </row>
    <row r="22" spans="3:14" x14ac:dyDescent="0.25">
      <c r="C22" s="78" t="s">
        <v>144</v>
      </c>
      <c r="D22" s="80"/>
      <c r="E22" s="19">
        <v>644350</v>
      </c>
    </row>
  </sheetData>
  <mergeCells count="35">
    <mergeCell ref="C22:D22"/>
    <mergeCell ref="B9:D9"/>
    <mergeCell ref="C13:E13"/>
    <mergeCell ref="C14:E14"/>
    <mergeCell ref="C18:E18"/>
    <mergeCell ref="C15:E15"/>
    <mergeCell ref="C16:E16"/>
    <mergeCell ref="C17:E17"/>
    <mergeCell ref="C19:E19"/>
    <mergeCell ref="F15:N15"/>
    <mergeCell ref="F16:N16"/>
    <mergeCell ref="F17:N17"/>
    <mergeCell ref="F18:N18"/>
    <mergeCell ref="F19:N19"/>
    <mergeCell ref="H3:H4"/>
    <mergeCell ref="F3:F4"/>
    <mergeCell ref="C12:N12"/>
    <mergeCell ref="F13:N13"/>
    <mergeCell ref="F14:N1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I3:L3"/>
    <mergeCell ref="AB3:AB4"/>
    <mergeCell ref="G3:G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B24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6.7109375" style="1" customWidth="1"/>
    <col min="3" max="3" width="18.85546875" style="1" bestFit="1" customWidth="1"/>
    <col min="4" max="4" width="18.85546875" style="1" customWidth="1"/>
    <col min="5" max="5" width="36.140625" style="1" bestFit="1" customWidth="1"/>
    <col min="6" max="6" width="23" style="1" customWidth="1"/>
    <col min="7" max="7" width="35.140625" style="1" customWidth="1"/>
    <col min="8" max="8" width="27" style="1" bestFit="1" customWidth="1"/>
    <col min="9" max="11" width="27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21" width="14.85546875" style="1" customWidth="1"/>
    <col min="22" max="22" width="17.140625" style="1" customWidth="1"/>
    <col min="23" max="23" width="15.28515625" style="1" customWidth="1"/>
    <col min="24" max="25" width="17.42578125" style="1" customWidth="1"/>
    <col min="26" max="26" width="21.42578125" style="1" customWidth="1"/>
    <col min="27" max="27" width="21.5703125" style="1" customWidth="1"/>
    <col min="28" max="28" width="22.5703125" style="1" bestFit="1" customWidth="1"/>
    <col min="29" max="16384" width="11.42578125" style="1"/>
  </cols>
  <sheetData>
    <row r="2" spans="2:28" x14ac:dyDescent="0.25">
      <c r="B2" s="99" t="s">
        <v>165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155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7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105" x14ac:dyDescent="0.25">
      <c r="B5" s="3">
        <v>19</v>
      </c>
      <c r="C5" s="3">
        <v>4600005372</v>
      </c>
      <c r="D5" s="3">
        <v>4600005623</v>
      </c>
      <c r="E5" s="12">
        <v>5968995261</v>
      </c>
      <c r="F5" s="18">
        <f t="shared" ref="F5:F10" si="0">E5/$E$24</f>
        <v>8657.5559840743772</v>
      </c>
      <c r="G5" s="9" t="s">
        <v>50</v>
      </c>
      <c r="H5" s="3" t="s">
        <v>122</v>
      </c>
      <c r="I5" s="10">
        <v>15</v>
      </c>
      <c r="J5" s="10">
        <f>1095+100</f>
        <v>1195</v>
      </c>
      <c r="K5" s="10">
        <v>0</v>
      </c>
      <c r="L5" s="3">
        <v>2</v>
      </c>
      <c r="M5" s="3">
        <v>13</v>
      </c>
      <c r="N5" s="3">
        <v>0</v>
      </c>
      <c r="O5" s="3">
        <v>1151966.6000000001</v>
      </c>
      <c r="P5" s="3">
        <v>3303</v>
      </c>
      <c r="Q5" s="3">
        <v>258203</v>
      </c>
      <c r="R5" s="3">
        <v>202.95</v>
      </c>
      <c r="S5" s="3">
        <v>29457.5</v>
      </c>
      <c r="T5" s="30">
        <v>0</v>
      </c>
      <c r="U5" s="3">
        <f>245.1/0.1</f>
        <v>2451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1</v>
      </c>
      <c r="AB5" s="3">
        <v>10</v>
      </c>
    </row>
    <row r="6" spans="2:28" ht="60" x14ac:dyDescent="0.25">
      <c r="B6" s="3">
        <v>20</v>
      </c>
      <c r="C6" s="3">
        <v>4600005373</v>
      </c>
      <c r="D6" s="3">
        <v>4600005581</v>
      </c>
      <c r="E6" s="12">
        <v>6129620831</v>
      </c>
      <c r="F6" s="18">
        <f t="shared" si="0"/>
        <v>8890.5306814802989</v>
      </c>
      <c r="G6" s="9" t="s">
        <v>51</v>
      </c>
      <c r="H6" s="3" t="s">
        <v>121</v>
      </c>
      <c r="I6" s="10">
        <v>10</v>
      </c>
      <c r="J6" s="10">
        <v>0</v>
      </c>
      <c r="K6" s="10">
        <v>0</v>
      </c>
      <c r="L6" s="3">
        <v>2</v>
      </c>
      <c r="M6" s="3">
        <v>15</v>
      </c>
      <c r="N6" s="3">
        <v>12281.32</v>
      </c>
      <c r="O6" s="3">
        <v>195348.75</v>
      </c>
      <c r="P6" s="3">
        <v>4286</v>
      </c>
      <c r="Q6" s="3">
        <v>328514</v>
      </c>
      <c r="R6" s="3">
        <v>302.13</v>
      </c>
      <c r="S6" s="3">
        <v>14608.1</v>
      </c>
      <c r="T6" s="3">
        <v>0</v>
      </c>
      <c r="U6" s="3">
        <f>775.39/0.1</f>
        <v>7753.9</v>
      </c>
      <c r="V6" s="3">
        <f>491.19/0.1</f>
        <v>4911.8999999999996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</row>
    <row r="7" spans="2:28" ht="60" x14ac:dyDescent="0.25">
      <c r="B7" s="3">
        <v>21</v>
      </c>
      <c r="C7" s="3">
        <v>4600005377</v>
      </c>
      <c r="D7" s="3">
        <v>4600005624</v>
      </c>
      <c r="E7" s="12">
        <v>6140397922</v>
      </c>
      <c r="F7" s="18">
        <f t="shared" si="0"/>
        <v>8906.1620004206216</v>
      </c>
      <c r="G7" s="9" t="s">
        <v>52</v>
      </c>
      <c r="H7" s="3" t="s">
        <v>128</v>
      </c>
      <c r="I7" s="3">
        <v>13</v>
      </c>
      <c r="J7" s="3">
        <v>1246.5</v>
      </c>
      <c r="K7" s="3">
        <v>0</v>
      </c>
      <c r="L7" s="3">
        <v>1</v>
      </c>
      <c r="M7" s="3">
        <v>15</v>
      </c>
      <c r="N7" s="3">
        <v>24491.25</v>
      </c>
      <c r="O7" s="3">
        <v>999457.65</v>
      </c>
      <c r="P7" s="3">
        <v>533</v>
      </c>
      <c r="Q7" s="3">
        <v>13581.7</v>
      </c>
      <c r="R7" s="3">
        <v>83.73</v>
      </c>
      <c r="S7" s="3">
        <v>35595.160000000003</v>
      </c>
      <c r="T7" s="3">
        <v>0</v>
      </c>
      <c r="U7" s="3">
        <f>423.06/0.1</f>
        <v>4230.5999999999995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1</v>
      </c>
      <c r="AB7" s="3">
        <v>38</v>
      </c>
    </row>
    <row r="8" spans="2:28" ht="75" x14ac:dyDescent="0.25">
      <c r="B8" s="3">
        <v>22</v>
      </c>
      <c r="C8" s="3">
        <v>4600005393</v>
      </c>
      <c r="D8" s="3">
        <v>4600005566</v>
      </c>
      <c r="E8" s="12">
        <v>5421348765</v>
      </c>
      <c r="F8" s="18">
        <f t="shared" si="0"/>
        <v>7863.2380140835876</v>
      </c>
      <c r="G8" s="9" t="s">
        <v>53</v>
      </c>
      <c r="H8" s="10" t="s">
        <v>117</v>
      </c>
      <c r="I8" s="10">
        <v>5</v>
      </c>
      <c r="J8" s="10">
        <v>0</v>
      </c>
      <c r="K8" s="10">
        <v>0</v>
      </c>
      <c r="L8" s="3">
        <v>1</v>
      </c>
      <c r="M8" s="3">
        <v>3</v>
      </c>
      <c r="N8" s="3">
        <v>8091</v>
      </c>
      <c r="O8" s="3">
        <v>1607369</v>
      </c>
      <c r="P8" s="3">
        <v>1897</v>
      </c>
      <c r="Q8" s="3">
        <v>70123</v>
      </c>
      <c r="R8" s="3">
        <v>149.19999999999999</v>
      </c>
      <c r="S8" s="3">
        <v>124693</v>
      </c>
      <c r="T8" s="3">
        <v>0</v>
      </c>
      <c r="U8" s="3">
        <v>0</v>
      </c>
      <c r="V8" s="3">
        <f>254.43/0.1</f>
        <v>2544.2999999999997</v>
      </c>
      <c r="W8" s="3">
        <v>0</v>
      </c>
      <c r="X8" s="3">
        <v>0</v>
      </c>
      <c r="Y8" s="3">
        <v>0</v>
      </c>
      <c r="Z8" s="3">
        <v>0</v>
      </c>
      <c r="AA8" s="3">
        <v>1</v>
      </c>
      <c r="AB8" s="3">
        <v>28</v>
      </c>
    </row>
    <row r="9" spans="2:28" ht="60" x14ac:dyDescent="0.25">
      <c r="B9" s="3">
        <v>23</v>
      </c>
      <c r="C9" s="3">
        <v>4600005394</v>
      </c>
      <c r="D9" s="3">
        <v>4600005563</v>
      </c>
      <c r="E9" s="12">
        <v>6133562068</v>
      </c>
      <c r="F9" s="18">
        <f t="shared" si="0"/>
        <v>8896.2471343307388</v>
      </c>
      <c r="G9" s="9" t="s">
        <v>54</v>
      </c>
      <c r="H9" s="3" t="s">
        <v>119</v>
      </c>
      <c r="I9" s="3">
        <v>3</v>
      </c>
      <c r="J9" s="3">
        <v>0</v>
      </c>
      <c r="K9" s="3">
        <v>0</v>
      </c>
      <c r="L9" s="3">
        <v>2</v>
      </c>
      <c r="M9" s="3">
        <v>8</v>
      </c>
      <c r="N9" s="3">
        <v>10409.24</v>
      </c>
      <c r="O9" s="3">
        <v>719074.1</v>
      </c>
      <c r="P9" s="3">
        <v>7006</v>
      </c>
      <c r="Q9" s="3">
        <v>965312.8</v>
      </c>
      <c r="R9" s="3">
        <v>583.59</v>
      </c>
      <c r="S9" s="3">
        <v>17147.38</v>
      </c>
      <c r="T9" s="3">
        <v>0</v>
      </c>
      <c r="U9" s="3">
        <v>0</v>
      </c>
      <c r="V9" s="3">
        <f>51.36/0.1</f>
        <v>513.59999999999991</v>
      </c>
      <c r="W9" s="3">
        <v>0</v>
      </c>
      <c r="X9" s="3">
        <v>0</v>
      </c>
      <c r="Y9" s="3">
        <v>0</v>
      </c>
      <c r="Z9" s="3">
        <v>1</v>
      </c>
      <c r="AA9" s="3">
        <v>1</v>
      </c>
      <c r="AB9" s="3">
        <v>6</v>
      </c>
    </row>
    <row r="10" spans="2:28" ht="75" x14ac:dyDescent="0.25">
      <c r="B10" s="3">
        <v>24</v>
      </c>
      <c r="C10" s="3">
        <v>4600005515</v>
      </c>
      <c r="D10" s="3">
        <v>4600005622</v>
      </c>
      <c r="E10" s="12">
        <v>4599657246</v>
      </c>
      <c r="F10" s="18">
        <f t="shared" si="0"/>
        <v>6671.4393919835229</v>
      </c>
      <c r="G10" s="9" t="s">
        <v>55</v>
      </c>
      <c r="H10" s="10" t="s">
        <v>129</v>
      </c>
      <c r="I10" s="10">
        <v>9</v>
      </c>
      <c r="J10" s="10">
        <f>45.6+76+16</f>
        <v>137.6</v>
      </c>
      <c r="K10" s="10">
        <v>0</v>
      </c>
      <c r="L10" s="3">
        <v>2</v>
      </c>
      <c r="M10" s="3">
        <v>17</v>
      </c>
      <c r="N10" s="3">
        <v>1206.5999999999999</v>
      </c>
      <c r="O10" s="3">
        <v>256900</v>
      </c>
      <c r="P10" s="3">
        <v>1119</v>
      </c>
      <c r="Q10" s="3">
        <v>192181</v>
      </c>
      <c r="R10" s="3">
        <v>88.21</v>
      </c>
      <c r="S10" s="3">
        <v>19394.7</v>
      </c>
      <c r="T10" s="3">
        <v>0</v>
      </c>
      <c r="U10" s="3">
        <v>0</v>
      </c>
      <c r="V10" s="3">
        <f>1385.47/0.1</f>
        <v>13854.699999999999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</row>
    <row r="11" spans="2:28" s="24" customFormat="1" x14ac:dyDescent="0.25">
      <c r="B11" s="71" t="s">
        <v>106</v>
      </c>
      <c r="C11" s="71"/>
      <c r="D11" s="71"/>
      <c r="E11" s="16">
        <f>SUM(E5:E10)</f>
        <v>34393582093</v>
      </c>
      <c r="F11" s="29">
        <f>SUM(F5:F10)</f>
        <v>49885.173206373147</v>
      </c>
      <c r="G11" s="58"/>
      <c r="H11" s="58"/>
      <c r="I11" s="7">
        <f>SUM(I5:I10)</f>
        <v>55</v>
      </c>
      <c r="J11" s="7">
        <f>SUM(J5:J10)</f>
        <v>2579.1</v>
      </c>
      <c r="K11" s="7">
        <f>SUM(K5:K10)</f>
        <v>0</v>
      </c>
      <c r="L11" s="7">
        <f>SUM(L5:L10)</f>
        <v>10</v>
      </c>
      <c r="M11" s="7">
        <f t="shared" ref="M11:AB11" si="1">SUM(M5:M10)</f>
        <v>71</v>
      </c>
      <c r="N11" s="7">
        <f t="shared" si="1"/>
        <v>56479.409999999996</v>
      </c>
      <c r="O11" s="7">
        <f t="shared" si="1"/>
        <v>4930116.0999999996</v>
      </c>
      <c r="P11" s="7">
        <f t="shared" si="1"/>
        <v>18144</v>
      </c>
      <c r="Q11" s="7">
        <f t="shared" si="1"/>
        <v>1827915.5</v>
      </c>
      <c r="R11" s="7">
        <f t="shared" si="1"/>
        <v>1409.81</v>
      </c>
      <c r="S11" s="7">
        <f t="shared" si="1"/>
        <v>240895.84000000003</v>
      </c>
      <c r="T11" s="7">
        <f t="shared" si="1"/>
        <v>0</v>
      </c>
      <c r="U11" s="7">
        <f t="shared" si="1"/>
        <v>14435.5</v>
      </c>
      <c r="V11" s="7">
        <f t="shared" si="1"/>
        <v>21824.5</v>
      </c>
      <c r="W11" s="7">
        <f t="shared" si="1"/>
        <v>0</v>
      </c>
      <c r="X11" s="7">
        <f t="shared" si="1"/>
        <v>0</v>
      </c>
      <c r="Y11" s="7">
        <f t="shared" si="1"/>
        <v>0</v>
      </c>
      <c r="Z11" s="7">
        <f t="shared" si="1"/>
        <v>1</v>
      </c>
      <c r="AA11" s="7">
        <f t="shared" si="1"/>
        <v>4</v>
      </c>
      <c r="AB11" s="7">
        <f t="shared" si="1"/>
        <v>82</v>
      </c>
    </row>
    <row r="12" spans="2:28" s="24" customFormat="1" x14ac:dyDescent="0.25">
      <c r="E12" s="26"/>
    </row>
    <row r="14" spans="2:28" x14ac:dyDescent="0.25">
      <c r="C14" s="77" t="s">
        <v>104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2:28" x14ac:dyDescent="0.25">
      <c r="C15" s="78" t="s">
        <v>102</v>
      </c>
      <c r="D15" s="79"/>
      <c r="E15" s="80"/>
      <c r="F15" s="78" t="s">
        <v>103</v>
      </c>
      <c r="G15" s="79"/>
      <c r="H15" s="79"/>
      <c r="I15" s="79"/>
      <c r="J15" s="79"/>
      <c r="K15" s="79"/>
      <c r="L15" s="79"/>
      <c r="M15" s="79"/>
      <c r="N15" s="80"/>
    </row>
    <row r="16" spans="2:28" x14ac:dyDescent="0.25">
      <c r="C16" s="84" t="s">
        <v>171</v>
      </c>
      <c r="D16" s="84"/>
      <c r="E16" s="84"/>
      <c r="F16" s="76" t="s">
        <v>182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183</v>
      </c>
      <c r="D17" s="84"/>
      <c r="E17" s="84"/>
      <c r="F17" s="76" t="s">
        <v>111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100</v>
      </c>
      <c r="D18" s="84"/>
      <c r="E18" s="84"/>
      <c r="F18" s="76" t="s">
        <v>200</v>
      </c>
      <c r="G18" s="74"/>
      <c r="H18" s="74"/>
      <c r="I18" s="74"/>
      <c r="J18" s="74"/>
      <c r="K18" s="74"/>
      <c r="L18" s="74"/>
      <c r="M18" s="74"/>
      <c r="N18" s="75"/>
    </row>
    <row r="19" spans="3:14" ht="38.25" customHeight="1" x14ac:dyDescent="0.25">
      <c r="C19" s="72" t="s">
        <v>181</v>
      </c>
      <c r="D19" s="72"/>
      <c r="E19" s="72"/>
      <c r="F19" s="73" t="s">
        <v>184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76" t="s">
        <v>112</v>
      </c>
      <c r="D20" s="74"/>
      <c r="E20" s="75"/>
      <c r="F20" s="76" t="s">
        <v>186</v>
      </c>
      <c r="G20" s="74"/>
      <c r="H20" s="74"/>
      <c r="I20" s="74"/>
      <c r="J20" s="74"/>
      <c r="K20" s="74"/>
      <c r="L20" s="74"/>
      <c r="M20" s="74"/>
      <c r="N20" s="75"/>
    </row>
    <row r="21" spans="3:14" x14ac:dyDescent="0.25">
      <c r="C21" s="84" t="s">
        <v>97</v>
      </c>
      <c r="D21" s="84"/>
      <c r="E21" s="84"/>
      <c r="F21" s="76" t="s">
        <v>105</v>
      </c>
      <c r="G21" s="74"/>
      <c r="H21" s="74"/>
      <c r="I21" s="74"/>
      <c r="J21" s="74"/>
      <c r="K21" s="74"/>
      <c r="L21" s="74"/>
      <c r="M21" s="74"/>
      <c r="N21" s="75"/>
    </row>
    <row r="24" spans="3:14" x14ac:dyDescent="0.25">
      <c r="C24" s="78" t="s">
        <v>145</v>
      </c>
      <c r="D24" s="80"/>
      <c r="E24" s="19">
        <v>689455</v>
      </c>
    </row>
  </sheetData>
  <mergeCells count="36">
    <mergeCell ref="F20:N20"/>
    <mergeCell ref="F21:N21"/>
    <mergeCell ref="C24:D24"/>
    <mergeCell ref="B11:D11"/>
    <mergeCell ref="C15:E15"/>
    <mergeCell ref="C16:E16"/>
    <mergeCell ref="C20:E20"/>
    <mergeCell ref="C17:E17"/>
    <mergeCell ref="C18:E18"/>
    <mergeCell ref="C19:E19"/>
    <mergeCell ref="C21:E21"/>
    <mergeCell ref="F15:N15"/>
    <mergeCell ref="F16:N16"/>
    <mergeCell ref="F17:N17"/>
    <mergeCell ref="F18:N18"/>
    <mergeCell ref="F19:N19"/>
    <mergeCell ref="G11:H11"/>
    <mergeCell ref="AB3:AB4"/>
    <mergeCell ref="F3:F4"/>
    <mergeCell ref="I3:L3"/>
    <mergeCell ref="C14:N1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  <mergeCell ref="H3:H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B24"/>
  <sheetViews>
    <sheetView zoomScale="60" zoomScaleNormal="60" workbookViewId="0"/>
  </sheetViews>
  <sheetFormatPr baseColWidth="10" defaultColWidth="11.42578125" defaultRowHeight="15" x14ac:dyDescent="0.25"/>
  <cols>
    <col min="1" max="1" width="11.42578125" style="1"/>
    <col min="2" max="2" width="7.7109375" style="1" customWidth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3.5703125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21" width="20.140625" style="1" customWidth="1"/>
    <col min="22" max="23" width="11.42578125" style="1"/>
    <col min="24" max="24" width="17.140625" style="1" customWidth="1"/>
    <col min="25" max="25" width="18.42578125" style="1" customWidth="1"/>
    <col min="26" max="26" width="17" style="1" customWidth="1"/>
    <col min="27" max="27" width="18" style="1" customWidth="1"/>
    <col min="28" max="16384" width="11.42578125" style="1"/>
  </cols>
  <sheetData>
    <row r="2" spans="2:28" x14ac:dyDescent="0.25">
      <c r="B2" s="71" t="s">
        <v>166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156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23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75" x14ac:dyDescent="0.25">
      <c r="B5" s="3">
        <v>25</v>
      </c>
      <c r="C5" s="5">
        <v>4600007136</v>
      </c>
      <c r="D5" s="5">
        <v>4600007209</v>
      </c>
      <c r="E5" s="13">
        <v>1952872479</v>
      </c>
      <c r="F5" s="20">
        <f t="shared" ref="F5:F10" si="0">E5/$E$24</f>
        <v>2647.1837832122615</v>
      </c>
      <c r="G5" s="9" t="s">
        <v>46</v>
      </c>
      <c r="H5" s="9" t="s">
        <v>130</v>
      </c>
      <c r="I5" s="10">
        <v>0</v>
      </c>
      <c r="J5" s="10">
        <v>49</v>
      </c>
      <c r="K5" s="10">
        <v>0</v>
      </c>
      <c r="L5" s="3">
        <v>2</v>
      </c>
      <c r="M5" s="3">
        <v>4</v>
      </c>
      <c r="N5" s="3">
        <v>143.19999999999999</v>
      </c>
      <c r="O5" s="3">
        <v>0</v>
      </c>
      <c r="P5" s="3">
        <v>893</v>
      </c>
      <c r="Q5" s="3">
        <v>166550</v>
      </c>
      <c r="R5" s="3">
        <v>51.7</v>
      </c>
      <c r="S5" s="3">
        <v>1982.9</v>
      </c>
      <c r="T5" s="30">
        <v>0</v>
      </c>
      <c r="U5" s="3">
        <v>0</v>
      </c>
      <c r="V5" s="3">
        <f>1061.1/0.1</f>
        <v>10610.999999999998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8</v>
      </c>
    </row>
    <row r="6" spans="2:28" ht="75" x14ac:dyDescent="0.25">
      <c r="B6" s="3">
        <v>26</v>
      </c>
      <c r="C6" s="3">
        <v>4600007146</v>
      </c>
      <c r="D6" s="3">
        <v>4600007228</v>
      </c>
      <c r="E6" s="12">
        <v>4937970479</v>
      </c>
      <c r="F6" s="20">
        <f t="shared" si="0"/>
        <v>6693.5836899515671</v>
      </c>
      <c r="G6" s="9" t="s">
        <v>47</v>
      </c>
      <c r="H6" s="10" t="s">
        <v>131</v>
      </c>
      <c r="I6" s="10">
        <v>4</v>
      </c>
      <c r="J6" s="10">
        <v>14.7</v>
      </c>
      <c r="K6" s="10">
        <v>0</v>
      </c>
      <c r="L6" s="3">
        <v>4</v>
      </c>
      <c r="M6" s="3">
        <v>9</v>
      </c>
      <c r="N6" s="3">
        <v>13636</v>
      </c>
      <c r="O6" s="3">
        <v>760789</v>
      </c>
      <c r="P6" s="3">
        <v>84</v>
      </c>
      <c r="Q6" s="3">
        <v>52400</v>
      </c>
      <c r="R6" s="3">
        <v>99</v>
      </c>
      <c r="S6" s="3">
        <v>66402</v>
      </c>
      <c r="T6" s="3">
        <v>0</v>
      </c>
      <c r="U6" s="3">
        <v>0</v>
      </c>
      <c r="V6" s="3">
        <f>745/0.1</f>
        <v>7450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</row>
    <row r="7" spans="2:28" ht="105" x14ac:dyDescent="0.25">
      <c r="B7" s="3">
        <v>27</v>
      </c>
      <c r="C7" s="3">
        <v>4600007149</v>
      </c>
      <c r="D7" s="3">
        <v>4600007198</v>
      </c>
      <c r="E7" s="12">
        <v>4139044164</v>
      </c>
      <c r="F7" s="20">
        <f t="shared" si="0"/>
        <v>5610.6124218365576</v>
      </c>
      <c r="G7" s="9" t="s">
        <v>48</v>
      </c>
      <c r="H7" s="3" t="s">
        <v>127</v>
      </c>
      <c r="I7" s="3">
        <v>17</v>
      </c>
      <c r="J7" s="3">
        <v>135</v>
      </c>
      <c r="K7" s="3">
        <v>0</v>
      </c>
      <c r="L7" s="3">
        <v>0</v>
      </c>
      <c r="M7" s="3">
        <v>13</v>
      </c>
      <c r="N7" s="3">
        <v>17254</v>
      </c>
      <c r="O7" s="3">
        <v>403342.5</v>
      </c>
      <c r="P7" s="3">
        <v>2234</v>
      </c>
      <c r="Q7" s="3">
        <v>227653.6</v>
      </c>
      <c r="R7" s="3">
        <v>144.4</v>
      </c>
      <c r="S7" s="3">
        <v>4202</v>
      </c>
      <c r="T7" s="3">
        <v>0</v>
      </c>
      <c r="U7" s="3">
        <v>0</v>
      </c>
      <c r="V7" s="3">
        <f>9.3/0.1</f>
        <v>93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</row>
    <row r="8" spans="2:28" ht="60" x14ac:dyDescent="0.25">
      <c r="B8" s="3">
        <v>28</v>
      </c>
      <c r="C8" s="3">
        <v>4600007151</v>
      </c>
      <c r="D8" s="3">
        <v>4600007218</v>
      </c>
      <c r="E8" s="12">
        <v>5128428073</v>
      </c>
      <c r="F8" s="20">
        <f t="shared" si="0"/>
        <v>6951.7553113185677</v>
      </c>
      <c r="G8" s="9" t="s">
        <v>39</v>
      </c>
      <c r="H8" s="3" t="s">
        <v>121</v>
      </c>
      <c r="I8" s="3">
        <v>14</v>
      </c>
      <c r="J8" s="3">
        <v>1000</v>
      </c>
      <c r="K8" s="3">
        <v>0</v>
      </c>
      <c r="L8" s="3">
        <v>0</v>
      </c>
      <c r="M8" s="3">
        <v>15</v>
      </c>
      <c r="N8" s="3">
        <v>14813.1</v>
      </c>
      <c r="O8" s="3">
        <v>239670.5</v>
      </c>
      <c r="P8" s="3">
        <v>1058</v>
      </c>
      <c r="Q8" s="3">
        <v>224730</v>
      </c>
      <c r="R8" s="3">
        <v>93.6</v>
      </c>
      <c r="S8" s="3">
        <v>4368</v>
      </c>
      <c r="T8" s="3">
        <v>0</v>
      </c>
      <c r="U8" s="3">
        <f>421.6/0.1</f>
        <v>4216</v>
      </c>
      <c r="V8" s="3">
        <f>439.2/0.1</f>
        <v>4392</v>
      </c>
      <c r="W8" s="3">
        <v>0</v>
      </c>
      <c r="X8" s="3">
        <v>0</v>
      </c>
      <c r="Y8" s="3">
        <v>0</v>
      </c>
      <c r="Z8" s="3">
        <v>0</v>
      </c>
      <c r="AA8" s="3">
        <v>1</v>
      </c>
      <c r="AB8" s="3">
        <v>0</v>
      </c>
    </row>
    <row r="9" spans="2:28" ht="60" x14ac:dyDescent="0.25">
      <c r="B9" s="3">
        <v>29</v>
      </c>
      <c r="C9" s="3">
        <v>4600007152</v>
      </c>
      <c r="D9" s="3">
        <v>4600007222</v>
      </c>
      <c r="E9" s="12">
        <v>4131669988</v>
      </c>
      <c r="F9" s="20">
        <f t="shared" si="0"/>
        <v>5600.6164803034226</v>
      </c>
      <c r="G9" s="9" t="s">
        <v>30</v>
      </c>
      <c r="H9" s="3" t="s">
        <v>119</v>
      </c>
      <c r="I9" s="3">
        <v>8</v>
      </c>
      <c r="J9" s="3">
        <v>0</v>
      </c>
      <c r="K9" s="3">
        <v>0</v>
      </c>
      <c r="L9" s="3">
        <v>2</v>
      </c>
      <c r="M9" s="3">
        <v>10</v>
      </c>
      <c r="N9" s="3">
        <v>10069.1</v>
      </c>
      <c r="O9" s="3">
        <v>457445</v>
      </c>
      <c r="P9" s="3">
        <v>3618</v>
      </c>
      <c r="Q9" s="3">
        <v>584605</v>
      </c>
      <c r="R9" s="3">
        <v>244.2</v>
      </c>
      <c r="S9" s="3">
        <v>17293.900000000001</v>
      </c>
      <c r="T9" s="3">
        <v>0</v>
      </c>
      <c r="U9" s="3">
        <f>10.7/0.1</f>
        <v>106.99999999999999</v>
      </c>
      <c r="V9" s="3">
        <f>600.9/0.1</f>
        <v>6008.9999999999991</v>
      </c>
      <c r="W9" s="3">
        <v>0</v>
      </c>
      <c r="X9" s="3">
        <v>0</v>
      </c>
      <c r="Y9" s="3">
        <v>0</v>
      </c>
      <c r="Z9" s="3">
        <v>0</v>
      </c>
      <c r="AA9" s="3">
        <v>2</v>
      </c>
      <c r="AB9" s="3">
        <v>30</v>
      </c>
    </row>
    <row r="10" spans="2:28" ht="75" x14ac:dyDescent="0.25">
      <c r="B10" s="3">
        <v>30</v>
      </c>
      <c r="C10" s="3">
        <v>4600007155</v>
      </c>
      <c r="D10" s="3">
        <v>4600007208</v>
      </c>
      <c r="E10" s="12">
        <v>4145311783</v>
      </c>
      <c r="F10" s="20">
        <f t="shared" si="0"/>
        <v>5619.10838844706</v>
      </c>
      <c r="G10" s="9" t="s">
        <v>49</v>
      </c>
      <c r="H10" s="3" t="s">
        <v>132</v>
      </c>
      <c r="I10" s="3">
        <v>4</v>
      </c>
      <c r="J10" s="3">
        <v>0</v>
      </c>
      <c r="K10" s="3">
        <v>0</v>
      </c>
      <c r="L10" s="3">
        <v>0</v>
      </c>
      <c r="M10" s="3">
        <v>15</v>
      </c>
      <c r="N10" s="3">
        <v>16242.61</v>
      </c>
      <c r="O10" s="3">
        <v>1121503.3999999999</v>
      </c>
      <c r="P10" s="3">
        <v>1480</v>
      </c>
      <c r="Q10" s="3">
        <v>158993.68</v>
      </c>
      <c r="R10" s="3">
        <v>152.85</v>
      </c>
      <c r="S10" s="3">
        <v>47283.9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1</v>
      </c>
      <c r="AA10" s="3">
        <v>0</v>
      </c>
      <c r="AB10" s="3">
        <v>0</v>
      </c>
    </row>
    <row r="11" spans="2:28" s="24" customFormat="1" x14ac:dyDescent="0.25">
      <c r="B11" s="71" t="s">
        <v>106</v>
      </c>
      <c r="C11" s="71"/>
      <c r="D11" s="71"/>
      <c r="E11" s="16">
        <f>SUM(E5:E10)</f>
        <v>24435296966</v>
      </c>
      <c r="F11" s="29">
        <f>SUM(F5:F10)</f>
        <v>33122.860075069439</v>
      </c>
      <c r="G11" s="58"/>
      <c r="H11" s="58"/>
      <c r="I11" s="7">
        <f>SUM(I5:I10)</f>
        <v>47</v>
      </c>
      <c r="J11" s="7">
        <f>SUM(J5:J10)</f>
        <v>1198.7</v>
      </c>
      <c r="K11" s="7">
        <f>SUM(K5:K10)</f>
        <v>0</v>
      </c>
      <c r="L11" s="7">
        <f>SUM(L5:L10)</f>
        <v>8</v>
      </c>
      <c r="M11" s="7">
        <f t="shared" ref="M11:AB11" si="1">SUM(M5:M10)</f>
        <v>66</v>
      </c>
      <c r="N11" s="7">
        <f t="shared" si="1"/>
        <v>72158.010000000009</v>
      </c>
      <c r="O11" s="7">
        <f t="shared" si="1"/>
        <v>2982750.4</v>
      </c>
      <c r="P11" s="7">
        <f t="shared" si="1"/>
        <v>9367</v>
      </c>
      <c r="Q11" s="7">
        <f t="shared" si="1"/>
        <v>1414932.28</v>
      </c>
      <c r="R11" s="7">
        <f t="shared" si="1"/>
        <v>785.75000000000011</v>
      </c>
      <c r="S11" s="7">
        <f t="shared" si="1"/>
        <v>141532.69999999998</v>
      </c>
      <c r="T11" s="7">
        <f t="shared" si="1"/>
        <v>0</v>
      </c>
      <c r="U11" s="7">
        <f t="shared" si="1"/>
        <v>4323</v>
      </c>
      <c r="V11" s="7">
        <f t="shared" si="1"/>
        <v>28555</v>
      </c>
      <c r="W11" s="7">
        <f t="shared" si="1"/>
        <v>0</v>
      </c>
      <c r="X11" s="7">
        <f t="shared" si="1"/>
        <v>0</v>
      </c>
      <c r="Y11" s="7">
        <f t="shared" si="1"/>
        <v>0</v>
      </c>
      <c r="Z11" s="7">
        <f t="shared" si="1"/>
        <v>1</v>
      </c>
      <c r="AA11" s="7">
        <f t="shared" si="1"/>
        <v>3</v>
      </c>
      <c r="AB11" s="7">
        <f t="shared" si="1"/>
        <v>38</v>
      </c>
    </row>
    <row r="12" spans="2:28" s="24" customFormat="1" x14ac:dyDescent="0.25">
      <c r="E12" s="26"/>
    </row>
    <row r="14" spans="2:28" x14ac:dyDescent="0.25">
      <c r="C14" s="77" t="s">
        <v>104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2:28" x14ac:dyDescent="0.25">
      <c r="C15" s="78" t="s">
        <v>102</v>
      </c>
      <c r="D15" s="79"/>
      <c r="E15" s="80"/>
      <c r="F15" s="78" t="s">
        <v>103</v>
      </c>
      <c r="G15" s="79"/>
      <c r="H15" s="79"/>
      <c r="I15" s="79"/>
      <c r="J15" s="79"/>
      <c r="K15" s="79"/>
      <c r="L15" s="79"/>
      <c r="M15" s="79"/>
      <c r="N15" s="80"/>
    </row>
    <row r="16" spans="2:28" x14ac:dyDescent="0.25">
      <c r="C16" s="84" t="s">
        <v>171</v>
      </c>
      <c r="D16" s="84"/>
      <c r="E16" s="84"/>
      <c r="F16" s="76" t="s">
        <v>182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183</v>
      </c>
      <c r="D17" s="84"/>
      <c r="E17" s="84"/>
      <c r="F17" s="76" t="s">
        <v>111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100</v>
      </c>
      <c r="D18" s="84"/>
      <c r="E18" s="84"/>
      <c r="F18" s="76" t="s">
        <v>200</v>
      </c>
      <c r="G18" s="74"/>
      <c r="H18" s="74"/>
      <c r="I18" s="74"/>
      <c r="J18" s="74"/>
      <c r="K18" s="74"/>
      <c r="L18" s="74"/>
      <c r="M18" s="74"/>
      <c r="N18" s="75"/>
    </row>
    <row r="19" spans="3:14" ht="33" customHeight="1" x14ac:dyDescent="0.25">
      <c r="C19" s="72" t="s">
        <v>181</v>
      </c>
      <c r="D19" s="72"/>
      <c r="E19" s="72"/>
      <c r="F19" s="73" t="s">
        <v>184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76" t="s">
        <v>112</v>
      </c>
      <c r="D20" s="74"/>
      <c r="E20" s="75"/>
      <c r="F20" s="76" t="s">
        <v>186</v>
      </c>
      <c r="G20" s="74"/>
      <c r="H20" s="74"/>
      <c r="I20" s="74"/>
      <c r="J20" s="74"/>
      <c r="K20" s="74"/>
      <c r="L20" s="74"/>
      <c r="M20" s="74"/>
      <c r="N20" s="75"/>
    </row>
    <row r="21" spans="3:14" x14ac:dyDescent="0.25">
      <c r="C21" s="84" t="s">
        <v>97</v>
      </c>
      <c r="D21" s="84"/>
      <c r="E21" s="84"/>
      <c r="F21" s="76" t="s">
        <v>105</v>
      </c>
      <c r="G21" s="74"/>
      <c r="H21" s="74"/>
      <c r="I21" s="74"/>
      <c r="J21" s="74"/>
      <c r="K21" s="74"/>
      <c r="L21" s="74"/>
      <c r="M21" s="74"/>
      <c r="N21" s="75"/>
    </row>
    <row r="24" spans="3:14" x14ac:dyDescent="0.25">
      <c r="C24" s="78" t="s">
        <v>146</v>
      </c>
      <c r="D24" s="80"/>
      <c r="E24" s="19">
        <v>737717</v>
      </c>
    </row>
  </sheetData>
  <mergeCells count="36">
    <mergeCell ref="F19:N19"/>
    <mergeCell ref="F20:N20"/>
    <mergeCell ref="F21:N21"/>
    <mergeCell ref="C24:D24"/>
    <mergeCell ref="B11:D11"/>
    <mergeCell ref="C15:E15"/>
    <mergeCell ref="C16:E16"/>
    <mergeCell ref="C20:E20"/>
    <mergeCell ref="C17:E17"/>
    <mergeCell ref="C18:E18"/>
    <mergeCell ref="C19:E19"/>
    <mergeCell ref="C21:E21"/>
    <mergeCell ref="C14:N14"/>
    <mergeCell ref="F15:N15"/>
    <mergeCell ref="F16:N16"/>
    <mergeCell ref="F17:N17"/>
    <mergeCell ref="F18:N18"/>
    <mergeCell ref="G11:H11"/>
    <mergeCell ref="AB3:AB4"/>
    <mergeCell ref="F3:F4"/>
    <mergeCell ref="I3:L3"/>
    <mergeCell ref="H3:H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AB24"/>
  <sheetViews>
    <sheetView zoomScale="60" zoomScaleNormal="60" workbookViewId="0"/>
  </sheetViews>
  <sheetFormatPr baseColWidth="10" defaultColWidth="11.42578125" defaultRowHeight="15" x14ac:dyDescent="0.25"/>
  <cols>
    <col min="1" max="2" width="11.42578125" style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3.140625" style="1" customWidth="1"/>
    <col min="8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1.42578125" style="1"/>
    <col min="19" max="19" width="16.140625" style="1" bestFit="1" customWidth="1"/>
    <col min="20" max="20" width="15.140625" style="1" bestFit="1" customWidth="1"/>
    <col min="21" max="21" width="20.42578125" style="1" customWidth="1"/>
    <col min="22" max="23" width="11.42578125" style="1"/>
    <col min="24" max="24" width="17.140625" style="1" customWidth="1"/>
    <col min="25" max="25" width="18.5703125" style="1" customWidth="1"/>
    <col min="26" max="26" width="21.28515625" style="1" customWidth="1"/>
    <col min="27" max="27" width="20.5703125" style="1" customWidth="1"/>
    <col min="28" max="28" width="22.5703125" style="1" bestFit="1" customWidth="1"/>
    <col min="29" max="16384" width="11.42578125" style="1"/>
  </cols>
  <sheetData>
    <row r="2" spans="2:28" x14ac:dyDescent="0.25">
      <c r="B2" s="71" t="s">
        <v>167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157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60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7" t="s">
        <v>107</v>
      </c>
      <c r="Q4" s="7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60" x14ac:dyDescent="0.25">
      <c r="B5" s="3">
        <v>31</v>
      </c>
      <c r="C5" s="3" t="s">
        <v>28</v>
      </c>
      <c r="D5" s="3" t="s">
        <v>29</v>
      </c>
      <c r="E5" s="12">
        <v>8126599324</v>
      </c>
      <c r="F5" s="18">
        <f t="shared" ref="F5:F10" si="0">E5/$E$24</f>
        <v>10402.153652773404</v>
      </c>
      <c r="G5" s="9" t="s">
        <v>30</v>
      </c>
      <c r="H5" s="3" t="s">
        <v>119</v>
      </c>
      <c r="I5" s="10">
        <v>4</v>
      </c>
      <c r="J5" s="10">
        <v>802</v>
      </c>
      <c r="K5" s="10">
        <v>0</v>
      </c>
      <c r="L5" s="3">
        <v>3</v>
      </c>
      <c r="M5" s="3">
        <v>29</v>
      </c>
      <c r="N5" s="3">
        <v>2117.1999999999998</v>
      </c>
      <c r="O5" s="3">
        <v>275606</v>
      </c>
      <c r="P5" s="3">
        <v>2187</v>
      </c>
      <c r="Q5" s="3">
        <v>461490</v>
      </c>
      <c r="R5" s="3">
        <v>165.85</v>
      </c>
      <c r="S5" s="3">
        <v>64551.8</v>
      </c>
      <c r="T5" s="30">
        <v>0</v>
      </c>
      <c r="U5" s="3">
        <v>0</v>
      </c>
      <c r="V5" s="3">
        <f>1011.6/0.1</f>
        <v>10116</v>
      </c>
      <c r="W5" s="3">
        <v>0</v>
      </c>
      <c r="X5" s="3">
        <v>0</v>
      </c>
      <c r="Y5" s="3">
        <v>0</v>
      </c>
      <c r="Z5" s="3">
        <v>0</v>
      </c>
      <c r="AA5" s="3">
        <v>1</v>
      </c>
      <c r="AB5" s="3">
        <v>4</v>
      </c>
    </row>
    <row r="6" spans="2:28" ht="105" x14ac:dyDescent="0.25">
      <c r="B6" s="3">
        <v>32</v>
      </c>
      <c r="C6" s="3" t="s">
        <v>31</v>
      </c>
      <c r="D6" s="3" t="s">
        <v>32</v>
      </c>
      <c r="E6" s="12">
        <v>6994292572</v>
      </c>
      <c r="F6" s="18">
        <f t="shared" si="0"/>
        <v>8952.786168690367</v>
      </c>
      <c r="G6" s="9" t="s">
        <v>33</v>
      </c>
      <c r="H6" s="3" t="s">
        <v>122</v>
      </c>
      <c r="I6" s="10">
        <v>22</v>
      </c>
      <c r="J6" s="10">
        <f>43.5+1945</f>
        <v>1988.5</v>
      </c>
      <c r="K6" s="10">
        <v>0</v>
      </c>
      <c r="L6" s="3">
        <v>0</v>
      </c>
      <c r="M6" s="3">
        <v>20</v>
      </c>
      <c r="N6" s="3">
        <v>8780.0499999999993</v>
      </c>
      <c r="O6" s="3">
        <v>1257145</v>
      </c>
      <c r="P6" s="3">
        <v>1132</v>
      </c>
      <c r="Q6" s="3">
        <v>208905.3</v>
      </c>
      <c r="R6" s="3">
        <v>76.47</v>
      </c>
      <c r="S6" s="3">
        <v>88456.06</v>
      </c>
      <c r="T6" s="3">
        <v>0</v>
      </c>
      <c r="U6" s="3">
        <f>736.63/0.1</f>
        <v>7366.2999999999993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20</v>
      </c>
    </row>
    <row r="7" spans="2:28" ht="75" x14ac:dyDescent="0.25">
      <c r="B7" s="3">
        <v>33</v>
      </c>
      <c r="C7" s="3" t="s">
        <v>34</v>
      </c>
      <c r="D7" s="3" t="s">
        <v>35</v>
      </c>
      <c r="E7" s="12">
        <v>5499763303</v>
      </c>
      <c r="F7" s="18">
        <f t="shared" si="0"/>
        <v>7039.7691150757382</v>
      </c>
      <c r="G7" s="9" t="s">
        <v>36</v>
      </c>
      <c r="H7" s="10" t="s">
        <v>129</v>
      </c>
      <c r="I7" s="10">
        <v>3</v>
      </c>
      <c r="J7" s="10">
        <v>3000</v>
      </c>
      <c r="K7" s="10">
        <v>4</v>
      </c>
      <c r="L7" s="3">
        <v>0</v>
      </c>
      <c r="M7" s="3">
        <v>5</v>
      </c>
      <c r="N7" s="3">
        <v>9164.1</v>
      </c>
      <c r="O7" s="3">
        <v>466854</v>
      </c>
      <c r="P7" s="3">
        <v>1038</v>
      </c>
      <c r="Q7" s="3">
        <v>154700</v>
      </c>
      <c r="R7" s="3">
        <v>74.33</v>
      </c>
      <c r="S7" s="3">
        <v>5238.8900000000003</v>
      </c>
      <c r="T7" s="3">
        <v>0</v>
      </c>
      <c r="U7" s="3">
        <f>1075.56/0.1</f>
        <v>10755.599999999999</v>
      </c>
      <c r="V7" s="3">
        <f>740.39/0.1</f>
        <v>7403.9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25</v>
      </c>
    </row>
    <row r="8" spans="2:28" ht="60" x14ac:dyDescent="0.25">
      <c r="B8" s="3">
        <v>34</v>
      </c>
      <c r="C8" s="3" t="s">
        <v>37</v>
      </c>
      <c r="D8" s="3" t="s">
        <v>38</v>
      </c>
      <c r="E8" s="12">
        <v>5961604389</v>
      </c>
      <c r="F8" s="18">
        <f t="shared" si="0"/>
        <v>7630.9317586612087</v>
      </c>
      <c r="G8" s="9" t="s">
        <v>39</v>
      </c>
      <c r="H8" s="3" t="s">
        <v>121</v>
      </c>
      <c r="I8" s="3">
        <v>0</v>
      </c>
      <c r="J8" s="3">
        <v>0</v>
      </c>
      <c r="K8" s="3">
        <v>0</v>
      </c>
      <c r="L8" s="3">
        <v>2</v>
      </c>
      <c r="M8" s="3">
        <v>5</v>
      </c>
      <c r="N8" s="3">
        <v>10386.58</v>
      </c>
      <c r="O8" s="3">
        <v>64180</v>
      </c>
      <c r="P8" s="3">
        <v>3335</v>
      </c>
      <c r="Q8" s="3">
        <v>406350</v>
      </c>
      <c r="R8" s="3">
        <v>254.95</v>
      </c>
      <c r="S8" s="3">
        <v>41516.9</v>
      </c>
      <c r="T8" s="3">
        <v>0</v>
      </c>
      <c r="U8" s="3">
        <f>288.93/0.1</f>
        <v>2889.2999999999997</v>
      </c>
      <c r="V8" s="3">
        <f>499.56/0.1</f>
        <v>4995.5999999999995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</row>
    <row r="9" spans="2:28" ht="75" x14ac:dyDescent="0.25">
      <c r="B9" s="3">
        <v>35</v>
      </c>
      <c r="C9" s="3" t="s">
        <v>40</v>
      </c>
      <c r="D9" s="3" t="s">
        <v>41</v>
      </c>
      <c r="E9" s="12">
        <v>7506830256</v>
      </c>
      <c r="F9" s="18">
        <f t="shared" si="0"/>
        <v>9608.8411222130908</v>
      </c>
      <c r="G9" s="9" t="s">
        <v>42</v>
      </c>
      <c r="H9" s="3" t="s">
        <v>133</v>
      </c>
      <c r="I9" s="3">
        <v>35</v>
      </c>
      <c r="J9" s="3">
        <v>311.39999999999998</v>
      </c>
      <c r="K9" s="3">
        <v>0</v>
      </c>
      <c r="L9" s="3">
        <v>7</v>
      </c>
      <c r="M9" s="3">
        <v>28</v>
      </c>
      <c r="N9" s="3">
        <v>22770.2</v>
      </c>
      <c r="O9" s="3">
        <v>1008800</v>
      </c>
      <c r="P9" s="3">
        <v>1960</v>
      </c>
      <c r="Q9" s="3">
        <v>215410</v>
      </c>
      <c r="R9" s="3">
        <v>184.7</v>
      </c>
      <c r="S9" s="3">
        <v>33004.9</v>
      </c>
      <c r="T9" s="3">
        <v>0</v>
      </c>
      <c r="U9" s="3">
        <f>646.4/0.1</f>
        <v>6463.9999999999991</v>
      </c>
      <c r="V9" s="3">
        <f>10.6/0.1</f>
        <v>105.99999999999999</v>
      </c>
      <c r="W9" s="3">
        <v>0</v>
      </c>
      <c r="X9" s="3">
        <v>10268.799999999999</v>
      </c>
      <c r="Y9" s="3">
        <v>0</v>
      </c>
      <c r="Z9" s="3">
        <v>0</v>
      </c>
      <c r="AA9" s="3">
        <v>0</v>
      </c>
      <c r="AB9" s="3">
        <v>0</v>
      </c>
    </row>
    <row r="10" spans="2:28" ht="75" x14ac:dyDescent="0.25">
      <c r="B10" s="3">
        <v>36</v>
      </c>
      <c r="C10" s="3" t="s">
        <v>43</v>
      </c>
      <c r="D10" s="3" t="s">
        <v>44</v>
      </c>
      <c r="E10" s="12">
        <v>5321334795</v>
      </c>
      <c r="F10" s="18">
        <f t="shared" si="0"/>
        <v>6811.3782861136497</v>
      </c>
      <c r="G10" s="9" t="s">
        <v>45</v>
      </c>
      <c r="H10" s="10" t="s">
        <v>117</v>
      </c>
      <c r="I10" s="10">
        <v>9</v>
      </c>
      <c r="J10" s="10">
        <v>0</v>
      </c>
      <c r="K10" s="10">
        <v>0</v>
      </c>
      <c r="L10" s="3">
        <v>1</v>
      </c>
      <c r="M10" s="3">
        <v>17</v>
      </c>
      <c r="N10" s="3">
        <v>7237.18</v>
      </c>
      <c r="O10" s="3">
        <v>828603.5</v>
      </c>
      <c r="P10" s="3">
        <v>547</v>
      </c>
      <c r="Q10" s="3">
        <v>186716.2</v>
      </c>
      <c r="R10" s="3">
        <v>81.290000000000006</v>
      </c>
      <c r="S10" s="3">
        <v>73058.100000000006</v>
      </c>
      <c r="T10" s="3">
        <v>0</v>
      </c>
      <c r="U10" s="3">
        <v>0</v>
      </c>
      <c r="V10" s="3">
        <f>697.4/0.1</f>
        <v>6973.9999999999991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12</v>
      </c>
    </row>
    <row r="11" spans="2:28" s="24" customFormat="1" x14ac:dyDescent="0.25">
      <c r="B11" s="71" t="s">
        <v>106</v>
      </c>
      <c r="C11" s="71"/>
      <c r="D11" s="71"/>
      <c r="E11" s="16">
        <f>SUM(E5:E10)</f>
        <v>39410424639</v>
      </c>
      <c r="F11" s="29">
        <f>SUM(F5:F10)</f>
        <v>50445.860103527455</v>
      </c>
      <c r="G11" s="58"/>
      <c r="H11" s="58"/>
      <c r="I11" s="7">
        <f>SUM(I5:I10)</f>
        <v>73</v>
      </c>
      <c r="J11" s="7">
        <f>SUM(J5:J10)</f>
        <v>6101.9</v>
      </c>
      <c r="K11" s="7">
        <f>SUM(K5:K10)</f>
        <v>4</v>
      </c>
      <c r="L11" s="7">
        <f>SUM(L5:L10)</f>
        <v>13</v>
      </c>
      <c r="M11" s="7">
        <f t="shared" ref="M11:AB11" si="1">SUM(M5:M10)</f>
        <v>104</v>
      </c>
      <c r="N11" s="7">
        <f t="shared" si="1"/>
        <v>60455.310000000005</v>
      </c>
      <c r="O11" s="7">
        <f t="shared" si="1"/>
        <v>3901188.5</v>
      </c>
      <c r="P11" s="7">
        <f t="shared" si="1"/>
        <v>10199</v>
      </c>
      <c r="Q11" s="7">
        <f t="shared" si="1"/>
        <v>1633571.5</v>
      </c>
      <c r="R11" s="7">
        <f t="shared" si="1"/>
        <v>837.58999999999992</v>
      </c>
      <c r="S11" s="7">
        <f t="shared" si="1"/>
        <v>305826.65000000002</v>
      </c>
      <c r="T11" s="7">
        <f t="shared" si="1"/>
        <v>0</v>
      </c>
      <c r="U11" s="7">
        <f t="shared" si="1"/>
        <v>27475.199999999997</v>
      </c>
      <c r="V11" s="7">
        <f t="shared" si="1"/>
        <v>29595.5</v>
      </c>
      <c r="W11" s="7">
        <f t="shared" si="1"/>
        <v>0</v>
      </c>
      <c r="X11" s="7">
        <f t="shared" si="1"/>
        <v>10268.799999999999</v>
      </c>
      <c r="Y11" s="7">
        <f t="shared" si="1"/>
        <v>0</v>
      </c>
      <c r="Z11" s="7">
        <f t="shared" si="1"/>
        <v>0</v>
      </c>
      <c r="AA11" s="7">
        <f t="shared" si="1"/>
        <v>1</v>
      </c>
      <c r="AB11" s="7">
        <f t="shared" si="1"/>
        <v>61</v>
      </c>
    </row>
    <row r="12" spans="2:28" s="24" customFormat="1" x14ac:dyDescent="0.25">
      <c r="E12" s="26"/>
    </row>
    <row r="14" spans="2:28" x14ac:dyDescent="0.25">
      <c r="C14" s="77" t="s">
        <v>104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2:28" x14ac:dyDescent="0.25">
      <c r="C15" s="78" t="s">
        <v>102</v>
      </c>
      <c r="D15" s="79"/>
      <c r="E15" s="80"/>
      <c r="F15" s="78" t="s">
        <v>103</v>
      </c>
      <c r="G15" s="79"/>
      <c r="H15" s="79"/>
      <c r="I15" s="79"/>
      <c r="J15" s="79"/>
      <c r="K15" s="79"/>
      <c r="L15" s="79"/>
      <c r="M15" s="79"/>
      <c r="N15" s="80"/>
    </row>
    <row r="16" spans="2:28" x14ac:dyDescent="0.25">
      <c r="C16" s="84" t="s">
        <v>171</v>
      </c>
      <c r="D16" s="84"/>
      <c r="E16" s="84"/>
      <c r="F16" s="76" t="s">
        <v>182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183</v>
      </c>
      <c r="D17" s="84"/>
      <c r="E17" s="84"/>
      <c r="F17" s="76" t="s">
        <v>111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100</v>
      </c>
      <c r="D18" s="84"/>
      <c r="E18" s="84"/>
      <c r="F18" s="76" t="s">
        <v>200</v>
      </c>
      <c r="G18" s="74"/>
      <c r="H18" s="74"/>
      <c r="I18" s="74"/>
      <c r="J18" s="74"/>
      <c r="K18" s="74"/>
      <c r="L18" s="74"/>
      <c r="M18" s="74"/>
      <c r="N18" s="75"/>
    </row>
    <row r="19" spans="3:14" ht="27" customHeight="1" x14ac:dyDescent="0.25">
      <c r="C19" s="72" t="s">
        <v>181</v>
      </c>
      <c r="D19" s="72"/>
      <c r="E19" s="72"/>
      <c r="F19" s="73" t="s">
        <v>184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76" t="s">
        <v>112</v>
      </c>
      <c r="D20" s="74"/>
      <c r="E20" s="75"/>
      <c r="F20" s="76" t="s">
        <v>186</v>
      </c>
      <c r="G20" s="74"/>
      <c r="H20" s="74"/>
      <c r="I20" s="74"/>
      <c r="J20" s="74"/>
      <c r="K20" s="74"/>
      <c r="L20" s="74"/>
      <c r="M20" s="74"/>
      <c r="N20" s="75"/>
    </row>
    <row r="21" spans="3:14" x14ac:dyDescent="0.25">
      <c r="C21" s="84" t="s">
        <v>97</v>
      </c>
      <c r="D21" s="84"/>
      <c r="E21" s="84"/>
      <c r="F21" s="76" t="s">
        <v>105</v>
      </c>
      <c r="G21" s="74"/>
      <c r="H21" s="74"/>
      <c r="I21" s="74"/>
      <c r="J21" s="74"/>
      <c r="K21" s="74"/>
      <c r="L21" s="74"/>
      <c r="M21" s="74"/>
      <c r="N21" s="75"/>
    </row>
    <row r="24" spans="3:14" x14ac:dyDescent="0.25">
      <c r="C24" s="78" t="s">
        <v>147</v>
      </c>
      <c r="D24" s="80"/>
      <c r="E24" s="19">
        <v>781242</v>
      </c>
      <c r="H24" s="6"/>
    </row>
  </sheetData>
  <mergeCells count="36">
    <mergeCell ref="F19:N19"/>
    <mergeCell ref="F20:N20"/>
    <mergeCell ref="F21:N21"/>
    <mergeCell ref="C24:D24"/>
    <mergeCell ref="B11:D11"/>
    <mergeCell ref="C15:E15"/>
    <mergeCell ref="C16:E16"/>
    <mergeCell ref="C20:E20"/>
    <mergeCell ref="C17:E17"/>
    <mergeCell ref="C18:E18"/>
    <mergeCell ref="C19:E19"/>
    <mergeCell ref="C21:E21"/>
    <mergeCell ref="C14:N14"/>
    <mergeCell ref="F15:N15"/>
    <mergeCell ref="F16:N16"/>
    <mergeCell ref="F17:N17"/>
    <mergeCell ref="F18:N18"/>
    <mergeCell ref="G11:H11"/>
    <mergeCell ref="AB3:AB4"/>
    <mergeCell ref="F3:F4"/>
    <mergeCell ref="I3:L3"/>
    <mergeCell ref="H3:H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AB24"/>
  <sheetViews>
    <sheetView topLeftCell="A8" zoomScale="60" zoomScaleNormal="60" workbookViewId="0"/>
  </sheetViews>
  <sheetFormatPr baseColWidth="10" defaultColWidth="11.42578125" defaultRowHeight="15" x14ac:dyDescent="0.25"/>
  <cols>
    <col min="1" max="2" width="11.42578125" style="1"/>
    <col min="3" max="3" width="18.85546875" style="1" bestFit="1" customWidth="1"/>
    <col min="4" max="4" width="18.85546875" style="1" customWidth="1"/>
    <col min="5" max="5" width="33.140625" style="1" bestFit="1" customWidth="1"/>
    <col min="6" max="6" width="23" style="1" customWidth="1"/>
    <col min="7" max="7" width="39.7109375" style="1" customWidth="1"/>
    <col min="8" max="8" width="37.28515625" style="1" bestFit="1" customWidth="1"/>
    <col min="9" max="11" width="23" style="1" customWidth="1"/>
    <col min="12" max="12" width="19" style="1" bestFit="1" customWidth="1"/>
    <col min="13" max="13" width="14.28515625" style="1" customWidth="1"/>
    <col min="14" max="14" width="26.7109375" style="1" customWidth="1"/>
    <col min="15" max="15" width="25.85546875" style="1" customWidth="1"/>
    <col min="16" max="16" width="26.42578125" style="1" customWidth="1"/>
    <col min="17" max="17" width="23" style="1" bestFit="1" customWidth="1"/>
    <col min="18" max="18" width="15.85546875" style="1" bestFit="1" customWidth="1"/>
    <col min="19" max="19" width="16.140625" style="1" bestFit="1" customWidth="1"/>
    <col min="20" max="20" width="15.140625" style="1" bestFit="1" customWidth="1"/>
    <col min="21" max="21" width="24.5703125" style="1" customWidth="1"/>
    <col min="22" max="22" width="17.7109375" style="1" customWidth="1"/>
    <col min="23" max="23" width="11.42578125" style="1"/>
    <col min="24" max="24" width="17" style="1" customWidth="1"/>
    <col min="25" max="25" width="11.42578125" style="1"/>
    <col min="26" max="26" width="17.5703125" style="1" customWidth="1"/>
    <col min="27" max="27" width="20.28515625" style="1" customWidth="1"/>
    <col min="28" max="28" width="22.5703125" style="1" bestFit="1" customWidth="1"/>
    <col min="29" max="16384" width="11.42578125" style="1"/>
  </cols>
  <sheetData>
    <row r="2" spans="2:28" x14ac:dyDescent="0.25">
      <c r="B2" s="71" t="s">
        <v>168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</row>
    <row r="3" spans="2:28" ht="15" customHeight="1" x14ac:dyDescent="0.25">
      <c r="B3" s="85" t="s">
        <v>0</v>
      </c>
      <c r="C3" s="71" t="s">
        <v>2</v>
      </c>
      <c r="D3" s="70" t="s">
        <v>96</v>
      </c>
      <c r="E3" s="70" t="s">
        <v>115</v>
      </c>
      <c r="F3" s="70" t="s">
        <v>158</v>
      </c>
      <c r="G3" s="71" t="s">
        <v>3</v>
      </c>
      <c r="H3" s="88" t="s">
        <v>116</v>
      </c>
      <c r="I3" s="81" t="s">
        <v>189</v>
      </c>
      <c r="J3" s="82"/>
      <c r="K3" s="82"/>
      <c r="L3" s="83"/>
      <c r="M3" s="70" t="s">
        <v>183</v>
      </c>
      <c r="N3" s="70" t="s">
        <v>181</v>
      </c>
      <c r="O3" s="70" t="s">
        <v>112</v>
      </c>
      <c r="P3" s="71" t="s">
        <v>97</v>
      </c>
      <c r="Q3" s="71"/>
      <c r="R3" s="71"/>
      <c r="S3" s="70" t="s">
        <v>113</v>
      </c>
      <c r="T3" s="70" t="s">
        <v>172</v>
      </c>
      <c r="U3" s="71" t="s">
        <v>101</v>
      </c>
      <c r="V3" s="71"/>
      <c r="W3" s="71"/>
      <c r="X3" s="71"/>
      <c r="Y3" s="71"/>
      <c r="Z3" s="71" t="s">
        <v>177</v>
      </c>
      <c r="AA3" s="71"/>
      <c r="AB3" s="70" t="s">
        <v>187</v>
      </c>
    </row>
    <row r="4" spans="2:28" ht="75" x14ac:dyDescent="0.25">
      <c r="B4" s="85"/>
      <c r="C4" s="71"/>
      <c r="D4" s="70"/>
      <c r="E4" s="70"/>
      <c r="F4" s="70"/>
      <c r="G4" s="71"/>
      <c r="H4" s="89"/>
      <c r="I4" s="23" t="s">
        <v>188</v>
      </c>
      <c r="J4" s="23" t="s">
        <v>171</v>
      </c>
      <c r="K4" s="23" t="s">
        <v>190</v>
      </c>
      <c r="L4" s="23" t="s">
        <v>191</v>
      </c>
      <c r="M4" s="70"/>
      <c r="N4" s="70"/>
      <c r="O4" s="70"/>
      <c r="P4" s="23" t="s">
        <v>107</v>
      </c>
      <c r="Q4" s="23" t="s">
        <v>108</v>
      </c>
      <c r="R4" s="7" t="s">
        <v>109</v>
      </c>
      <c r="S4" s="70"/>
      <c r="T4" s="70"/>
      <c r="U4" s="23" t="s">
        <v>173</v>
      </c>
      <c r="V4" s="23" t="s">
        <v>180</v>
      </c>
      <c r="W4" s="23" t="s">
        <v>174</v>
      </c>
      <c r="X4" s="23" t="s">
        <v>175</v>
      </c>
      <c r="Y4" s="23" t="s">
        <v>176</v>
      </c>
      <c r="Z4" s="23" t="s">
        <v>178</v>
      </c>
      <c r="AA4" s="23" t="s">
        <v>179</v>
      </c>
      <c r="AB4" s="70"/>
    </row>
    <row r="5" spans="2:28" ht="60" x14ac:dyDescent="0.25">
      <c r="B5" s="3">
        <v>37</v>
      </c>
      <c r="C5" s="3" t="s">
        <v>12</v>
      </c>
      <c r="D5" s="3" t="s">
        <v>13</v>
      </c>
      <c r="E5" s="12">
        <v>6648674335</v>
      </c>
      <c r="F5" s="18">
        <f t="shared" ref="F5:F10" si="0">E5/$E$24</f>
        <v>8028.6751312618035</v>
      </c>
      <c r="G5" s="9" t="s">
        <v>14</v>
      </c>
      <c r="H5" s="3" t="s">
        <v>134</v>
      </c>
      <c r="I5" s="10">
        <v>7</v>
      </c>
      <c r="J5" s="10">
        <v>0</v>
      </c>
      <c r="K5" s="10">
        <v>0</v>
      </c>
      <c r="L5" s="3">
        <v>1</v>
      </c>
      <c r="M5" s="3">
        <v>27</v>
      </c>
      <c r="N5" s="3">
        <v>10264.799999999999</v>
      </c>
      <c r="O5" s="3">
        <v>492681</v>
      </c>
      <c r="P5" s="3">
        <v>561</v>
      </c>
      <c r="Q5" s="3">
        <v>184262</v>
      </c>
      <c r="R5" s="3">
        <v>121.13</v>
      </c>
      <c r="S5" s="3">
        <v>34137</v>
      </c>
      <c r="T5" s="30">
        <v>0</v>
      </c>
      <c r="U5" s="3">
        <f>604/0.1</f>
        <v>6040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</row>
    <row r="6" spans="2:28" ht="75" x14ac:dyDescent="0.25">
      <c r="B6" s="3">
        <v>38</v>
      </c>
      <c r="C6" s="3" t="s">
        <v>15</v>
      </c>
      <c r="D6" s="3" t="s">
        <v>16</v>
      </c>
      <c r="E6" s="12">
        <v>4776708403</v>
      </c>
      <c r="F6" s="18">
        <f t="shared" si="0"/>
        <v>5768.1634010211128</v>
      </c>
      <c r="G6" s="9" t="s">
        <v>17</v>
      </c>
      <c r="H6" s="10" t="s">
        <v>117</v>
      </c>
      <c r="I6" s="10">
        <v>4</v>
      </c>
      <c r="J6" s="10">
        <v>0</v>
      </c>
      <c r="K6" s="10">
        <v>0</v>
      </c>
      <c r="L6" s="3">
        <v>3</v>
      </c>
      <c r="M6" s="3">
        <v>12</v>
      </c>
      <c r="N6" s="3">
        <v>82.19</v>
      </c>
      <c r="O6" s="3">
        <v>110550</v>
      </c>
      <c r="P6" s="3">
        <v>1249</v>
      </c>
      <c r="Q6" s="3">
        <v>391591</v>
      </c>
      <c r="R6" s="3">
        <v>151.69999999999999</v>
      </c>
      <c r="S6" s="3">
        <v>24230</v>
      </c>
      <c r="T6" s="10">
        <v>8864.4</v>
      </c>
      <c r="U6" s="3">
        <v>0</v>
      </c>
      <c r="V6" s="3">
        <f>808.4/0.1</f>
        <v>8083.9999999999991</v>
      </c>
      <c r="W6" s="3">
        <v>0</v>
      </c>
      <c r="X6" s="3">
        <v>0</v>
      </c>
      <c r="Y6" s="3">
        <v>0</v>
      </c>
      <c r="Z6" s="3">
        <v>0</v>
      </c>
      <c r="AA6" s="3">
        <v>1</v>
      </c>
      <c r="AB6" s="3">
        <v>0</v>
      </c>
    </row>
    <row r="7" spans="2:28" ht="60" x14ac:dyDescent="0.25">
      <c r="B7" s="3">
        <v>39</v>
      </c>
      <c r="C7" s="3" t="s">
        <v>18</v>
      </c>
      <c r="D7" s="3" t="s">
        <v>19</v>
      </c>
      <c r="E7" s="12">
        <v>7392558930</v>
      </c>
      <c r="F7" s="18">
        <f t="shared" si="0"/>
        <v>8926.9606311193111</v>
      </c>
      <c r="G7" s="9" t="s">
        <v>20</v>
      </c>
      <c r="H7" s="3" t="s">
        <v>119</v>
      </c>
      <c r="I7" s="3">
        <v>8</v>
      </c>
      <c r="J7" s="3">
        <v>0</v>
      </c>
      <c r="K7" s="3">
        <v>0</v>
      </c>
      <c r="L7" s="3">
        <v>2</v>
      </c>
      <c r="M7" s="3">
        <v>11</v>
      </c>
      <c r="N7" s="3">
        <v>2090.8000000000002</v>
      </c>
      <c r="O7" s="3">
        <v>102673.5</v>
      </c>
      <c r="P7" s="3">
        <v>1775</v>
      </c>
      <c r="Q7" s="3">
        <v>373078.8</v>
      </c>
      <c r="R7" s="3">
        <v>108.5</v>
      </c>
      <c r="S7" s="3">
        <v>10222.799999999999</v>
      </c>
      <c r="T7" s="10">
        <v>7028</v>
      </c>
      <c r="U7" s="3">
        <f>2132.6/0.1</f>
        <v>21325.999999999996</v>
      </c>
      <c r="V7" s="3">
        <v>0</v>
      </c>
      <c r="W7" s="3">
        <v>0</v>
      </c>
      <c r="X7" s="3">
        <v>4834.5</v>
      </c>
      <c r="Y7" s="3">
        <v>0</v>
      </c>
      <c r="Z7" s="3">
        <v>0</v>
      </c>
      <c r="AA7" s="3">
        <v>0</v>
      </c>
      <c r="AB7" s="3">
        <v>0</v>
      </c>
    </row>
    <row r="8" spans="2:28" ht="60" x14ac:dyDescent="0.25">
      <c r="B8" s="3">
        <v>40</v>
      </c>
      <c r="C8" s="3" t="s">
        <v>21</v>
      </c>
      <c r="D8" s="3" t="s">
        <v>22</v>
      </c>
      <c r="E8" s="12">
        <v>5470030090</v>
      </c>
      <c r="F8" s="18">
        <f t="shared" si="0"/>
        <v>6605.3911408546628</v>
      </c>
      <c r="G8" s="9" t="s">
        <v>23</v>
      </c>
      <c r="H8" s="3" t="s">
        <v>121</v>
      </c>
      <c r="I8" s="3">
        <v>7</v>
      </c>
      <c r="J8" s="3">
        <v>400</v>
      </c>
      <c r="K8" s="3">
        <v>0</v>
      </c>
      <c r="L8" s="3">
        <v>1</v>
      </c>
      <c r="M8" s="3">
        <v>11</v>
      </c>
      <c r="N8" s="3">
        <v>0</v>
      </c>
      <c r="O8" s="3">
        <v>9744</v>
      </c>
      <c r="P8" s="3">
        <v>2594</v>
      </c>
      <c r="Q8" s="3">
        <v>438718.4</v>
      </c>
      <c r="R8" s="3">
        <v>179.95</v>
      </c>
      <c r="S8" s="3">
        <v>6319.8</v>
      </c>
      <c r="T8" s="10">
        <v>158.9</v>
      </c>
      <c r="U8" s="3">
        <f>759.57/0.1</f>
        <v>7595.7</v>
      </c>
      <c r="V8" s="3">
        <f>202.19/0.1</f>
        <v>2021.8999999999999</v>
      </c>
      <c r="W8" s="3">
        <v>0</v>
      </c>
      <c r="X8" s="3">
        <v>0</v>
      </c>
      <c r="Y8" s="3">
        <v>40</v>
      </c>
      <c r="Z8" s="3">
        <v>0</v>
      </c>
      <c r="AA8" s="3">
        <v>0</v>
      </c>
      <c r="AB8" s="3">
        <v>0</v>
      </c>
    </row>
    <row r="9" spans="2:28" ht="120" x14ac:dyDescent="0.25">
      <c r="B9" s="3">
        <v>41</v>
      </c>
      <c r="C9" s="3" t="s">
        <v>24</v>
      </c>
      <c r="D9" s="3" t="s">
        <v>25</v>
      </c>
      <c r="E9" s="12">
        <v>4152789616</v>
      </c>
      <c r="F9" s="18">
        <f t="shared" si="0"/>
        <v>5014.7438474803048</v>
      </c>
      <c r="G9" s="9" t="s">
        <v>26</v>
      </c>
      <c r="H9" s="3" t="s">
        <v>122</v>
      </c>
      <c r="I9" s="3">
        <v>3</v>
      </c>
      <c r="J9" s="3">
        <v>500</v>
      </c>
      <c r="K9" s="3">
        <v>0</v>
      </c>
      <c r="L9" s="3">
        <v>1</v>
      </c>
      <c r="M9" s="3">
        <v>12</v>
      </c>
      <c r="N9" s="3">
        <v>9181.2999999999993</v>
      </c>
      <c r="O9" s="3">
        <v>192193.6</v>
      </c>
      <c r="P9" s="3">
        <v>1351</v>
      </c>
      <c r="Q9" s="3">
        <v>225817</v>
      </c>
      <c r="R9" s="3">
        <v>71.3</v>
      </c>
      <c r="S9" s="3">
        <v>9800</v>
      </c>
      <c r="T9" s="30">
        <v>0</v>
      </c>
      <c r="U9" s="3">
        <f>100.6/0.1</f>
        <v>1005.9999999999999</v>
      </c>
      <c r="V9" s="3">
        <f>364.2/0.1</f>
        <v>3641.9999999999995</v>
      </c>
      <c r="W9" s="3">
        <v>0</v>
      </c>
      <c r="X9" s="3">
        <v>0</v>
      </c>
      <c r="Y9" s="3">
        <v>17233.599999999999</v>
      </c>
      <c r="Z9" s="3">
        <v>0</v>
      </c>
      <c r="AA9" s="3">
        <v>0</v>
      </c>
      <c r="AB9" s="3">
        <v>0</v>
      </c>
    </row>
    <row r="10" spans="2:28" ht="75" x14ac:dyDescent="0.25">
      <c r="B10" s="3">
        <v>42</v>
      </c>
      <c r="C10" s="3">
        <v>4600010158</v>
      </c>
      <c r="D10" s="3">
        <v>4600010165</v>
      </c>
      <c r="E10" s="12">
        <v>1900951518</v>
      </c>
      <c r="F10" s="18">
        <f t="shared" si="0"/>
        <v>2295.5135729776989</v>
      </c>
      <c r="G10" s="9" t="s">
        <v>27</v>
      </c>
      <c r="H10" s="10" t="s">
        <v>135</v>
      </c>
      <c r="I10" s="10">
        <v>0</v>
      </c>
      <c r="J10" s="10">
        <v>0</v>
      </c>
      <c r="K10" s="10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0">
        <v>0</v>
      </c>
      <c r="U10" s="3">
        <f>1129.7/0.1</f>
        <v>11297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</row>
    <row r="11" spans="2:28" s="24" customFormat="1" x14ac:dyDescent="0.25">
      <c r="B11" s="71" t="s">
        <v>106</v>
      </c>
      <c r="C11" s="71"/>
      <c r="D11" s="71"/>
      <c r="E11" s="16">
        <f>SUM(E5:E10)</f>
        <v>30341712892</v>
      </c>
      <c r="F11" s="29">
        <f>SUM(F5:F10)</f>
        <v>36639.44772471489</v>
      </c>
      <c r="G11" s="102"/>
      <c r="H11" s="102"/>
      <c r="I11" s="22">
        <f>SUM(I5:I10)</f>
        <v>29</v>
      </c>
      <c r="J11" s="22">
        <f>SUM(J5:J10)</f>
        <v>900</v>
      </c>
      <c r="K11" s="22">
        <f>SUM(K5:K10)</f>
        <v>0</v>
      </c>
      <c r="L11" s="22">
        <f>SUM(L5:L10)</f>
        <v>8</v>
      </c>
      <c r="M11" s="22">
        <f t="shared" ref="M11:AB11" si="1">SUM(M5:M10)</f>
        <v>73</v>
      </c>
      <c r="N11" s="22">
        <f t="shared" si="1"/>
        <v>21619.09</v>
      </c>
      <c r="O11" s="22">
        <f t="shared" si="1"/>
        <v>907842.1</v>
      </c>
      <c r="P11" s="22">
        <f t="shared" si="1"/>
        <v>7530</v>
      </c>
      <c r="Q11" s="22">
        <f t="shared" si="1"/>
        <v>1613467.2000000002</v>
      </c>
      <c r="R11" s="22">
        <f t="shared" si="1"/>
        <v>632.57999999999993</v>
      </c>
      <c r="S11" s="22">
        <f t="shared" si="1"/>
        <v>84709.6</v>
      </c>
      <c r="T11" s="22">
        <f t="shared" si="1"/>
        <v>16051.3</v>
      </c>
      <c r="U11" s="22">
        <f t="shared" si="1"/>
        <v>47264.7</v>
      </c>
      <c r="V11" s="22">
        <f t="shared" si="1"/>
        <v>13747.9</v>
      </c>
      <c r="W11" s="22">
        <f t="shared" si="1"/>
        <v>0</v>
      </c>
      <c r="X11" s="22">
        <f t="shared" si="1"/>
        <v>4834.5</v>
      </c>
      <c r="Y11" s="22">
        <f t="shared" si="1"/>
        <v>17273.599999999999</v>
      </c>
      <c r="Z11" s="22">
        <f t="shared" si="1"/>
        <v>0</v>
      </c>
      <c r="AA11" s="22">
        <f t="shared" si="1"/>
        <v>1</v>
      </c>
      <c r="AB11" s="22">
        <f t="shared" si="1"/>
        <v>0</v>
      </c>
    </row>
    <row r="12" spans="2:28" s="24" customFormat="1" x14ac:dyDescent="0.25">
      <c r="E12" s="26"/>
      <c r="F12" s="26"/>
      <c r="G12" s="26"/>
      <c r="H12" s="26"/>
      <c r="I12" s="26"/>
      <c r="J12" s="26"/>
      <c r="K12" s="2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4" spans="2:28" x14ac:dyDescent="0.25">
      <c r="C14" s="77" t="s">
        <v>104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</row>
    <row r="15" spans="2:28" x14ac:dyDescent="0.25">
      <c r="C15" s="78" t="s">
        <v>102</v>
      </c>
      <c r="D15" s="79"/>
      <c r="E15" s="80"/>
      <c r="F15" s="78" t="s">
        <v>103</v>
      </c>
      <c r="G15" s="79"/>
      <c r="H15" s="79"/>
      <c r="I15" s="79"/>
      <c r="J15" s="79"/>
      <c r="K15" s="79"/>
      <c r="L15" s="79"/>
      <c r="M15" s="79"/>
      <c r="N15" s="80"/>
    </row>
    <row r="16" spans="2:28" x14ac:dyDescent="0.25">
      <c r="C16" s="84" t="s">
        <v>171</v>
      </c>
      <c r="D16" s="84"/>
      <c r="E16" s="84"/>
      <c r="F16" s="76" t="s">
        <v>182</v>
      </c>
      <c r="G16" s="74"/>
      <c r="H16" s="74"/>
      <c r="I16" s="74"/>
      <c r="J16" s="74"/>
      <c r="K16" s="74"/>
      <c r="L16" s="74"/>
      <c r="M16" s="74"/>
      <c r="N16" s="75"/>
    </row>
    <row r="17" spans="3:14" x14ac:dyDescent="0.25">
      <c r="C17" s="84" t="s">
        <v>183</v>
      </c>
      <c r="D17" s="84"/>
      <c r="E17" s="84"/>
      <c r="F17" s="76" t="s">
        <v>111</v>
      </c>
      <c r="G17" s="74"/>
      <c r="H17" s="74"/>
      <c r="I17" s="74"/>
      <c r="J17" s="74"/>
      <c r="K17" s="74"/>
      <c r="L17" s="74"/>
      <c r="M17" s="74"/>
      <c r="N17" s="75"/>
    </row>
    <row r="18" spans="3:14" x14ac:dyDescent="0.25">
      <c r="C18" s="84" t="s">
        <v>100</v>
      </c>
      <c r="D18" s="84"/>
      <c r="E18" s="84"/>
      <c r="F18" s="76" t="s">
        <v>200</v>
      </c>
      <c r="G18" s="74"/>
      <c r="H18" s="74"/>
      <c r="I18" s="74"/>
      <c r="J18" s="74"/>
      <c r="K18" s="74"/>
      <c r="L18" s="74"/>
      <c r="M18" s="74"/>
      <c r="N18" s="75"/>
    </row>
    <row r="19" spans="3:14" ht="30" customHeight="1" x14ac:dyDescent="0.25">
      <c r="C19" s="72" t="s">
        <v>181</v>
      </c>
      <c r="D19" s="72"/>
      <c r="E19" s="72"/>
      <c r="F19" s="73" t="s">
        <v>184</v>
      </c>
      <c r="G19" s="74"/>
      <c r="H19" s="74"/>
      <c r="I19" s="74"/>
      <c r="J19" s="74"/>
      <c r="K19" s="74"/>
      <c r="L19" s="74"/>
      <c r="M19" s="74"/>
      <c r="N19" s="75"/>
    </row>
    <row r="20" spans="3:14" x14ac:dyDescent="0.25">
      <c r="C20" s="76" t="s">
        <v>112</v>
      </c>
      <c r="D20" s="74"/>
      <c r="E20" s="75"/>
      <c r="F20" s="76" t="s">
        <v>186</v>
      </c>
      <c r="G20" s="74"/>
      <c r="H20" s="74"/>
      <c r="I20" s="74"/>
      <c r="J20" s="74"/>
      <c r="K20" s="74"/>
      <c r="L20" s="74"/>
      <c r="M20" s="74"/>
      <c r="N20" s="75"/>
    </row>
    <row r="21" spans="3:14" x14ac:dyDescent="0.25">
      <c r="C21" s="84" t="s">
        <v>97</v>
      </c>
      <c r="D21" s="84"/>
      <c r="E21" s="84"/>
      <c r="F21" s="76" t="s">
        <v>105</v>
      </c>
      <c r="G21" s="74"/>
      <c r="H21" s="74"/>
      <c r="I21" s="74"/>
      <c r="J21" s="74"/>
      <c r="K21" s="74"/>
      <c r="L21" s="74"/>
      <c r="M21" s="74"/>
      <c r="N21" s="75"/>
    </row>
    <row r="24" spans="3:14" x14ac:dyDescent="0.25">
      <c r="C24" s="78" t="s">
        <v>148</v>
      </c>
      <c r="D24" s="80"/>
      <c r="E24" s="19">
        <v>828116</v>
      </c>
    </row>
  </sheetData>
  <mergeCells count="36">
    <mergeCell ref="F20:N20"/>
    <mergeCell ref="F21:N21"/>
    <mergeCell ref="C24:D24"/>
    <mergeCell ref="B11:D11"/>
    <mergeCell ref="C15:E15"/>
    <mergeCell ref="C16:E16"/>
    <mergeCell ref="C20:E20"/>
    <mergeCell ref="C17:E17"/>
    <mergeCell ref="C18:E18"/>
    <mergeCell ref="C19:E19"/>
    <mergeCell ref="C21:E21"/>
    <mergeCell ref="F15:N15"/>
    <mergeCell ref="F16:N16"/>
    <mergeCell ref="F17:N17"/>
    <mergeCell ref="F18:N18"/>
    <mergeCell ref="F19:N19"/>
    <mergeCell ref="G11:H11"/>
    <mergeCell ref="AB3:AB4"/>
    <mergeCell ref="F3:F4"/>
    <mergeCell ref="I3:L3"/>
    <mergeCell ref="C14:N14"/>
    <mergeCell ref="B2:AB2"/>
    <mergeCell ref="T3:T4"/>
    <mergeCell ref="U3:Y3"/>
    <mergeCell ref="Z3:AA3"/>
    <mergeCell ref="N3:N4"/>
    <mergeCell ref="B3:B4"/>
    <mergeCell ref="C3:C4"/>
    <mergeCell ref="D3:D4"/>
    <mergeCell ref="M3:M4"/>
    <mergeCell ref="O3:O4"/>
    <mergeCell ref="P3:R3"/>
    <mergeCell ref="S3:S4"/>
    <mergeCell ref="E3:E4"/>
    <mergeCell ref="G3:G4"/>
    <mergeCell ref="H3:H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Contratos de mantenimiento vial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General</vt:lpstr>
      <vt:lpstr>Resumen</vt:lpstr>
      <vt:lpstr>Total 53 contratos</vt:lpstr>
      <vt:lpstr>Administración 2012-2015</vt:lpstr>
      <vt:lpstr>Administración 2016-2019</vt:lpstr>
      <vt:lpstr>Administración 2020-2023</vt:lpstr>
      <vt:lpstr>Comparación administraciones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CATALINA BUITRAGO OROZCO</dc:creator>
  <cp:keywords/>
  <dc:description/>
  <cp:lastModifiedBy>CATALINA BUITRAGO OROZCO</cp:lastModifiedBy>
  <cp:revision/>
  <dcterms:created xsi:type="dcterms:W3CDTF">2024-03-18T13:49:49Z</dcterms:created>
  <dcterms:modified xsi:type="dcterms:W3CDTF">2024-07-10T00:32:54Z</dcterms:modified>
  <cp:category/>
  <cp:contentStatus/>
</cp:coreProperties>
</file>