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Users\LIZETH POSADA\Desktop\organiz\"/>
    </mc:Choice>
  </mc:AlternateContent>
  <xr:revisionPtr revIDLastSave="0" documentId="13_ncr:1_{343AABCD-006B-4770-BEDB-BA302537F9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nu" sheetId="20" r:id="rId1"/>
    <sheet name="Ppto Ing" sheetId="6" r:id="rId2"/>
    <sheet name="Ppto Costos y Gtos" sheetId="7" r:id="rId3"/>
    <sheet name="Capital de Trabajo" sheetId="25" r:id="rId4"/>
    <sheet name="Ppto Inv_Dep y Amt" sheetId="9" r:id="rId5"/>
    <sheet name="Ppto Financiación" sheetId="4" state="hidden" r:id="rId6"/>
    <sheet name="Conversion de tasa" sheetId="28" state="hidden" r:id="rId7"/>
    <sheet name="Flujo de Efectivo" sheetId="23" state="hidden" r:id="rId8"/>
    <sheet name="EdeR y F de C" sheetId="22" r:id="rId9"/>
    <sheet name="Flujo Economico" sheetId="37" r:id="rId10"/>
    <sheet name="Balance" sheetId="36" state="hidden" r:id="rId11"/>
    <sheet name="F de C 2" sheetId="26" state="hidden" r:id="rId12"/>
    <sheet name="TIO" sheetId="27" state="hidden" r:id="rId13"/>
    <sheet name="F de C Py" sheetId="1" state="hidden" r:id="rId14"/>
    <sheet name="F de C Inv" sheetId="2" state="hidden" r:id="rId15"/>
    <sheet name="ANALISIS" sheetId="16" r:id="rId16"/>
  </sheets>
  <externalReferences>
    <externalReference r:id="rId17"/>
    <externalReference r:id="rId18"/>
    <externalReference r:id="rId19"/>
  </externalReferences>
  <definedNames>
    <definedName name="Abono_Capital_Constante">'Ppto Financiación'!$C$28</definedName>
    <definedName name="CAUE" localSheetId="8">'EdeR y F de C'!$E$96</definedName>
    <definedName name="CAUE">'Flujo Economico'!$E$106</definedName>
    <definedName name="Costo" localSheetId="8">#REF!</definedName>
    <definedName name="Costo">#REF!</definedName>
    <definedName name="Cuotas" localSheetId="8">#REF!</definedName>
    <definedName name="Cuotas">#REF!</definedName>
    <definedName name="Cuotas_Uniformes">'Ppto Financiación'!$C$16</definedName>
    <definedName name="Dep_Amort">'Ppto Inv_Dep y Amt'!#REF!</definedName>
    <definedName name="DIVIDENDO">'F de C Py'!$B$36</definedName>
    <definedName name="DIVIDENDOS">'F de C Py'!$B$36</definedName>
    <definedName name="FC_0" localSheetId="8">'EdeR y F de C'!$F$90</definedName>
    <definedName name="FC_0">'Flujo Economico'!$G$100</definedName>
    <definedName name="FC_1" localSheetId="8">'EdeR y F de C'!$G$90</definedName>
    <definedName name="FC_1">'Flujo Economico'!$H$100</definedName>
    <definedName name="FC_2" localSheetId="8">'EdeR y F de C'!$H$90</definedName>
    <definedName name="FC_2">'Flujo Economico'!$I$100</definedName>
    <definedName name="FC_3" localSheetId="8">'EdeR y F de C'!$I$90</definedName>
    <definedName name="FC_3">'Flujo Economico'!$J$100</definedName>
    <definedName name="FC_4" localSheetId="8">'EdeR y F de C'!$J$90</definedName>
    <definedName name="FC_4">'Flujo Economico'!$K$100</definedName>
    <definedName name="FC_5" localSheetId="8">'EdeR y F de C'!$K$90</definedName>
    <definedName name="FC_5">'Flujo Economico'!$L$100</definedName>
    <definedName name="FC_6">'EdeR y F de C'!$L$90</definedName>
    <definedName name="Gradiente_Aritmetico">'Ppto Financiación'!$C$55</definedName>
    <definedName name="Gradiente_Aritmetico_Creciente">'Ppto Financiación'!$C$55</definedName>
    <definedName name="Gradiente_Aritmetico_Dcreciente">'Ppto Financiación'!$C$64</definedName>
    <definedName name="Gradiente_Geometrico_Creciente">'Ppto Financiación'!$C$74</definedName>
    <definedName name="Gradiente_Geometrico_decreciente">'Ppto Financiación'!$C$84</definedName>
    <definedName name="H">'Flujo Economico'!$K$100</definedName>
    <definedName name="Inmuebles">'Ppto Inv_Dep y Amt'!$A$15</definedName>
    <definedName name="Intereses">'EdeR y F de C'!$A$99</definedName>
    <definedName name="LUIS" localSheetId="8">#REF!</definedName>
    <definedName name="LUIS">#REF!</definedName>
    <definedName name="Menu">'Ppto Financiación'!$B$1</definedName>
    <definedName name="Nombre" localSheetId="8">'EdeR y F de C'!$V$100</definedName>
    <definedName name="Nombre">#REF!</definedName>
    <definedName name="P">'EdeR y F de C'!$A$90</definedName>
    <definedName name="Pago_Final">'Ppto Financiación'!$C$46</definedName>
    <definedName name="Pagos" localSheetId="8">#REF!</definedName>
    <definedName name="Pagos">#REF!</definedName>
    <definedName name="Pedro" localSheetId="8">#REF!</definedName>
    <definedName name="Pedro">#REF!</definedName>
    <definedName name="ppp" localSheetId="8">'EdeR y F de C'!$V$93</definedName>
    <definedName name="ppp">#REF!</definedName>
    <definedName name="PPPP" localSheetId="8">'EdeR y F de C'!$A$92</definedName>
    <definedName name="PPPP">#REF!</definedName>
    <definedName name="Prestamo">'EdeR y F de C'!$A$90</definedName>
    <definedName name="RBC" localSheetId="8">'EdeR y F de C'!$E$99</definedName>
    <definedName name="RBC">#REF!</definedName>
    <definedName name="Saldos_Insolutos">'Ppto Financiación'!$C$37</definedName>
    <definedName name="solver_adj" localSheetId="8" hidden="1">'EdeR y F de C'!$G$14:$K$14</definedName>
    <definedName name="solver_cvg" localSheetId="8" hidden="1">0.0001</definedName>
    <definedName name="solver_drv" localSheetId="8" hidden="1">1</definedName>
    <definedName name="solver_eng" localSheetId="8" hidden="1">1</definedName>
    <definedName name="solver_est" localSheetId="8" hidden="1">1</definedName>
    <definedName name="solver_itr" localSheetId="8" hidden="1">17000</definedName>
    <definedName name="solver_mip" localSheetId="8" hidden="1">2147483647</definedName>
    <definedName name="solver_mni" localSheetId="8" hidden="1">30</definedName>
    <definedName name="solver_mrt" localSheetId="8" hidden="1">0.075</definedName>
    <definedName name="solver_msl" localSheetId="8" hidden="1">2</definedName>
    <definedName name="solver_neg" localSheetId="8" hidden="1">1</definedName>
    <definedName name="solver_nod" localSheetId="8" hidden="1">2147483647</definedName>
    <definedName name="solver_num" localSheetId="8" hidden="1">0</definedName>
    <definedName name="solver_nwt" localSheetId="8" hidden="1">1</definedName>
    <definedName name="solver_opt" localSheetId="8" hidden="1">'EdeR y F de C'!$E$93</definedName>
    <definedName name="solver_pre" localSheetId="8" hidden="1">0.000001</definedName>
    <definedName name="solver_rbv" localSheetId="8" hidden="1">1</definedName>
    <definedName name="solver_rlx" localSheetId="8" hidden="1">2</definedName>
    <definedName name="solver_rsd" localSheetId="8" hidden="1">0</definedName>
    <definedName name="solver_scl" localSheetId="8" hidden="1">1</definedName>
    <definedName name="solver_sho" localSheetId="8" hidden="1">2</definedName>
    <definedName name="solver_ssz" localSheetId="8" hidden="1">100</definedName>
    <definedName name="solver_tim" localSheetId="8" hidden="1">2147483647</definedName>
    <definedName name="solver_tol" localSheetId="8" hidden="1">0.01</definedName>
    <definedName name="solver_typ" localSheetId="8" hidden="1">3</definedName>
    <definedName name="solver_val" localSheetId="8" hidden="1">0.1</definedName>
    <definedName name="solver_ver" localSheetId="8" hidden="1">3</definedName>
    <definedName name="Tasa">'EdeR y F de C'!$A$90</definedName>
    <definedName name="TD" localSheetId="8">#REF!</definedName>
    <definedName name="TD">#REF!</definedName>
    <definedName name="TIO" localSheetId="8">'EdeR y F de C'!$E$91</definedName>
    <definedName name="TIO">'Flujo Economico'!$F$101</definedName>
    <definedName name="TIOZ" localSheetId="8">#REF!</definedName>
    <definedName name="TIOZ">#REF!</definedName>
    <definedName name="TIR" localSheetId="8">'EdeR y F de C'!$E$93</definedName>
    <definedName name="TIR">'Flujo Economico'!$E$103</definedName>
    <definedName name="TIRM" localSheetId="8">'EdeR y F de C'!$E$94</definedName>
    <definedName name="TIRM">'Flujo Economico'!$E$104</definedName>
    <definedName name="TRINV" localSheetId="8">'EdeR y F de C'!$E$92</definedName>
    <definedName name="TRINV">#REF!</definedName>
    <definedName name="VPN" localSheetId="8">'EdeR y F de C'!$E$95</definedName>
    <definedName name="VPN">'Flujo Economico'!$E$105</definedName>
    <definedName name="XXXXXXXXXX" localSheetId="8">'EdeR y F de C'!$AL$101</definedName>
    <definedName name="XXXXXXXXXX">#REF!</definedName>
  </definedNames>
  <calcPr calcId="191029"/>
</workbook>
</file>

<file path=xl/calcChain.xml><?xml version="1.0" encoding="utf-8"?>
<calcChain xmlns="http://schemas.openxmlformats.org/spreadsheetml/2006/main">
  <c r="G24" i="22" l="1"/>
  <c r="G61" i="22"/>
  <c r="H61" i="22"/>
  <c r="I61" i="22"/>
  <c r="J61" i="22"/>
  <c r="K61" i="22"/>
  <c r="L61" i="22"/>
  <c r="M61" i="22"/>
  <c r="N61" i="22"/>
  <c r="O61" i="22"/>
  <c r="P61" i="22"/>
  <c r="Q61" i="22"/>
  <c r="R61" i="22"/>
  <c r="S61" i="22"/>
  <c r="T61" i="22"/>
  <c r="U61" i="22"/>
  <c r="V61" i="22"/>
  <c r="W61" i="22"/>
  <c r="X61" i="22"/>
  <c r="Y61" i="22"/>
  <c r="Z61" i="22"/>
  <c r="AA61" i="22"/>
  <c r="AB61" i="22"/>
  <c r="AC61" i="22"/>
  <c r="AD61" i="22"/>
  <c r="F63" i="22"/>
  <c r="G63" i="22"/>
  <c r="H63" i="22"/>
  <c r="I63" i="22"/>
  <c r="J63" i="22"/>
  <c r="K63" i="22"/>
  <c r="L63" i="22"/>
  <c r="M63" i="22"/>
  <c r="N63" i="22"/>
  <c r="O63" i="22"/>
  <c r="P63" i="22"/>
  <c r="Q63" i="22"/>
  <c r="R63" i="22"/>
  <c r="S63" i="22"/>
  <c r="T63" i="22"/>
  <c r="U63" i="22"/>
  <c r="V63" i="22"/>
  <c r="W63" i="22"/>
  <c r="X63" i="22"/>
  <c r="Y63" i="22"/>
  <c r="Z63" i="22"/>
  <c r="AA63" i="22"/>
  <c r="AB63" i="22"/>
  <c r="AC63" i="22"/>
  <c r="AD63" i="22"/>
  <c r="I97" i="37"/>
  <c r="J97" i="37"/>
  <c r="K97" i="37"/>
  <c r="L97" i="37"/>
  <c r="H97" i="37"/>
  <c r="G87" i="22"/>
  <c r="E5" i="25"/>
  <c r="H87" i="22" s="1"/>
  <c r="D10" i="7"/>
  <c r="H10" i="7"/>
  <c r="G10" i="7"/>
  <c r="F10" i="7"/>
  <c r="E10" i="7"/>
  <c r="E11" i="7" s="1"/>
  <c r="G85" i="37"/>
  <c r="F5" i="25" l="1"/>
  <c r="D89" i="7"/>
  <c r="D92" i="7" s="1"/>
  <c r="G42" i="22" s="1"/>
  <c r="D88" i="7"/>
  <c r="A249" i="9"/>
  <c r="G5" i="25" l="1"/>
  <c r="I87" i="22"/>
  <c r="G90" i="37"/>
  <c r="G89" i="37"/>
  <c r="G88" i="37"/>
  <c r="G87" i="37"/>
  <c r="F109" i="37"/>
  <c r="F104" i="37"/>
  <c r="F105" i="37" s="1"/>
  <c r="F106" i="37" s="1"/>
  <c r="C104" i="37"/>
  <c r="E49" i="37"/>
  <c r="H49" i="37" s="1"/>
  <c r="E88" i="7"/>
  <c r="E48" i="37"/>
  <c r="H48" i="37" s="1"/>
  <c r="K48" i="37" s="1"/>
  <c r="E47" i="37"/>
  <c r="H47" i="37" s="1"/>
  <c r="J47" i="37" s="1"/>
  <c r="E46" i="37"/>
  <c r="H46" i="37" s="1"/>
  <c r="L46" i="37" s="1"/>
  <c r="E45" i="37"/>
  <c r="H45" i="37" s="1"/>
  <c r="K45" i="37" s="1"/>
  <c r="E44" i="37"/>
  <c r="H44" i="37" s="1"/>
  <c r="I44" i="37" s="1"/>
  <c r="E43" i="37"/>
  <c r="H43" i="37" s="1"/>
  <c r="I43" i="37" s="1"/>
  <c r="C48" i="37"/>
  <c r="C47" i="37"/>
  <c r="C46" i="37"/>
  <c r="C45" i="37"/>
  <c r="C44" i="37"/>
  <c r="C43" i="37"/>
  <c r="R146" i="37"/>
  <c r="R147" i="37" s="1"/>
  <c r="R148" i="37" s="1"/>
  <c r="R149" i="37" s="1"/>
  <c r="R150" i="37" s="1"/>
  <c r="R151" i="37" s="1"/>
  <c r="R152" i="37" s="1"/>
  <c r="R153" i="37" s="1"/>
  <c r="R154" i="37" s="1"/>
  <c r="R155" i="37" s="1"/>
  <c r="R156" i="37" s="1"/>
  <c r="R157" i="37" s="1"/>
  <c r="R158" i="37" s="1"/>
  <c r="R159" i="37" s="1"/>
  <c r="R160" i="37" s="1"/>
  <c r="R161" i="37" s="1"/>
  <c r="F118" i="37"/>
  <c r="F119" i="37" s="1"/>
  <c r="F120" i="37" s="1"/>
  <c r="F121" i="37" s="1"/>
  <c r="F122" i="37" s="1"/>
  <c r="F123" i="37" s="1"/>
  <c r="F124" i="37" s="1"/>
  <c r="F125" i="37" s="1"/>
  <c r="F126" i="37" s="1"/>
  <c r="F127" i="37" s="1"/>
  <c r="F128" i="37" s="1"/>
  <c r="F129" i="37" s="1"/>
  <c r="F130" i="37" s="1"/>
  <c r="F131" i="37" s="1"/>
  <c r="F132" i="37" s="1"/>
  <c r="F133" i="37" s="1"/>
  <c r="F134" i="37" s="1"/>
  <c r="F135" i="37" s="1"/>
  <c r="F136" i="37" s="1"/>
  <c r="F137" i="37" s="1"/>
  <c r="F138" i="37" s="1"/>
  <c r="F139" i="37" s="1"/>
  <c r="F140" i="37" s="1"/>
  <c r="H116" i="37"/>
  <c r="I116" i="37" s="1"/>
  <c r="J116" i="37" s="1"/>
  <c r="K116" i="37" s="1"/>
  <c r="L116" i="37" s="1"/>
  <c r="M116" i="37" s="1"/>
  <c r="N116" i="37" s="1"/>
  <c r="O116" i="37" s="1"/>
  <c r="P116" i="37" s="1"/>
  <c r="D100" i="37"/>
  <c r="AE95" i="37"/>
  <c r="AD95" i="37"/>
  <c r="AC95" i="37"/>
  <c r="AB95" i="37"/>
  <c r="AA95" i="37"/>
  <c r="Z95" i="37"/>
  <c r="Y95" i="37"/>
  <c r="X95" i="37"/>
  <c r="W95" i="37"/>
  <c r="V95" i="37"/>
  <c r="U95" i="37"/>
  <c r="T95" i="37"/>
  <c r="S95" i="37"/>
  <c r="R95" i="37"/>
  <c r="Q95" i="37"/>
  <c r="P95" i="37"/>
  <c r="O95" i="37"/>
  <c r="N95" i="37"/>
  <c r="M95" i="37"/>
  <c r="L95" i="37"/>
  <c r="K95" i="37"/>
  <c r="J95" i="37"/>
  <c r="I95" i="37"/>
  <c r="H95" i="37"/>
  <c r="G95" i="37"/>
  <c r="AE94" i="37"/>
  <c r="AD94" i="37"/>
  <c r="AC94" i="37"/>
  <c r="AB94" i="37"/>
  <c r="AA94" i="37"/>
  <c r="Z94" i="37"/>
  <c r="Y94" i="37"/>
  <c r="X94" i="37"/>
  <c r="W94" i="37"/>
  <c r="V94" i="37"/>
  <c r="U94" i="37"/>
  <c r="T94" i="37"/>
  <c r="S94" i="37"/>
  <c r="R94" i="37"/>
  <c r="Q94" i="37"/>
  <c r="P94" i="37"/>
  <c r="O94" i="37"/>
  <c r="N94" i="37"/>
  <c r="M94" i="37"/>
  <c r="L94" i="37"/>
  <c r="K94" i="37"/>
  <c r="J94" i="37"/>
  <c r="I94" i="37"/>
  <c r="H94" i="37"/>
  <c r="G94" i="37"/>
  <c r="AE93" i="37"/>
  <c r="AD93" i="37"/>
  <c r="AC93" i="37"/>
  <c r="AB93" i="37"/>
  <c r="AA93" i="37"/>
  <c r="Z93" i="37"/>
  <c r="Y93" i="37"/>
  <c r="X93" i="37"/>
  <c r="W93" i="37"/>
  <c r="V93" i="37"/>
  <c r="U93" i="37"/>
  <c r="T93" i="37"/>
  <c r="S93" i="37"/>
  <c r="R93" i="37"/>
  <c r="Q93" i="37"/>
  <c r="P93" i="37"/>
  <c r="O93" i="37"/>
  <c r="N93" i="37"/>
  <c r="M93" i="37"/>
  <c r="L93" i="37"/>
  <c r="K93" i="37"/>
  <c r="J93" i="37"/>
  <c r="I93" i="37"/>
  <c r="H93" i="37"/>
  <c r="G93" i="37"/>
  <c r="AE92" i="37"/>
  <c r="AD92" i="37"/>
  <c r="AC92" i="37"/>
  <c r="AB92" i="37"/>
  <c r="AA92" i="37"/>
  <c r="Z92" i="37"/>
  <c r="Y92" i="37"/>
  <c r="X92" i="37"/>
  <c r="W92" i="37"/>
  <c r="V92" i="37"/>
  <c r="U92" i="37"/>
  <c r="T92" i="37"/>
  <c r="S92" i="37"/>
  <c r="R92" i="37"/>
  <c r="Q92" i="37"/>
  <c r="P92" i="37"/>
  <c r="O92" i="37"/>
  <c r="N92" i="37"/>
  <c r="M92" i="37"/>
  <c r="L92" i="37"/>
  <c r="K92" i="37"/>
  <c r="J92" i="37"/>
  <c r="I92" i="37"/>
  <c r="H92" i="37"/>
  <c r="AE91" i="37"/>
  <c r="AD91" i="37"/>
  <c r="AC91" i="37"/>
  <c r="AB91" i="37"/>
  <c r="AA91" i="37"/>
  <c r="Z91" i="37"/>
  <c r="Y91" i="37"/>
  <c r="X91" i="37"/>
  <c r="W91" i="37"/>
  <c r="V91" i="37"/>
  <c r="U91" i="37"/>
  <c r="T91" i="37"/>
  <c r="S91" i="37"/>
  <c r="R91" i="37"/>
  <c r="Q91" i="37"/>
  <c r="P91" i="37"/>
  <c r="O91" i="37"/>
  <c r="N91" i="37"/>
  <c r="M91" i="37"/>
  <c r="L91" i="37"/>
  <c r="K91" i="37"/>
  <c r="J91" i="37"/>
  <c r="I91" i="37"/>
  <c r="H91" i="37"/>
  <c r="G91" i="37"/>
  <c r="AE86" i="37"/>
  <c r="AD86" i="37"/>
  <c r="AC86" i="37"/>
  <c r="AB86" i="37"/>
  <c r="AA86" i="37"/>
  <c r="Z86" i="37"/>
  <c r="Y86" i="37"/>
  <c r="X86" i="37"/>
  <c r="W86" i="37"/>
  <c r="V86" i="37"/>
  <c r="U86" i="37"/>
  <c r="T86" i="37"/>
  <c r="S86" i="37"/>
  <c r="R86" i="37"/>
  <c r="Q86" i="37"/>
  <c r="P86" i="37"/>
  <c r="O86" i="37"/>
  <c r="N86" i="37"/>
  <c r="M86" i="37"/>
  <c r="L86" i="37"/>
  <c r="K86" i="37"/>
  <c r="J86" i="37"/>
  <c r="I86" i="37"/>
  <c r="H86" i="37"/>
  <c r="AE85" i="37"/>
  <c r="AD85" i="37"/>
  <c r="AC85" i="37"/>
  <c r="AB85" i="37"/>
  <c r="AA85" i="37"/>
  <c r="Z85" i="37"/>
  <c r="Y85" i="37"/>
  <c r="X85" i="37"/>
  <c r="W85" i="37"/>
  <c r="V85" i="37"/>
  <c r="U85" i="37"/>
  <c r="T85" i="37"/>
  <c r="S85" i="37"/>
  <c r="R85" i="37"/>
  <c r="Q85" i="37"/>
  <c r="P85" i="37"/>
  <c r="O85" i="37"/>
  <c r="N85" i="37"/>
  <c r="M85" i="37"/>
  <c r="L85" i="37"/>
  <c r="K85" i="37"/>
  <c r="J85" i="37"/>
  <c r="I85" i="37"/>
  <c r="H85" i="37"/>
  <c r="AE84" i="37"/>
  <c r="AD84" i="37"/>
  <c r="AC84" i="37"/>
  <c r="AB84" i="37"/>
  <c r="AA84" i="37"/>
  <c r="Z84" i="37"/>
  <c r="Y84" i="37"/>
  <c r="X84" i="37"/>
  <c r="W84" i="37"/>
  <c r="V84" i="37"/>
  <c r="U84" i="37"/>
  <c r="T84" i="37"/>
  <c r="S84" i="37"/>
  <c r="R84" i="37"/>
  <c r="Q84" i="37"/>
  <c r="P84" i="37"/>
  <c r="O84" i="37"/>
  <c r="N84" i="37"/>
  <c r="M84" i="37"/>
  <c r="L84" i="37"/>
  <c r="K84" i="37"/>
  <c r="J84" i="37"/>
  <c r="I84" i="37"/>
  <c r="H84" i="37"/>
  <c r="G84" i="37"/>
  <c r="C84" i="37"/>
  <c r="AE82" i="37"/>
  <c r="AD82" i="37"/>
  <c r="AC82" i="37"/>
  <c r="AB82" i="37"/>
  <c r="AA82" i="37"/>
  <c r="Z82" i="37"/>
  <c r="Y82" i="37"/>
  <c r="X82" i="37"/>
  <c r="W82" i="37"/>
  <c r="V82" i="37"/>
  <c r="U82" i="37"/>
  <c r="T82" i="37"/>
  <c r="S82" i="37"/>
  <c r="R82" i="37"/>
  <c r="Q82" i="37"/>
  <c r="P82" i="37"/>
  <c r="O82" i="37"/>
  <c r="N82" i="37"/>
  <c r="M82" i="37"/>
  <c r="L82" i="37"/>
  <c r="K82" i="37"/>
  <c r="J82" i="37"/>
  <c r="I82" i="37"/>
  <c r="H82" i="37"/>
  <c r="AE81" i="37"/>
  <c r="AD81" i="37"/>
  <c r="AC81" i="37"/>
  <c r="AB81" i="37"/>
  <c r="AA81" i="37"/>
  <c r="Z81" i="37"/>
  <c r="Y81" i="37"/>
  <c r="X81" i="37"/>
  <c r="W81" i="37"/>
  <c r="V81" i="37"/>
  <c r="U81" i="37"/>
  <c r="T81" i="37"/>
  <c r="S81" i="37"/>
  <c r="R81" i="37"/>
  <c r="Q81" i="37"/>
  <c r="P81" i="37"/>
  <c r="O81" i="37"/>
  <c r="N81" i="37"/>
  <c r="M81" i="37"/>
  <c r="L81" i="37"/>
  <c r="K81" i="37"/>
  <c r="J81" i="37"/>
  <c r="I81" i="37"/>
  <c r="G81" i="37"/>
  <c r="G80" i="37"/>
  <c r="AE69" i="37"/>
  <c r="AD69" i="37"/>
  <c r="AC69" i="37"/>
  <c r="AB69" i="37"/>
  <c r="AA69" i="37"/>
  <c r="Z69" i="37"/>
  <c r="Y69" i="37"/>
  <c r="X69" i="37"/>
  <c r="W69" i="37"/>
  <c r="V69" i="37"/>
  <c r="U69" i="37"/>
  <c r="T69" i="37"/>
  <c r="S69" i="37"/>
  <c r="R69" i="37"/>
  <c r="Q69" i="37"/>
  <c r="P69" i="37"/>
  <c r="O69" i="37"/>
  <c r="N69" i="37"/>
  <c r="M69" i="37"/>
  <c r="L69" i="37"/>
  <c r="K69" i="37"/>
  <c r="J69" i="37"/>
  <c r="I69" i="37"/>
  <c r="H69" i="37"/>
  <c r="G69" i="37"/>
  <c r="G72" i="37" s="1"/>
  <c r="G78" i="37" s="1"/>
  <c r="AE67" i="37"/>
  <c r="AD67" i="37"/>
  <c r="AC67" i="37"/>
  <c r="AB67" i="37"/>
  <c r="AA67" i="37"/>
  <c r="Z67" i="37"/>
  <c r="Y67" i="37"/>
  <c r="X67" i="37"/>
  <c r="W67" i="37"/>
  <c r="V67" i="37"/>
  <c r="U67" i="37"/>
  <c r="T67" i="37"/>
  <c r="S67" i="37"/>
  <c r="R67" i="37"/>
  <c r="Q67" i="37"/>
  <c r="P67" i="37"/>
  <c r="O67" i="37"/>
  <c r="N67" i="37"/>
  <c r="M67" i="37"/>
  <c r="L67" i="37"/>
  <c r="K67" i="37"/>
  <c r="J67" i="37"/>
  <c r="I67" i="37"/>
  <c r="H67" i="37"/>
  <c r="U63" i="37"/>
  <c r="U80" i="37" s="1"/>
  <c r="T63" i="37"/>
  <c r="T80" i="37" s="1"/>
  <c r="S63" i="37"/>
  <c r="S80" i="37" s="1"/>
  <c r="R63" i="37"/>
  <c r="R80" i="37" s="1"/>
  <c r="Q63" i="37"/>
  <c r="Q80" i="37" s="1"/>
  <c r="P63" i="37"/>
  <c r="P80" i="37" s="1"/>
  <c r="O63" i="37"/>
  <c r="O80" i="37" s="1"/>
  <c r="N63" i="37"/>
  <c r="N80" i="37" s="1"/>
  <c r="M63" i="37"/>
  <c r="M80" i="37" s="1"/>
  <c r="H61" i="37"/>
  <c r="C61" i="37" a="1"/>
  <c r="H60" i="37"/>
  <c r="C60" i="37" a="1"/>
  <c r="H59" i="37"/>
  <c r="C59" i="37" a="1"/>
  <c r="C58" i="37" a="1"/>
  <c r="C57" i="37" a="1"/>
  <c r="D57" i="37" s="1"/>
  <c r="C56" i="37" a="1"/>
  <c r="D56" i="37" s="1"/>
  <c r="C55" i="37"/>
  <c r="C85" i="37" s="1"/>
  <c r="G50" i="37"/>
  <c r="G52" i="37" s="1"/>
  <c r="AE23" i="37"/>
  <c r="AD23" i="37"/>
  <c r="AC23" i="37"/>
  <c r="AB23" i="37"/>
  <c r="AA23" i="37"/>
  <c r="Z23" i="37"/>
  <c r="Y23" i="37"/>
  <c r="X23" i="37"/>
  <c r="W23" i="37"/>
  <c r="V23" i="37"/>
  <c r="U23" i="37"/>
  <c r="T23" i="37"/>
  <c r="S23" i="37"/>
  <c r="R23" i="37"/>
  <c r="Q23" i="37"/>
  <c r="P23" i="37"/>
  <c r="O23" i="37"/>
  <c r="N23" i="37"/>
  <c r="M23" i="37"/>
  <c r="L23" i="37"/>
  <c r="K23" i="37"/>
  <c r="J23" i="37"/>
  <c r="I23" i="37"/>
  <c r="H23" i="37"/>
  <c r="AE22" i="37"/>
  <c r="AD22" i="37"/>
  <c r="AC22" i="37"/>
  <c r="AB22" i="37"/>
  <c r="AA22" i="37"/>
  <c r="Z22" i="37"/>
  <c r="Y22" i="37"/>
  <c r="X22" i="37"/>
  <c r="W22" i="37"/>
  <c r="V22" i="37"/>
  <c r="U22" i="37"/>
  <c r="T22" i="37"/>
  <c r="S22" i="37"/>
  <c r="R22" i="37"/>
  <c r="Q22" i="37"/>
  <c r="P22" i="37"/>
  <c r="O22" i="37"/>
  <c r="N22" i="37"/>
  <c r="M22" i="37"/>
  <c r="L22" i="37"/>
  <c r="K22" i="37"/>
  <c r="J22" i="37"/>
  <c r="I22" i="37"/>
  <c r="H22" i="37"/>
  <c r="AE21" i="37"/>
  <c r="AD21" i="37"/>
  <c r="AC21" i="37"/>
  <c r="AB21" i="37"/>
  <c r="AA21" i="37"/>
  <c r="Z21" i="37"/>
  <c r="Y21" i="37"/>
  <c r="X21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H21" i="37"/>
  <c r="AE20" i="37"/>
  <c r="AD20" i="37"/>
  <c r="AC20" i="37"/>
  <c r="AB20" i="37"/>
  <c r="AA20" i="37"/>
  <c r="Z20" i="37"/>
  <c r="Y20" i="37"/>
  <c r="X20" i="37"/>
  <c r="W20" i="37"/>
  <c r="V20" i="37"/>
  <c r="U20" i="37"/>
  <c r="T20" i="37"/>
  <c r="S20" i="37"/>
  <c r="R20" i="37"/>
  <c r="Q20" i="37"/>
  <c r="P20" i="37"/>
  <c r="O20" i="37"/>
  <c r="N20" i="37"/>
  <c r="M20" i="37"/>
  <c r="L20" i="37"/>
  <c r="K20" i="37"/>
  <c r="J20" i="37"/>
  <c r="I20" i="37"/>
  <c r="H20" i="37"/>
  <c r="AE19" i="37"/>
  <c r="AE24" i="37" s="1"/>
  <c r="AD19" i="37"/>
  <c r="AD24" i="37" s="1"/>
  <c r="AC19" i="37"/>
  <c r="AC24" i="37" s="1"/>
  <c r="AB19" i="37"/>
  <c r="AB24" i="37" s="1"/>
  <c r="AA19" i="37"/>
  <c r="AA24" i="37" s="1"/>
  <c r="Z19" i="37"/>
  <c r="Z24" i="37" s="1"/>
  <c r="Y19" i="37"/>
  <c r="Y24" i="37" s="1"/>
  <c r="X19" i="37"/>
  <c r="W19" i="37"/>
  <c r="W24" i="37" s="1"/>
  <c r="V19" i="37"/>
  <c r="V24" i="37" s="1"/>
  <c r="U19" i="37"/>
  <c r="U24" i="37" s="1"/>
  <c r="T19" i="37"/>
  <c r="T24" i="37" s="1"/>
  <c r="S19" i="37"/>
  <c r="S24" i="37" s="1"/>
  <c r="R19" i="37"/>
  <c r="R24" i="37" s="1"/>
  <c r="Q19" i="37"/>
  <c r="Q24" i="37" s="1"/>
  <c r="P19" i="37"/>
  <c r="O19" i="37"/>
  <c r="O24" i="37" s="1"/>
  <c r="N19" i="37"/>
  <c r="N24" i="37" s="1"/>
  <c r="M19" i="37"/>
  <c r="M24" i="37" s="1"/>
  <c r="L19" i="37"/>
  <c r="L24" i="37" s="1"/>
  <c r="K19" i="37"/>
  <c r="K24" i="37" s="1"/>
  <c r="J19" i="37"/>
  <c r="J24" i="37" s="1"/>
  <c r="I19" i="37"/>
  <c r="I24" i="37" s="1"/>
  <c r="H19" i="37"/>
  <c r="AE18" i="37"/>
  <c r="AD18" i="37"/>
  <c r="AC18" i="37"/>
  <c r="AB18" i="37"/>
  <c r="AA18" i="37"/>
  <c r="Z18" i="37"/>
  <c r="Y18" i="37"/>
  <c r="X18" i="37"/>
  <c r="W18" i="37"/>
  <c r="V18" i="37"/>
  <c r="U18" i="37"/>
  <c r="T18" i="37"/>
  <c r="S18" i="37"/>
  <c r="R18" i="37"/>
  <c r="Q18" i="37"/>
  <c r="P18" i="37"/>
  <c r="O18" i="37"/>
  <c r="N18" i="37"/>
  <c r="M18" i="37"/>
  <c r="L18" i="37"/>
  <c r="K18" i="37"/>
  <c r="J18" i="37"/>
  <c r="I18" i="37"/>
  <c r="H18" i="37"/>
  <c r="AE17" i="37"/>
  <c r="AD17" i="37"/>
  <c r="AC17" i="37"/>
  <c r="AB17" i="37"/>
  <c r="AA17" i="37"/>
  <c r="Z17" i="37"/>
  <c r="Y17" i="37"/>
  <c r="X17" i="37"/>
  <c r="W17" i="37"/>
  <c r="V17" i="37"/>
  <c r="U17" i="37"/>
  <c r="T17" i="37"/>
  <c r="S17" i="37"/>
  <c r="R17" i="37"/>
  <c r="Q17" i="37"/>
  <c r="P17" i="37"/>
  <c r="O17" i="37"/>
  <c r="N17" i="37"/>
  <c r="M17" i="37"/>
  <c r="L17" i="37"/>
  <c r="K17" i="37"/>
  <c r="J17" i="37"/>
  <c r="I17" i="37"/>
  <c r="H17" i="37"/>
  <c r="AE16" i="37"/>
  <c r="AD16" i="37"/>
  <c r="AC16" i="37"/>
  <c r="AB16" i="37"/>
  <c r="AA16" i="37"/>
  <c r="Z16" i="37"/>
  <c r="Y16" i="37"/>
  <c r="X16" i="37"/>
  <c r="W16" i="37"/>
  <c r="V16" i="37"/>
  <c r="U16" i="37"/>
  <c r="T16" i="37"/>
  <c r="S16" i="37"/>
  <c r="R16" i="37"/>
  <c r="Q16" i="37"/>
  <c r="P16" i="37"/>
  <c r="O16" i="37"/>
  <c r="N16" i="37"/>
  <c r="M16" i="37"/>
  <c r="L16" i="37"/>
  <c r="K16" i="37"/>
  <c r="J16" i="37"/>
  <c r="I16" i="37"/>
  <c r="H16" i="37"/>
  <c r="AE15" i="37"/>
  <c r="AD15" i="37"/>
  <c r="AC15" i="37"/>
  <c r="AB15" i="37"/>
  <c r="AA15" i="37"/>
  <c r="Z15" i="37"/>
  <c r="Y15" i="37"/>
  <c r="X15" i="37"/>
  <c r="W15" i="37"/>
  <c r="V15" i="37"/>
  <c r="U15" i="37"/>
  <c r="T15" i="37"/>
  <c r="S15" i="37"/>
  <c r="R15" i="37"/>
  <c r="Q15" i="37"/>
  <c r="P15" i="37"/>
  <c r="O15" i="37"/>
  <c r="N15" i="37"/>
  <c r="M15" i="37"/>
  <c r="L15" i="37"/>
  <c r="K15" i="37"/>
  <c r="J15" i="37"/>
  <c r="I15" i="37"/>
  <c r="H15" i="37"/>
  <c r="AE14" i="37"/>
  <c r="AD14" i="37"/>
  <c r="AC14" i="37"/>
  <c r="AB14" i="37"/>
  <c r="AA14" i="37"/>
  <c r="Z14" i="37"/>
  <c r="Y14" i="37"/>
  <c r="X14" i="37"/>
  <c r="W14" i="37"/>
  <c r="V14" i="37"/>
  <c r="U14" i="37"/>
  <c r="T14" i="37"/>
  <c r="S14" i="37"/>
  <c r="R14" i="37"/>
  <c r="Q14" i="37"/>
  <c r="P14" i="37"/>
  <c r="O14" i="37"/>
  <c r="N14" i="37"/>
  <c r="M14" i="37"/>
  <c r="L14" i="37"/>
  <c r="K14" i="37"/>
  <c r="J14" i="37"/>
  <c r="I14" i="37"/>
  <c r="H14" i="37"/>
  <c r="AE12" i="37"/>
  <c r="AD12" i="37"/>
  <c r="AC12" i="37"/>
  <c r="AB12" i="37"/>
  <c r="AA12" i="37"/>
  <c r="Z12" i="37"/>
  <c r="Y12" i="37"/>
  <c r="X12" i="37"/>
  <c r="W12" i="37"/>
  <c r="V12" i="37"/>
  <c r="U12" i="37"/>
  <c r="T12" i="37"/>
  <c r="S12" i="37"/>
  <c r="R12" i="37"/>
  <c r="Q12" i="37"/>
  <c r="P12" i="37"/>
  <c r="O12" i="37"/>
  <c r="N12" i="37"/>
  <c r="M12" i="37"/>
  <c r="L12" i="37"/>
  <c r="K12" i="37"/>
  <c r="J12" i="37"/>
  <c r="I12" i="37"/>
  <c r="H12" i="37"/>
  <c r="AE11" i="37"/>
  <c r="AD11" i="37"/>
  <c r="AC11" i="37"/>
  <c r="AB11" i="37"/>
  <c r="AA11" i="37"/>
  <c r="Z11" i="37"/>
  <c r="Y11" i="37"/>
  <c r="X11" i="37"/>
  <c r="W11" i="37"/>
  <c r="V11" i="37"/>
  <c r="U11" i="37"/>
  <c r="T11" i="37"/>
  <c r="S11" i="37"/>
  <c r="R11" i="37"/>
  <c r="Q11" i="37"/>
  <c r="P11" i="37"/>
  <c r="O11" i="37"/>
  <c r="N11" i="37"/>
  <c r="M11" i="37"/>
  <c r="L11" i="37"/>
  <c r="K11" i="37"/>
  <c r="J11" i="37"/>
  <c r="I11" i="37"/>
  <c r="H11" i="37"/>
  <c r="AE10" i="37"/>
  <c r="AD10" i="37"/>
  <c r="AC10" i="37"/>
  <c r="AB10" i="37"/>
  <c r="AA10" i="37"/>
  <c r="Z10" i="37"/>
  <c r="Y10" i="37"/>
  <c r="X10" i="37"/>
  <c r="W10" i="37"/>
  <c r="V10" i="37"/>
  <c r="U10" i="37"/>
  <c r="T10" i="37"/>
  <c r="S10" i="37"/>
  <c r="R10" i="37"/>
  <c r="Q10" i="37"/>
  <c r="P10" i="37"/>
  <c r="O10" i="37"/>
  <c r="N10" i="37"/>
  <c r="M10" i="37"/>
  <c r="L10" i="37"/>
  <c r="K10" i="37"/>
  <c r="J10" i="37"/>
  <c r="I10" i="37"/>
  <c r="H10" i="37"/>
  <c r="AE9" i="37"/>
  <c r="AD9" i="37"/>
  <c r="AC9" i="37"/>
  <c r="AB9" i="37"/>
  <c r="AA9" i="37"/>
  <c r="Z9" i="37"/>
  <c r="Y9" i="37"/>
  <c r="X9" i="37"/>
  <c r="W9" i="37"/>
  <c r="V9" i="37"/>
  <c r="U9" i="37"/>
  <c r="T9" i="37"/>
  <c r="S9" i="37"/>
  <c r="R9" i="37"/>
  <c r="Q9" i="37"/>
  <c r="P9" i="37"/>
  <c r="O9" i="37"/>
  <c r="N9" i="37"/>
  <c r="M9" i="37"/>
  <c r="L9" i="37"/>
  <c r="K9" i="37"/>
  <c r="J9" i="37"/>
  <c r="I9" i="37"/>
  <c r="H9" i="37"/>
  <c r="AE8" i="37"/>
  <c r="AD8" i="37"/>
  <c r="AC8" i="37"/>
  <c r="AB8" i="37"/>
  <c r="AA8" i="37"/>
  <c r="Z8" i="37"/>
  <c r="Y8" i="37"/>
  <c r="X8" i="37"/>
  <c r="W8" i="37"/>
  <c r="V8" i="37"/>
  <c r="U8" i="37"/>
  <c r="T8" i="37"/>
  <c r="S8" i="37"/>
  <c r="R8" i="37"/>
  <c r="Q8" i="37"/>
  <c r="P8" i="37"/>
  <c r="O8" i="37"/>
  <c r="N8" i="37"/>
  <c r="M8" i="37"/>
  <c r="L8" i="37"/>
  <c r="K8" i="37"/>
  <c r="J8" i="37"/>
  <c r="I8" i="37"/>
  <c r="H8" i="37"/>
  <c r="D3" i="37"/>
  <c r="D54" i="37" s="1"/>
  <c r="D2" i="37"/>
  <c r="D67" i="37" s="1"/>
  <c r="D1" i="37" a="1"/>
  <c r="D1" i="37" s="1"/>
  <c r="J87" i="22" l="1"/>
  <c r="H5" i="25"/>
  <c r="K87" i="22" s="1"/>
  <c r="G86" i="37"/>
  <c r="H24" i="37"/>
  <c r="K46" i="37"/>
  <c r="J48" i="37"/>
  <c r="K44" i="37"/>
  <c r="J43" i="37"/>
  <c r="L47" i="37"/>
  <c r="I46" i="37"/>
  <c r="J44" i="37"/>
  <c r="K43" i="37"/>
  <c r="K47" i="37"/>
  <c r="L44" i="37"/>
  <c r="L48" i="37"/>
  <c r="I47" i="37"/>
  <c r="L43" i="37"/>
  <c r="I45" i="37"/>
  <c r="J45" i="37"/>
  <c r="L45" i="37"/>
  <c r="I48" i="37"/>
  <c r="J46" i="37"/>
  <c r="X24" i="37"/>
  <c r="P24" i="37"/>
  <c r="L99" i="37"/>
  <c r="AB99" i="37"/>
  <c r="H99" i="37"/>
  <c r="T99" i="37"/>
  <c r="X99" i="37"/>
  <c r="P99" i="37"/>
  <c r="J99" i="37"/>
  <c r="N99" i="37"/>
  <c r="R99" i="37"/>
  <c r="V99" i="37"/>
  <c r="Z99" i="37"/>
  <c r="AD99" i="37"/>
  <c r="K99" i="37"/>
  <c r="O99" i="37"/>
  <c r="S99" i="37"/>
  <c r="W99" i="37"/>
  <c r="AA99" i="37"/>
  <c r="AE99" i="37"/>
  <c r="C56" i="37"/>
  <c r="C86" i="37" s="1"/>
  <c r="D59" i="37"/>
  <c r="C59" i="37"/>
  <c r="C93" i="37" s="1"/>
  <c r="D61" i="37"/>
  <c r="C61" i="37"/>
  <c r="C95" i="37" s="1"/>
  <c r="D58" i="37"/>
  <c r="C58" i="37"/>
  <c r="C92" i="37" s="1"/>
  <c r="D60" i="37"/>
  <c r="C60" i="37"/>
  <c r="C94" i="37" s="1"/>
  <c r="D82" i="37"/>
  <c r="H81" i="37"/>
  <c r="I99" i="37"/>
  <c r="M99" i="37"/>
  <c r="Q99" i="37"/>
  <c r="U99" i="37"/>
  <c r="Y99" i="37"/>
  <c r="AC99" i="37"/>
  <c r="C57" i="37"/>
  <c r="C91" i="37" s="1"/>
  <c r="D8" i="7" l="1"/>
  <c r="H26" i="37" s="1"/>
  <c r="G53" i="22" l="1"/>
  <c r="G54" i="22"/>
  <c r="G55" i="22"/>
  <c r="D99" i="9"/>
  <c r="I250" i="9"/>
  <c r="J250" i="9"/>
  <c r="K250" i="9"/>
  <c r="L250" i="9"/>
  <c r="M250" i="9"/>
  <c r="N250" i="9"/>
  <c r="O250" i="9"/>
  <c r="P250" i="9"/>
  <c r="Q250" i="9"/>
  <c r="R250" i="9"/>
  <c r="S250" i="9"/>
  <c r="T250" i="9"/>
  <c r="U250" i="9"/>
  <c r="V250" i="9"/>
  <c r="W250" i="9"/>
  <c r="X250" i="9"/>
  <c r="Y250" i="9"/>
  <c r="Z250" i="9"/>
  <c r="AA250" i="9"/>
  <c r="A261" i="9"/>
  <c r="H251" i="9"/>
  <c r="G251" i="9"/>
  <c r="F251" i="9"/>
  <c r="E251" i="9"/>
  <c r="D251" i="9"/>
  <c r="C17" i="7" l="1"/>
  <c r="D8" i="6"/>
  <c r="C22" i="9"/>
  <c r="C36" i="9"/>
  <c r="C15" i="9"/>
  <c r="G92" i="37" l="1"/>
  <c r="G99" i="37" s="1"/>
  <c r="G100" i="37" s="1"/>
  <c r="G112" i="37" s="1"/>
  <c r="D252" i="9"/>
  <c r="D276" i="9" s="1"/>
  <c r="H58" i="37" s="1"/>
  <c r="G107" i="37"/>
  <c r="G252" i="9"/>
  <c r="H252" i="9"/>
  <c r="F252" i="9"/>
  <c r="E252" i="9"/>
  <c r="I25" i="27"/>
  <c r="H25" i="27"/>
  <c r="G25" i="27"/>
  <c r="F25" i="27"/>
  <c r="E25" i="27"/>
  <c r="D25" i="27"/>
  <c r="C25" i="27"/>
  <c r="G108" i="37" l="1"/>
  <c r="D277" i="9"/>
  <c r="D278" i="9" s="1"/>
  <c r="G52" i="22"/>
  <c r="C25" i="36"/>
  <c r="C7" i="36"/>
  <c r="C13" i="36"/>
  <c r="C24" i="36"/>
  <c r="C23" i="36"/>
  <c r="AA18" i="36"/>
  <c r="Z18" i="36"/>
  <c r="Y18" i="36"/>
  <c r="X18" i="36"/>
  <c r="W18" i="36"/>
  <c r="V18" i="36"/>
  <c r="U18" i="36"/>
  <c r="T18" i="36"/>
  <c r="S18" i="36"/>
  <c r="R18" i="36"/>
  <c r="Q18" i="36"/>
  <c r="P18" i="36"/>
  <c r="O18" i="36"/>
  <c r="N18" i="36"/>
  <c r="M18" i="36"/>
  <c r="L18" i="36"/>
  <c r="K18" i="36"/>
  <c r="J18" i="36"/>
  <c r="I18" i="36"/>
  <c r="H18" i="36"/>
  <c r="G18" i="36"/>
  <c r="F18" i="36"/>
  <c r="E18" i="36"/>
  <c r="D18" i="36"/>
  <c r="C18" i="36"/>
  <c r="C3" i="36"/>
  <c r="D3" i="36" s="1"/>
  <c r="E3" i="36" s="1"/>
  <c r="F3" i="36" s="1"/>
  <c r="G3" i="36" s="1"/>
  <c r="H3" i="36" s="1"/>
  <c r="I3" i="36" s="1"/>
  <c r="J3" i="36" s="1"/>
  <c r="K3" i="36" s="1"/>
  <c r="L3" i="36" s="1"/>
  <c r="M3" i="36" s="1"/>
  <c r="N3" i="36" s="1"/>
  <c r="O3" i="36" s="1"/>
  <c r="P3" i="36" s="1"/>
  <c r="Q3" i="36" s="1"/>
  <c r="R3" i="36" s="1"/>
  <c r="S3" i="36" s="1"/>
  <c r="T3" i="36" s="1"/>
  <c r="U3" i="36" s="1"/>
  <c r="V3" i="36" s="1"/>
  <c r="W3" i="36" s="1"/>
  <c r="X3" i="36" s="1"/>
  <c r="Y3" i="36" s="1"/>
  <c r="Z3" i="36" s="1"/>
  <c r="AA3" i="36" s="1"/>
  <c r="C27" i="36" l="1"/>
  <c r="C19" i="23" l="1"/>
  <c r="D1" i="22" l="1" a="1"/>
  <c r="D1" i="22" s="1"/>
  <c r="C28" i="23" l="1"/>
  <c r="C26" i="23"/>
  <c r="AA26" i="23"/>
  <c r="Z26" i="23"/>
  <c r="Y26" i="23"/>
  <c r="C27" i="23"/>
  <c r="AD76" i="22"/>
  <c r="AC76" i="22"/>
  <c r="AB76" i="22"/>
  <c r="AA76" i="22"/>
  <c r="C24" i="23"/>
  <c r="C23" i="23"/>
  <c r="F99" i="22"/>
  <c r="F94" i="22"/>
  <c r="F95" i="22" s="1"/>
  <c r="F96" i="22" s="1"/>
  <c r="AD85" i="22"/>
  <c r="AA37" i="23" s="1"/>
  <c r="AC85" i="22"/>
  <c r="Z37" i="23" s="1"/>
  <c r="AB85" i="22"/>
  <c r="Y37" i="23" s="1"/>
  <c r="AA85" i="22"/>
  <c r="X37" i="23" s="1"/>
  <c r="Z85" i="22"/>
  <c r="W37" i="23" s="1"/>
  <c r="Y85" i="22"/>
  <c r="V37" i="23" s="1"/>
  <c r="X85" i="22"/>
  <c r="U37" i="23" s="1"/>
  <c r="W85" i="22"/>
  <c r="T37" i="23" s="1"/>
  <c r="V85" i="22"/>
  <c r="S37" i="23" s="1"/>
  <c r="U85" i="22"/>
  <c r="R37" i="23" s="1"/>
  <c r="T85" i="22"/>
  <c r="Q37" i="23" s="1"/>
  <c r="S85" i="22"/>
  <c r="P37" i="23" s="1"/>
  <c r="R85" i="22"/>
  <c r="O37" i="23" s="1"/>
  <c r="Q85" i="22"/>
  <c r="N37" i="23" s="1"/>
  <c r="P85" i="22"/>
  <c r="M37" i="23" s="1"/>
  <c r="O85" i="22"/>
  <c r="L37" i="23" s="1"/>
  <c r="N85" i="22"/>
  <c r="K37" i="23" s="1"/>
  <c r="M85" i="22"/>
  <c r="J37" i="23" s="1"/>
  <c r="L85" i="22"/>
  <c r="I37" i="23" s="1"/>
  <c r="K85" i="22"/>
  <c r="H37" i="23" s="1"/>
  <c r="J85" i="22"/>
  <c r="G37" i="23" s="1"/>
  <c r="I85" i="22"/>
  <c r="F37" i="23" s="1"/>
  <c r="H85" i="22"/>
  <c r="E37" i="23" s="1"/>
  <c r="G85" i="22"/>
  <c r="D37" i="23" s="1"/>
  <c r="AD84" i="22"/>
  <c r="AA36" i="23" s="1"/>
  <c r="AC84" i="22"/>
  <c r="Z36" i="23" s="1"/>
  <c r="AB84" i="22"/>
  <c r="Y36" i="23" s="1"/>
  <c r="AA84" i="22"/>
  <c r="X36" i="23" s="1"/>
  <c r="Z84" i="22"/>
  <c r="W36" i="23" s="1"/>
  <c r="Y84" i="22"/>
  <c r="V36" i="23" s="1"/>
  <c r="X84" i="22"/>
  <c r="U36" i="23" s="1"/>
  <c r="W84" i="22"/>
  <c r="T36" i="23" s="1"/>
  <c r="V84" i="22"/>
  <c r="S36" i="23" s="1"/>
  <c r="U84" i="22"/>
  <c r="R36" i="23" s="1"/>
  <c r="T84" i="22"/>
  <c r="Q36" i="23" s="1"/>
  <c r="S84" i="22"/>
  <c r="P36" i="23" s="1"/>
  <c r="R84" i="22"/>
  <c r="O36" i="23" s="1"/>
  <c r="Q84" i="22"/>
  <c r="N36" i="23" s="1"/>
  <c r="P84" i="22"/>
  <c r="M36" i="23" s="1"/>
  <c r="O84" i="22"/>
  <c r="L36" i="23" s="1"/>
  <c r="N84" i="22"/>
  <c r="K36" i="23" s="1"/>
  <c r="M84" i="22"/>
  <c r="J36" i="23" s="1"/>
  <c r="L84" i="22"/>
  <c r="I36" i="23" s="1"/>
  <c r="K84" i="22"/>
  <c r="H36" i="23" s="1"/>
  <c r="J84" i="22"/>
  <c r="G36" i="23" s="1"/>
  <c r="I84" i="22"/>
  <c r="F36" i="23" s="1"/>
  <c r="H84" i="22"/>
  <c r="E36" i="23" s="1"/>
  <c r="G84" i="22"/>
  <c r="D36" i="23" s="1"/>
  <c r="AD83" i="22"/>
  <c r="AA35" i="23" s="1"/>
  <c r="AC83" i="22"/>
  <c r="Z35" i="23" s="1"/>
  <c r="AB83" i="22"/>
  <c r="Y35" i="23" s="1"/>
  <c r="AA83" i="22"/>
  <c r="X35" i="23" s="1"/>
  <c r="Z83" i="22"/>
  <c r="W35" i="23" s="1"/>
  <c r="Y83" i="22"/>
  <c r="V35" i="23" s="1"/>
  <c r="X83" i="22"/>
  <c r="U35" i="23" s="1"/>
  <c r="W83" i="22"/>
  <c r="T35" i="23" s="1"/>
  <c r="V83" i="22"/>
  <c r="S35" i="23" s="1"/>
  <c r="U83" i="22"/>
  <c r="R35" i="23" s="1"/>
  <c r="T83" i="22"/>
  <c r="Q35" i="23" s="1"/>
  <c r="S83" i="22"/>
  <c r="P35" i="23" s="1"/>
  <c r="R83" i="22"/>
  <c r="O35" i="23" s="1"/>
  <c r="Q83" i="22"/>
  <c r="N35" i="23" s="1"/>
  <c r="P83" i="22"/>
  <c r="M35" i="23" s="1"/>
  <c r="O83" i="22"/>
  <c r="L35" i="23" s="1"/>
  <c r="N83" i="22"/>
  <c r="K35" i="23" s="1"/>
  <c r="M83" i="22"/>
  <c r="J35" i="23" s="1"/>
  <c r="L83" i="22"/>
  <c r="I35" i="23" s="1"/>
  <c r="K83" i="22"/>
  <c r="H35" i="23" s="1"/>
  <c r="J83" i="22"/>
  <c r="G35" i="23" s="1"/>
  <c r="I83" i="22"/>
  <c r="F35" i="23" s="1"/>
  <c r="H83" i="22"/>
  <c r="E35" i="23" s="1"/>
  <c r="G83" i="22"/>
  <c r="D35" i="23" s="1"/>
  <c r="AD82" i="22"/>
  <c r="AA34" i="23" s="1"/>
  <c r="AC82" i="22"/>
  <c r="Z34" i="23" s="1"/>
  <c r="AB82" i="22"/>
  <c r="Y34" i="23" s="1"/>
  <c r="AA82" i="22"/>
  <c r="X34" i="23" s="1"/>
  <c r="Z82" i="22"/>
  <c r="W34" i="23" s="1"/>
  <c r="Y82" i="22"/>
  <c r="V34" i="23" s="1"/>
  <c r="X82" i="22"/>
  <c r="U34" i="23" s="1"/>
  <c r="W82" i="22"/>
  <c r="T34" i="23" s="1"/>
  <c r="V82" i="22"/>
  <c r="S34" i="23" s="1"/>
  <c r="U82" i="22"/>
  <c r="R34" i="23" s="1"/>
  <c r="T82" i="22"/>
  <c r="Q34" i="23" s="1"/>
  <c r="S82" i="22"/>
  <c r="P34" i="23" s="1"/>
  <c r="R82" i="22"/>
  <c r="O34" i="23" s="1"/>
  <c r="Q82" i="22"/>
  <c r="N34" i="23" s="1"/>
  <c r="P82" i="22"/>
  <c r="M34" i="23" s="1"/>
  <c r="O82" i="22"/>
  <c r="L34" i="23" s="1"/>
  <c r="N82" i="22"/>
  <c r="K34" i="23" s="1"/>
  <c r="M82" i="22"/>
  <c r="J34" i="23" s="1"/>
  <c r="L82" i="22"/>
  <c r="I34" i="23" s="1"/>
  <c r="K82" i="22"/>
  <c r="H34" i="23" s="1"/>
  <c r="J82" i="22"/>
  <c r="G34" i="23" s="1"/>
  <c r="I82" i="22"/>
  <c r="F34" i="23" s="1"/>
  <c r="H82" i="22"/>
  <c r="E34" i="23" s="1"/>
  <c r="G82" i="22"/>
  <c r="D34" i="23" s="1"/>
  <c r="AD81" i="22"/>
  <c r="AA33" i="23" s="1"/>
  <c r="AC81" i="22"/>
  <c r="Z33" i="23" s="1"/>
  <c r="AB81" i="22"/>
  <c r="Y33" i="23" s="1"/>
  <c r="AA81" i="22"/>
  <c r="X33" i="23" s="1"/>
  <c r="Z81" i="22"/>
  <c r="W33" i="23" s="1"/>
  <c r="Y81" i="22"/>
  <c r="V33" i="23" s="1"/>
  <c r="X81" i="22"/>
  <c r="U33" i="23" s="1"/>
  <c r="W81" i="22"/>
  <c r="T33" i="23" s="1"/>
  <c r="V81" i="22"/>
  <c r="S33" i="23" s="1"/>
  <c r="U81" i="22"/>
  <c r="R33" i="23" s="1"/>
  <c r="T81" i="22"/>
  <c r="Q33" i="23" s="1"/>
  <c r="S81" i="22"/>
  <c r="P33" i="23" s="1"/>
  <c r="R81" i="22"/>
  <c r="O33" i="23" s="1"/>
  <c r="Q81" i="22"/>
  <c r="N33" i="23" s="1"/>
  <c r="P81" i="22"/>
  <c r="M33" i="23" s="1"/>
  <c r="O81" i="22"/>
  <c r="L33" i="23" s="1"/>
  <c r="N81" i="22"/>
  <c r="K33" i="23" s="1"/>
  <c r="M81" i="22"/>
  <c r="J33" i="23" s="1"/>
  <c r="L81" i="22"/>
  <c r="I33" i="23" s="1"/>
  <c r="K81" i="22"/>
  <c r="H33" i="23" s="1"/>
  <c r="J81" i="22"/>
  <c r="G33" i="23" s="1"/>
  <c r="I81" i="22"/>
  <c r="F33" i="23" s="1"/>
  <c r="H81" i="22"/>
  <c r="E33" i="23" s="1"/>
  <c r="G81" i="22"/>
  <c r="D33" i="23" s="1"/>
  <c r="AD80" i="22"/>
  <c r="AA32" i="23" s="1"/>
  <c r="AC80" i="22"/>
  <c r="Z32" i="23" s="1"/>
  <c r="AB80" i="22"/>
  <c r="Y32" i="23" s="1"/>
  <c r="AA80" i="22"/>
  <c r="X32" i="23" s="1"/>
  <c r="Z80" i="22"/>
  <c r="W32" i="23" s="1"/>
  <c r="Y80" i="22"/>
  <c r="V32" i="23" s="1"/>
  <c r="X80" i="22"/>
  <c r="U32" i="23" s="1"/>
  <c r="W80" i="22"/>
  <c r="T32" i="23" s="1"/>
  <c r="V80" i="22"/>
  <c r="S32" i="23" s="1"/>
  <c r="U80" i="22"/>
  <c r="R32" i="23" s="1"/>
  <c r="T80" i="22"/>
  <c r="Q32" i="23" s="1"/>
  <c r="S80" i="22"/>
  <c r="P32" i="23" s="1"/>
  <c r="R80" i="22"/>
  <c r="O32" i="23" s="1"/>
  <c r="Q80" i="22"/>
  <c r="N32" i="23" s="1"/>
  <c r="P80" i="22"/>
  <c r="M32" i="23" s="1"/>
  <c r="O80" i="22"/>
  <c r="L32" i="23" s="1"/>
  <c r="N80" i="22"/>
  <c r="K32" i="23" s="1"/>
  <c r="M80" i="22"/>
  <c r="J32" i="23" s="1"/>
  <c r="L80" i="22"/>
  <c r="I32" i="23" s="1"/>
  <c r="K80" i="22"/>
  <c r="H32" i="23" s="1"/>
  <c r="J80" i="22"/>
  <c r="G32" i="23" s="1"/>
  <c r="I80" i="22"/>
  <c r="F32" i="23" s="1"/>
  <c r="H80" i="22"/>
  <c r="E32" i="23" s="1"/>
  <c r="G80" i="22"/>
  <c r="D32" i="23" s="1"/>
  <c r="AD79" i="22"/>
  <c r="AA31" i="23" s="1"/>
  <c r="AC79" i="22"/>
  <c r="Z31" i="23" s="1"/>
  <c r="AB79" i="22"/>
  <c r="Y31" i="23" s="1"/>
  <c r="AA79" i="22"/>
  <c r="X31" i="23" s="1"/>
  <c r="Z79" i="22"/>
  <c r="W31" i="23" s="1"/>
  <c r="Y79" i="22"/>
  <c r="V31" i="23" s="1"/>
  <c r="X79" i="22"/>
  <c r="U31" i="23" s="1"/>
  <c r="W79" i="22"/>
  <c r="T31" i="23" s="1"/>
  <c r="V79" i="22"/>
  <c r="S31" i="23" s="1"/>
  <c r="U79" i="22"/>
  <c r="R31" i="23" s="1"/>
  <c r="T79" i="22"/>
  <c r="Q31" i="23" s="1"/>
  <c r="S79" i="22"/>
  <c r="P31" i="23" s="1"/>
  <c r="R79" i="22"/>
  <c r="O31" i="23" s="1"/>
  <c r="Q79" i="22"/>
  <c r="N31" i="23" s="1"/>
  <c r="P79" i="22"/>
  <c r="M31" i="23" s="1"/>
  <c r="O79" i="22"/>
  <c r="L31" i="23" s="1"/>
  <c r="N79" i="22"/>
  <c r="K31" i="23" s="1"/>
  <c r="M79" i="22"/>
  <c r="J31" i="23" s="1"/>
  <c r="L79" i="22"/>
  <c r="I31" i="23" s="1"/>
  <c r="K79" i="22"/>
  <c r="H31" i="23" s="1"/>
  <c r="J79" i="22"/>
  <c r="G31" i="23" s="1"/>
  <c r="I79" i="22"/>
  <c r="F31" i="23" s="1"/>
  <c r="H79" i="22"/>
  <c r="E31" i="23" s="1"/>
  <c r="G79" i="22"/>
  <c r="D31" i="23" s="1"/>
  <c r="AD78" i="22"/>
  <c r="AA30" i="23" s="1"/>
  <c r="AC78" i="22"/>
  <c r="Z30" i="23" s="1"/>
  <c r="AB78" i="22"/>
  <c r="Y30" i="23" s="1"/>
  <c r="AA78" i="22"/>
  <c r="X30" i="23" s="1"/>
  <c r="Z78" i="22"/>
  <c r="W30" i="23" s="1"/>
  <c r="Y78" i="22"/>
  <c r="V30" i="23" s="1"/>
  <c r="X78" i="22"/>
  <c r="U30" i="23" s="1"/>
  <c r="W78" i="22"/>
  <c r="T30" i="23" s="1"/>
  <c r="V78" i="22"/>
  <c r="S30" i="23" s="1"/>
  <c r="U78" i="22"/>
  <c r="R30" i="23" s="1"/>
  <c r="T78" i="22"/>
  <c r="Q30" i="23" s="1"/>
  <c r="S78" i="22"/>
  <c r="P30" i="23" s="1"/>
  <c r="R78" i="22"/>
  <c r="O30" i="23" s="1"/>
  <c r="Q78" i="22"/>
  <c r="N30" i="23" s="1"/>
  <c r="P78" i="22"/>
  <c r="M30" i="23" s="1"/>
  <c r="O78" i="22"/>
  <c r="L30" i="23" s="1"/>
  <c r="N78" i="22"/>
  <c r="K30" i="23" s="1"/>
  <c r="M78" i="22"/>
  <c r="J30" i="23" s="1"/>
  <c r="L78" i="22"/>
  <c r="I30" i="23" s="1"/>
  <c r="K78" i="22"/>
  <c r="H30" i="23" s="1"/>
  <c r="J78" i="22"/>
  <c r="G30" i="23" s="1"/>
  <c r="I78" i="22"/>
  <c r="F30" i="23" s="1"/>
  <c r="H78" i="22"/>
  <c r="E30" i="23" s="1"/>
  <c r="G78" i="22"/>
  <c r="D30" i="23" s="1"/>
  <c r="F85" i="22"/>
  <c r="C37" i="23" s="1"/>
  <c r="F84" i="22"/>
  <c r="C36" i="23" s="1"/>
  <c r="F83" i="22"/>
  <c r="C35" i="23" s="1"/>
  <c r="F82" i="22"/>
  <c r="C34" i="23" s="1"/>
  <c r="F81" i="22"/>
  <c r="C33" i="23" s="1"/>
  <c r="F80" i="22"/>
  <c r="C32" i="23" s="1"/>
  <c r="F79" i="22"/>
  <c r="C31" i="23" s="1"/>
  <c r="F78" i="22"/>
  <c r="C30" i="23" l="1"/>
  <c r="F89" i="22"/>
  <c r="AA27" i="23"/>
  <c r="AA25" i="36"/>
  <c r="X27" i="23"/>
  <c r="X25" i="36"/>
  <c r="Y27" i="23"/>
  <c r="Y25" i="36"/>
  <c r="Z27" i="23"/>
  <c r="Z25" i="36"/>
  <c r="X26" i="23"/>
  <c r="AD23" i="22"/>
  <c r="AC23" i="22"/>
  <c r="AB23" i="22"/>
  <c r="AA23" i="22"/>
  <c r="Z23" i="22"/>
  <c r="Y23" i="22"/>
  <c r="X23" i="22"/>
  <c r="W23" i="22"/>
  <c r="V23" i="22"/>
  <c r="U23" i="22"/>
  <c r="T23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AD22" i="22"/>
  <c r="AC22" i="22"/>
  <c r="AB22" i="22"/>
  <c r="AA22" i="22"/>
  <c r="Z22" i="22"/>
  <c r="Y22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AD21" i="22"/>
  <c r="AC21" i="22"/>
  <c r="AB21" i="22"/>
  <c r="AA21" i="22"/>
  <c r="Z21" i="22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H20" i="22"/>
  <c r="I20" i="22"/>
  <c r="J20" i="22"/>
  <c r="K20" i="22"/>
  <c r="L20" i="22"/>
  <c r="M20" i="22"/>
  <c r="N20" i="22"/>
  <c r="O20" i="22"/>
  <c r="P20" i="22"/>
  <c r="Q20" i="22"/>
  <c r="R20" i="22"/>
  <c r="S20" i="22"/>
  <c r="T20" i="22"/>
  <c r="U20" i="22"/>
  <c r="V20" i="22"/>
  <c r="W20" i="22"/>
  <c r="X20" i="22"/>
  <c r="Y20" i="22"/>
  <c r="Z20" i="22"/>
  <c r="AA20" i="22"/>
  <c r="AB20" i="22"/>
  <c r="AC20" i="22"/>
  <c r="AD20" i="22"/>
  <c r="G20" i="22"/>
  <c r="C55" i="22" a="1"/>
  <c r="C55" i="22" s="1"/>
  <c r="C85" i="22" s="1"/>
  <c r="B37" i="23" s="1"/>
  <c r="C54" i="22" a="1"/>
  <c r="C54" i="22" s="1"/>
  <c r="C84" i="22" s="1"/>
  <c r="B36" i="23" s="1"/>
  <c r="C53" i="22" a="1"/>
  <c r="C53" i="22" s="1"/>
  <c r="C83" i="22" s="1"/>
  <c r="B35" i="23" s="1"/>
  <c r="C52" i="22" a="1"/>
  <c r="C52" i="22" s="1"/>
  <c r="C82" i="22" s="1"/>
  <c r="B34" i="23" s="1"/>
  <c r="C51" i="22" a="1"/>
  <c r="C51" i="22" s="1"/>
  <c r="C81" i="22" s="1"/>
  <c r="B33" i="23" s="1"/>
  <c r="C50" i="22" a="1"/>
  <c r="C50" i="22" s="1"/>
  <c r="C80" i="22" s="1"/>
  <c r="B32" i="23" s="1"/>
  <c r="C49" i="22"/>
  <c r="C79" i="22" s="1"/>
  <c r="B31" i="23" s="1"/>
  <c r="X415" i="9"/>
  <c r="Y415" i="9"/>
  <c r="Z415" i="9"/>
  <c r="AA415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H219" i="9" l="1"/>
  <c r="G219" i="9"/>
  <c r="F219" i="9"/>
  <c r="E219" i="9"/>
  <c r="D219" i="9"/>
  <c r="D221" i="9" s="1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C2" i="9"/>
  <c r="C41" i="9"/>
  <c r="D41" i="9" s="1"/>
  <c r="E41" i="9" s="1"/>
  <c r="F41" i="9" s="1"/>
  <c r="G41" i="9" s="1"/>
  <c r="H41" i="9" s="1"/>
  <c r="I41" i="9" s="1"/>
  <c r="J41" i="9" s="1"/>
  <c r="K41" i="9" s="1"/>
  <c r="L41" i="9" s="1"/>
  <c r="M41" i="9" s="1"/>
  <c r="N41" i="9" s="1"/>
  <c r="C38" i="9"/>
  <c r="D38" i="9" s="1"/>
  <c r="E38" i="9" s="1"/>
  <c r="F38" i="9" s="1"/>
  <c r="G38" i="9" s="1"/>
  <c r="H38" i="9" s="1"/>
  <c r="I38" i="9" s="1"/>
  <c r="J38" i="9" s="1"/>
  <c r="K38" i="9" s="1"/>
  <c r="L38" i="9" s="1"/>
  <c r="M38" i="9" s="1"/>
  <c r="N38" i="9" s="1"/>
  <c r="A38" i="9"/>
  <c r="C34" i="9"/>
  <c r="D34" i="9" s="1"/>
  <c r="E34" i="9" s="1"/>
  <c r="F34" i="9" s="1"/>
  <c r="G34" i="9" s="1"/>
  <c r="H34" i="9" s="1"/>
  <c r="I34" i="9" s="1"/>
  <c r="J34" i="9" s="1"/>
  <c r="K34" i="9" s="1"/>
  <c r="L34" i="9" s="1"/>
  <c r="M34" i="9" s="1"/>
  <c r="N34" i="9" s="1"/>
  <c r="C31" i="9"/>
  <c r="D31" i="9" s="1"/>
  <c r="E31" i="9" s="1"/>
  <c r="F31" i="9" s="1"/>
  <c r="G31" i="9" s="1"/>
  <c r="H31" i="9" s="1"/>
  <c r="I31" i="9" s="1"/>
  <c r="J31" i="9" s="1"/>
  <c r="K31" i="9" s="1"/>
  <c r="L31" i="9" s="1"/>
  <c r="M31" i="9" s="1"/>
  <c r="N31" i="9" s="1"/>
  <c r="A31" i="9"/>
  <c r="A24" i="9"/>
  <c r="O24" i="4" l="1"/>
  <c r="P24" i="4"/>
  <c r="Q24" i="4"/>
  <c r="R24" i="4"/>
  <c r="S24" i="4"/>
  <c r="T24" i="4"/>
  <c r="U24" i="4"/>
  <c r="V24" i="4"/>
  <c r="W24" i="4"/>
  <c r="X24" i="4"/>
  <c r="O23" i="4"/>
  <c r="P23" i="4"/>
  <c r="Q23" i="4"/>
  <c r="R23" i="4"/>
  <c r="S23" i="4"/>
  <c r="T23" i="4"/>
  <c r="U23" i="4"/>
  <c r="V23" i="4"/>
  <c r="W23" i="4"/>
  <c r="X23" i="4"/>
  <c r="AA40" i="25" l="1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AA33" i="25"/>
  <c r="Z33" i="25"/>
  <c r="Y33" i="25"/>
  <c r="X33" i="25"/>
  <c r="W33" i="25"/>
  <c r="V33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AA26" i="25"/>
  <c r="Z26" i="25"/>
  <c r="Y26" i="25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AA19" i="25"/>
  <c r="Z19" i="25"/>
  <c r="Y19" i="25"/>
  <c r="X19" i="25"/>
  <c r="W19" i="25"/>
  <c r="V19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O18" i="4"/>
  <c r="P18" i="4"/>
  <c r="Q18" i="4"/>
  <c r="R18" i="4"/>
  <c r="S18" i="4"/>
  <c r="T18" i="4"/>
  <c r="U18" i="4"/>
  <c r="V18" i="4"/>
  <c r="W18" i="4"/>
  <c r="X18" i="4"/>
  <c r="E12" i="6"/>
  <c r="G14" i="22" s="1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N220" i="9" l="1"/>
  <c r="O220" i="9"/>
  <c r="P220" i="9"/>
  <c r="Q220" i="9"/>
  <c r="R220" i="9"/>
  <c r="S220" i="9"/>
  <c r="T220" i="9"/>
  <c r="U220" i="9"/>
  <c r="V220" i="9"/>
  <c r="W220" i="9"/>
  <c r="X220" i="9"/>
  <c r="Y220" i="9"/>
  <c r="Z220" i="9"/>
  <c r="AA220" i="9"/>
  <c r="I5" i="28" l="1"/>
  <c r="G5" i="28" s="1"/>
  <c r="C5" i="28"/>
  <c r="D5" i="28" s="1"/>
  <c r="B5" i="28"/>
  <c r="C6" i="9"/>
  <c r="D6" i="9" s="1"/>
  <c r="AA75" i="22"/>
  <c r="AB75" i="22"/>
  <c r="AC75" i="22"/>
  <c r="AD75" i="22"/>
  <c r="Y75" i="22"/>
  <c r="Z75" i="22"/>
  <c r="S75" i="22"/>
  <c r="T75" i="22"/>
  <c r="U75" i="22"/>
  <c r="V75" i="22"/>
  <c r="W75" i="22"/>
  <c r="X75" i="22"/>
  <c r="M75" i="22"/>
  <c r="N75" i="22"/>
  <c r="O75" i="22"/>
  <c r="P75" i="22"/>
  <c r="Q75" i="22"/>
  <c r="R75" i="22"/>
  <c r="D90" i="22"/>
  <c r="H75" i="22"/>
  <c r="I75" i="22"/>
  <c r="J75" i="22"/>
  <c r="K75" i="22"/>
  <c r="L75" i="22"/>
  <c r="F75" i="22"/>
  <c r="C11" i="23" s="1"/>
  <c r="C38" i="36" s="1"/>
  <c r="D2" i="22"/>
  <c r="G75" i="22" l="1"/>
  <c r="D11" i="23" s="1"/>
  <c r="D38" i="36" s="1"/>
  <c r="D61" i="22"/>
  <c r="G12" i="23"/>
  <c r="G31" i="36" s="1"/>
  <c r="G33" i="36" s="1"/>
  <c r="G11" i="23"/>
  <c r="G38" i="36" s="1"/>
  <c r="K12" i="23"/>
  <c r="K31" i="36" s="1"/>
  <c r="K33" i="36" s="1"/>
  <c r="K11" i="23"/>
  <c r="K38" i="36" s="1"/>
  <c r="I12" i="23"/>
  <c r="I31" i="36" s="1"/>
  <c r="I33" i="36" s="1"/>
  <c r="I11" i="23"/>
  <c r="I38" i="36" s="1"/>
  <c r="E12" i="23"/>
  <c r="E31" i="36" s="1"/>
  <c r="E33" i="36" s="1"/>
  <c r="E11" i="23"/>
  <c r="E38" i="36" s="1"/>
  <c r="M12" i="23"/>
  <c r="M31" i="36" s="1"/>
  <c r="M33" i="36" s="1"/>
  <c r="M11" i="23"/>
  <c r="M38" i="36" s="1"/>
  <c r="U12" i="23"/>
  <c r="U31" i="36" s="1"/>
  <c r="U33" i="36" s="1"/>
  <c r="U11" i="23"/>
  <c r="U38" i="36" s="1"/>
  <c r="Q12" i="23"/>
  <c r="Q31" i="36" s="1"/>
  <c r="Q33" i="36" s="1"/>
  <c r="Q11" i="23"/>
  <c r="Q38" i="36" s="1"/>
  <c r="AA12" i="23"/>
  <c r="AA31" i="36" s="1"/>
  <c r="AA33" i="36" s="1"/>
  <c r="AA11" i="23"/>
  <c r="AA38" i="36" s="1"/>
  <c r="Z12" i="23"/>
  <c r="Z31" i="36" s="1"/>
  <c r="Z33" i="36" s="1"/>
  <c r="Z11" i="23"/>
  <c r="Z38" i="36" s="1"/>
  <c r="T12" i="23"/>
  <c r="T31" i="36" s="1"/>
  <c r="T33" i="36" s="1"/>
  <c r="T11" i="23"/>
  <c r="T38" i="36" s="1"/>
  <c r="P12" i="23"/>
  <c r="P31" i="36" s="1"/>
  <c r="P33" i="36" s="1"/>
  <c r="P11" i="23"/>
  <c r="P38" i="36" s="1"/>
  <c r="O12" i="23"/>
  <c r="O31" i="36" s="1"/>
  <c r="O33" i="36" s="1"/>
  <c r="O11" i="23"/>
  <c r="O38" i="36" s="1"/>
  <c r="S12" i="23"/>
  <c r="S31" i="36" s="1"/>
  <c r="S33" i="36" s="1"/>
  <c r="S11" i="23"/>
  <c r="S38" i="36" s="1"/>
  <c r="W12" i="23"/>
  <c r="W31" i="36" s="1"/>
  <c r="W33" i="36" s="1"/>
  <c r="W11" i="23"/>
  <c r="W38" i="36" s="1"/>
  <c r="Y12" i="23"/>
  <c r="Y31" i="36" s="1"/>
  <c r="Y33" i="36" s="1"/>
  <c r="Y11" i="23"/>
  <c r="Y38" i="36" s="1"/>
  <c r="H12" i="23"/>
  <c r="H31" i="36" s="1"/>
  <c r="H33" i="36" s="1"/>
  <c r="H11" i="23"/>
  <c r="H38" i="36" s="1"/>
  <c r="L12" i="23"/>
  <c r="L31" i="36" s="1"/>
  <c r="L33" i="36" s="1"/>
  <c r="L11" i="23"/>
  <c r="L38" i="36" s="1"/>
  <c r="F12" i="23"/>
  <c r="F31" i="36" s="1"/>
  <c r="F33" i="36" s="1"/>
  <c r="F11" i="23"/>
  <c r="F38" i="36" s="1"/>
  <c r="N12" i="23"/>
  <c r="N31" i="36" s="1"/>
  <c r="N33" i="36" s="1"/>
  <c r="N11" i="23"/>
  <c r="N38" i="36" s="1"/>
  <c r="J12" i="23"/>
  <c r="J31" i="36" s="1"/>
  <c r="J33" i="36" s="1"/>
  <c r="J11" i="23"/>
  <c r="J38" i="36" s="1"/>
  <c r="R12" i="23"/>
  <c r="R31" i="36" s="1"/>
  <c r="R33" i="36" s="1"/>
  <c r="R11" i="23"/>
  <c r="R38" i="36" s="1"/>
  <c r="V12" i="23"/>
  <c r="V31" i="36" s="1"/>
  <c r="V33" i="36" s="1"/>
  <c r="V11" i="23"/>
  <c r="V38" i="36" s="1"/>
  <c r="X12" i="23"/>
  <c r="X31" i="36" s="1"/>
  <c r="X33" i="36" s="1"/>
  <c r="X11" i="23"/>
  <c r="X38" i="36" s="1"/>
  <c r="C12" i="23"/>
  <c r="D12" i="23"/>
  <c r="D31" i="36" s="1"/>
  <c r="D33" i="36" s="1"/>
  <c r="Q89" i="22"/>
  <c r="X89" i="22"/>
  <c r="Z89" i="22"/>
  <c r="R89" i="22"/>
  <c r="E5" i="28"/>
  <c r="H5" i="28" s="1"/>
  <c r="E6" i="4" s="1"/>
  <c r="W89" i="22"/>
  <c r="V89" i="22"/>
  <c r="S89" i="22"/>
  <c r="O89" i="22"/>
  <c r="T89" i="22"/>
  <c r="U89" i="22"/>
  <c r="AD89" i="22"/>
  <c r="AB89" i="22"/>
  <c r="M89" i="22"/>
  <c r="AA89" i="22"/>
  <c r="AC89" i="22"/>
  <c r="N89" i="22"/>
  <c r="P89" i="22"/>
  <c r="Y89" i="22"/>
  <c r="C31" i="36" l="1"/>
  <c r="C33" i="36" s="1"/>
  <c r="C35" i="36" s="1"/>
  <c r="D104" i="4"/>
  <c r="D35" i="4"/>
  <c r="D26" i="4"/>
  <c r="D92" i="4"/>
  <c r="D14" i="4"/>
  <c r="E82" i="4"/>
  <c r="D44" i="4"/>
  <c r="E72" i="4"/>
  <c r="E62" i="4"/>
  <c r="E53" i="4"/>
  <c r="D102" i="4"/>
  <c r="D101" i="4"/>
  <c r="D100" i="4"/>
  <c r="E107" i="4"/>
  <c r="E96" i="4"/>
  <c r="F96" i="4" s="1"/>
  <c r="F101" i="4" s="1"/>
  <c r="A409" i="9"/>
  <c r="A508" i="9"/>
  <c r="A605" i="9"/>
  <c r="D605" i="9"/>
  <c r="AA604" i="9"/>
  <c r="Z604" i="9"/>
  <c r="Y604" i="9"/>
  <c r="AA602" i="9"/>
  <c r="Z601" i="9"/>
  <c r="Y600" i="9"/>
  <c r="X599" i="9"/>
  <c r="AA580" i="9"/>
  <c r="Z580" i="9"/>
  <c r="Y580" i="9"/>
  <c r="X580" i="9"/>
  <c r="AA579" i="9"/>
  <c r="Z579" i="9"/>
  <c r="Y579" i="9"/>
  <c r="X579" i="9"/>
  <c r="E576" i="9"/>
  <c r="D576" i="9"/>
  <c r="D575" i="9"/>
  <c r="C575" i="9"/>
  <c r="AA568" i="9"/>
  <c r="AA567" i="9"/>
  <c r="Z567" i="9"/>
  <c r="AA566" i="9"/>
  <c r="Z566" i="9"/>
  <c r="Y566" i="9"/>
  <c r="AA565" i="9"/>
  <c r="Z565" i="9"/>
  <c r="Y565" i="9"/>
  <c r="X565" i="9"/>
  <c r="AA564" i="9"/>
  <c r="Z564" i="9"/>
  <c r="Y564" i="9"/>
  <c r="X564" i="9"/>
  <c r="W564" i="9"/>
  <c r="AA563" i="9"/>
  <c r="Z563" i="9"/>
  <c r="Y563" i="9"/>
  <c r="X563" i="9"/>
  <c r="W563" i="9"/>
  <c r="V563" i="9"/>
  <c r="AA562" i="9"/>
  <c r="Z562" i="9"/>
  <c r="Y562" i="9"/>
  <c r="X562" i="9"/>
  <c r="W562" i="9"/>
  <c r="V562" i="9"/>
  <c r="U562" i="9"/>
  <c r="AA561" i="9"/>
  <c r="Z561" i="9"/>
  <c r="Y561" i="9"/>
  <c r="X561" i="9"/>
  <c r="W561" i="9"/>
  <c r="V561" i="9"/>
  <c r="U561" i="9"/>
  <c r="T561" i="9"/>
  <c r="AA560" i="9"/>
  <c r="Z560" i="9"/>
  <c r="Y560" i="9"/>
  <c r="X560" i="9"/>
  <c r="W560" i="9"/>
  <c r="V560" i="9"/>
  <c r="U560" i="9"/>
  <c r="T560" i="9"/>
  <c r="S560" i="9"/>
  <c r="AA559" i="9"/>
  <c r="Z559" i="9"/>
  <c r="Y559" i="9"/>
  <c r="X559" i="9"/>
  <c r="W559" i="9"/>
  <c r="V559" i="9"/>
  <c r="U559" i="9"/>
  <c r="T559" i="9"/>
  <c r="S559" i="9"/>
  <c r="R559" i="9"/>
  <c r="AA558" i="9"/>
  <c r="Z558" i="9"/>
  <c r="Y558" i="9"/>
  <c r="X558" i="9"/>
  <c r="W558" i="9"/>
  <c r="V558" i="9"/>
  <c r="U558" i="9"/>
  <c r="T558" i="9"/>
  <c r="S558" i="9"/>
  <c r="R558" i="9"/>
  <c r="Q558" i="9"/>
  <c r="AA557" i="9"/>
  <c r="Z557" i="9"/>
  <c r="Y557" i="9"/>
  <c r="X557" i="9"/>
  <c r="W557" i="9"/>
  <c r="V557" i="9"/>
  <c r="U557" i="9"/>
  <c r="T557" i="9"/>
  <c r="S557" i="9"/>
  <c r="R557" i="9"/>
  <c r="Q557" i="9"/>
  <c r="P557" i="9"/>
  <c r="AA556" i="9"/>
  <c r="Z556" i="9"/>
  <c r="Y556" i="9"/>
  <c r="X556" i="9"/>
  <c r="W556" i="9"/>
  <c r="V556" i="9"/>
  <c r="U556" i="9"/>
  <c r="T556" i="9"/>
  <c r="S556" i="9"/>
  <c r="R556" i="9"/>
  <c r="Q556" i="9"/>
  <c r="P556" i="9"/>
  <c r="O556" i="9"/>
  <c r="AA555" i="9"/>
  <c r="Z555" i="9"/>
  <c r="Y555" i="9"/>
  <c r="X555" i="9"/>
  <c r="W555" i="9"/>
  <c r="V555" i="9"/>
  <c r="U555" i="9"/>
  <c r="T555" i="9"/>
  <c r="S555" i="9"/>
  <c r="R555" i="9"/>
  <c r="Q555" i="9"/>
  <c r="P555" i="9"/>
  <c r="O555" i="9"/>
  <c r="N555" i="9"/>
  <c r="AA554" i="9"/>
  <c r="Z554" i="9"/>
  <c r="Y554" i="9"/>
  <c r="X554" i="9"/>
  <c r="W554" i="9"/>
  <c r="V554" i="9"/>
  <c r="U554" i="9"/>
  <c r="T554" i="9"/>
  <c r="S554" i="9"/>
  <c r="R554" i="9"/>
  <c r="Q554" i="9"/>
  <c r="P554" i="9"/>
  <c r="O554" i="9"/>
  <c r="N554" i="9"/>
  <c r="M554" i="9"/>
  <c r="AA553" i="9"/>
  <c r="Z553" i="9"/>
  <c r="Y553" i="9"/>
  <c r="X553" i="9"/>
  <c r="W553" i="9"/>
  <c r="V553" i="9"/>
  <c r="U553" i="9"/>
  <c r="T553" i="9"/>
  <c r="S553" i="9"/>
  <c r="R553" i="9"/>
  <c r="Q553" i="9"/>
  <c r="P553" i="9"/>
  <c r="O553" i="9"/>
  <c r="N553" i="9"/>
  <c r="M553" i="9"/>
  <c r="L553" i="9"/>
  <c r="AA552" i="9"/>
  <c r="Z552" i="9"/>
  <c r="Y552" i="9"/>
  <c r="X552" i="9"/>
  <c r="W552" i="9"/>
  <c r="V552" i="9"/>
  <c r="U552" i="9"/>
  <c r="T552" i="9"/>
  <c r="S552" i="9"/>
  <c r="R552" i="9"/>
  <c r="Q552" i="9"/>
  <c r="P552" i="9"/>
  <c r="O552" i="9"/>
  <c r="N552" i="9"/>
  <c r="M552" i="9"/>
  <c r="L552" i="9"/>
  <c r="K552" i="9"/>
  <c r="AA551" i="9"/>
  <c r="Z551" i="9"/>
  <c r="Y551" i="9"/>
  <c r="X551" i="9"/>
  <c r="W551" i="9"/>
  <c r="V551" i="9"/>
  <c r="U551" i="9"/>
  <c r="T551" i="9"/>
  <c r="S551" i="9"/>
  <c r="R551" i="9"/>
  <c r="Q551" i="9"/>
  <c r="P551" i="9"/>
  <c r="O551" i="9"/>
  <c r="N551" i="9"/>
  <c r="M551" i="9"/>
  <c r="L551" i="9"/>
  <c r="K551" i="9"/>
  <c r="J551" i="9"/>
  <c r="AA550" i="9"/>
  <c r="Z550" i="9"/>
  <c r="Y550" i="9"/>
  <c r="X550" i="9"/>
  <c r="W550" i="9"/>
  <c r="V550" i="9"/>
  <c r="U550" i="9"/>
  <c r="T550" i="9"/>
  <c r="S550" i="9"/>
  <c r="R550" i="9"/>
  <c r="Q550" i="9"/>
  <c r="P550" i="9"/>
  <c r="O550" i="9"/>
  <c r="N550" i="9"/>
  <c r="M550" i="9"/>
  <c r="L550" i="9"/>
  <c r="K550" i="9"/>
  <c r="J550" i="9"/>
  <c r="I550" i="9"/>
  <c r="AA549" i="9"/>
  <c r="Z549" i="9"/>
  <c r="Y549" i="9"/>
  <c r="X549" i="9"/>
  <c r="W549" i="9"/>
  <c r="V549" i="9"/>
  <c r="U549" i="9"/>
  <c r="T549" i="9"/>
  <c r="S549" i="9"/>
  <c r="R549" i="9"/>
  <c r="Q549" i="9"/>
  <c r="P549" i="9"/>
  <c r="O549" i="9"/>
  <c r="N549" i="9"/>
  <c r="M549" i="9"/>
  <c r="L549" i="9"/>
  <c r="K549" i="9"/>
  <c r="J549" i="9"/>
  <c r="I549" i="9"/>
  <c r="H549" i="9"/>
  <c r="AA548" i="9"/>
  <c r="Z548" i="9"/>
  <c r="Y548" i="9"/>
  <c r="X548" i="9"/>
  <c r="W548" i="9"/>
  <c r="V548" i="9"/>
  <c r="U548" i="9"/>
  <c r="T548" i="9"/>
  <c r="S548" i="9"/>
  <c r="R548" i="9"/>
  <c r="Q548" i="9"/>
  <c r="P548" i="9"/>
  <c r="O548" i="9"/>
  <c r="N548" i="9"/>
  <c r="M548" i="9"/>
  <c r="L548" i="9"/>
  <c r="K548" i="9"/>
  <c r="J548" i="9"/>
  <c r="I548" i="9"/>
  <c r="H548" i="9"/>
  <c r="G548" i="9"/>
  <c r="AA547" i="9"/>
  <c r="Z547" i="9"/>
  <c r="Y547" i="9"/>
  <c r="X547" i="9"/>
  <c r="W547" i="9"/>
  <c r="V547" i="9"/>
  <c r="U547" i="9"/>
  <c r="T547" i="9"/>
  <c r="S547" i="9"/>
  <c r="R547" i="9"/>
  <c r="Q547" i="9"/>
  <c r="P547" i="9"/>
  <c r="O547" i="9"/>
  <c r="N547" i="9"/>
  <c r="M547" i="9"/>
  <c r="L547" i="9"/>
  <c r="K547" i="9"/>
  <c r="J547" i="9"/>
  <c r="I547" i="9"/>
  <c r="H547" i="9"/>
  <c r="G547" i="9"/>
  <c r="F547" i="9"/>
  <c r="AA546" i="9"/>
  <c r="Z546" i="9"/>
  <c r="Y546" i="9"/>
  <c r="X546" i="9"/>
  <c r="W546" i="9"/>
  <c r="V546" i="9"/>
  <c r="U546" i="9"/>
  <c r="T546" i="9"/>
  <c r="S546" i="9"/>
  <c r="R546" i="9"/>
  <c r="Q546" i="9"/>
  <c r="P546" i="9"/>
  <c r="O546" i="9"/>
  <c r="N546" i="9"/>
  <c r="M546" i="9"/>
  <c r="L546" i="9"/>
  <c r="K546" i="9"/>
  <c r="J546" i="9"/>
  <c r="I546" i="9"/>
  <c r="H546" i="9"/>
  <c r="G546" i="9"/>
  <c r="F546" i="9"/>
  <c r="E546" i="9"/>
  <c r="AA545" i="9"/>
  <c r="Z545" i="9"/>
  <c r="Y545" i="9"/>
  <c r="X545" i="9"/>
  <c r="W545" i="9"/>
  <c r="V545" i="9"/>
  <c r="U545" i="9"/>
  <c r="T545" i="9"/>
  <c r="S545" i="9"/>
  <c r="R545" i="9"/>
  <c r="Q545" i="9"/>
  <c r="P545" i="9"/>
  <c r="O545" i="9"/>
  <c r="N545" i="9"/>
  <c r="M545" i="9"/>
  <c r="L545" i="9"/>
  <c r="K545" i="9"/>
  <c r="J545" i="9"/>
  <c r="I545" i="9"/>
  <c r="H545" i="9"/>
  <c r="G545" i="9"/>
  <c r="F545" i="9"/>
  <c r="E545" i="9"/>
  <c r="D545" i="9"/>
  <c r="D569" i="9" s="1"/>
  <c r="A544" i="9"/>
  <c r="B543" i="9"/>
  <c r="C537" i="9"/>
  <c r="C536" i="9"/>
  <c r="C535" i="9"/>
  <c r="C534" i="9"/>
  <c r="C533" i="9"/>
  <c r="C532" i="9"/>
  <c r="C531" i="9"/>
  <c r="C530" i="9"/>
  <c r="C529" i="9"/>
  <c r="C528" i="9"/>
  <c r="C527" i="9"/>
  <c r="C526" i="9"/>
  <c r="C525" i="9"/>
  <c r="S525" i="9" s="1"/>
  <c r="C524" i="9"/>
  <c r="C523" i="9"/>
  <c r="V523" i="9" s="1"/>
  <c r="A523" i="9"/>
  <c r="A554" i="9" s="1"/>
  <c r="C522" i="9"/>
  <c r="A522" i="9"/>
  <c r="A553" i="9" s="1"/>
  <c r="C521" i="9"/>
  <c r="AA521" i="9" s="1"/>
  <c r="A521" i="9"/>
  <c r="A552" i="9" s="1"/>
  <c r="C520" i="9"/>
  <c r="W520" i="9" s="1"/>
  <c r="A520" i="9"/>
  <c r="A551" i="9" s="1"/>
  <c r="C519" i="9"/>
  <c r="AA519" i="9" s="1"/>
  <c r="A519" i="9"/>
  <c r="A550" i="9" s="1"/>
  <c r="C518" i="9"/>
  <c r="U518" i="9" s="1"/>
  <c r="A518" i="9"/>
  <c r="A549" i="9" s="1"/>
  <c r="AA517" i="9"/>
  <c r="C517" i="9"/>
  <c r="Y517" i="9" s="1"/>
  <c r="A517" i="9"/>
  <c r="A548" i="9" s="1"/>
  <c r="AA516" i="9"/>
  <c r="Z516" i="9"/>
  <c r="C516" i="9"/>
  <c r="W516" i="9" s="1"/>
  <c r="A516" i="9"/>
  <c r="A547" i="9" s="1"/>
  <c r="AA515" i="9"/>
  <c r="Z515" i="9"/>
  <c r="Y515" i="9"/>
  <c r="C515" i="9"/>
  <c r="L515" i="9" s="1"/>
  <c r="A515" i="9"/>
  <c r="A546" i="9" s="1"/>
  <c r="AA514" i="9"/>
  <c r="Z514" i="9"/>
  <c r="Y514" i="9"/>
  <c r="X514" i="9"/>
  <c r="C514" i="9"/>
  <c r="S514" i="9" s="1"/>
  <c r="A514" i="9"/>
  <c r="A545" i="9" s="1"/>
  <c r="A510" i="9"/>
  <c r="C61" i="9"/>
  <c r="D61" i="9" s="1"/>
  <c r="E61" i="9" s="1"/>
  <c r="F61" i="9" s="1"/>
  <c r="G61" i="9" s="1"/>
  <c r="H61" i="9" s="1"/>
  <c r="I61" i="9" s="1"/>
  <c r="J61" i="9" s="1"/>
  <c r="K61" i="9" s="1"/>
  <c r="L61" i="9" s="1"/>
  <c r="M61" i="9" s="1"/>
  <c r="N61" i="9" s="1"/>
  <c r="O61" i="9" s="1"/>
  <c r="P61" i="9" s="1"/>
  <c r="Q61" i="9" s="1"/>
  <c r="R61" i="9" s="1"/>
  <c r="S61" i="9" s="1"/>
  <c r="T61" i="9" s="1"/>
  <c r="U61" i="9" s="1"/>
  <c r="V61" i="9" s="1"/>
  <c r="W61" i="9" s="1"/>
  <c r="X61" i="9" s="1"/>
  <c r="Y61" i="9" s="1"/>
  <c r="Z61" i="9" s="1"/>
  <c r="AA61" i="9" s="1"/>
  <c r="C58" i="9"/>
  <c r="D58" i="9" s="1"/>
  <c r="E58" i="9" s="1"/>
  <c r="A58" i="9"/>
  <c r="D508" i="9"/>
  <c r="AA507" i="9"/>
  <c r="Z507" i="9"/>
  <c r="Y507" i="9"/>
  <c r="AA505" i="9"/>
  <c r="Z504" i="9"/>
  <c r="Y503" i="9"/>
  <c r="X502" i="9"/>
  <c r="AA483" i="9"/>
  <c r="Z483" i="9"/>
  <c r="Y483" i="9"/>
  <c r="X483" i="9"/>
  <c r="AA482" i="9"/>
  <c r="Z482" i="9"/>
  <c r="Y482" i="9"/>
  <c r="X482" i="9"/>
  <c r="D479" i="9"/>
  <c r="D478" i="9"/>
  <c r="E479" i="9" s="1"/>
  <c r="C478" i="9"/>
  <c r="AA469" i="9"/>
  <c r="AA468" i="9"/>
  <c r="Z468" i="9"/>
  <c r="AA467" i="9"/>
  <c r="Z467" i="9"/>
  <c r="Y467" i="9"/>
  <c r="AA466" i="9"/>
  <c r="Z466" i="9"/>
  <c r="Y466" i="9"/>
  <c r="X466" i="9"/>
  <c r="AA465" i="9"/>
  <c r="Z465" i="9"/>
  <c r="Y465" i="9"/>
  <c r="X465" i="9"/>
  <c r="W465" i="9"/>
  <c r="AA464" i="9"/>
  <c r="Z464" i="9"/>
  <c r="Y464" i="9"/>
  <c r="X464" i="9"/>
  <c r="W464" i="9"/>
  <c r="V464" i="9"/>
  <c r="AA463" i="9"/>
  <c r="Z463" i="9"/>
  <c r="Y463" i="9"/>
  <c r="X463" i="9"/>
  <c r="W463" i="9"/>
  <c r="V463" i="9"/>
  <c r="U463" i="9"/>
  <c r="AA462" i="9"/>
  <c r="Z462" i="9"/>
  <c r="Y462" i="9"/>
  <c r="X462" i="9"/>
  <c r="W462" i="9"/>
  <c r="V462" i="9"/>
  <c r="U462" i="9"/>
  <c r="T462" i="9"/>
  <c r="AA461" i="9"/>
  <c r="Z461" i="9"/>
  <c r="Y461" i="9"/>
  <c r="X461" i="9"/>
  <c r="W461" i="9"/>
  <c r="V461" i="9"/>
  <c r="U461" i="9"/>
  <c r="T461" i="9"/>
  <c r="S461" i="9"/>
  <c r="AA460" i="9"/>
  <c r="Z460" i="9"/>
  <c r="Y460" i="9"/>
  <c r="X460" i="9"/>
  <c r="W460" i="9"/>
  <c r="V460" i="9"/>
  <c r="U460" i="9"/>
  <c r="T460" i="9"/>
  <c r="S460" i="9"/>
  <c r="R460" i="9"/>
  <c r="AA459" i="9"/>
  <c r="Z459" i="9"/>
  <c r="Y459" i="9"/>
  <c r="X459" i="9"/>
  <c r="W459" i="9"/>
  <c r="V459" i="9"/>
  <c r="U459" i="9"/>
  <c r="T459" i="9"/>
  <c r="S459" i="9"/>
  <c r="R459" i="9"/>
  <c r="Q459" i="9"/>
  <c r="AA458" i="9"/>
  <c r="Z458" i="9"/>
  <c r="Y458" i="9"/>
  <c r="X458" i="9"/>
  <c r="W458" i="9"/>
  <c r="V458" i="9"/>
  <c r="U458" i="9"/>
  <c r="T458" i="9"/>
  <c r="S458" i="9"/>
  <c r="R458" i="9"/>
  <c r="Q458" i="9"/>
  <c r="P458" i="9"/>
  <c r="AA457" i="9"/>
  <c r="Z457" i="9"/>
  <c r="Y457" i="9"/>
  <c r="X457" i="9"/>
  <c r="W457" i="9"/>
  <c r="V457" i="9"/>
  <c r="U457" i="9"/>
  <c r="T457" i="9"/>
  <c r="S457" i="9"/>
  <c r="R457" i="9"/>
  <c r="Q457" i="9"/>
  <c r="P457" i="9"/>
  <c r="O457" i="9"/>
  <c r="AA456" i="9"/>
  <c r="Z456" i="9"/>
  <c r="Y456" i="9"/>
  <c r="X456" i="9"/>
  <c r="W456" i="9"/>
  <c r="V456" i="9"/>
  <c r="U456" i="9"/>
  <c r="T456" i="9"/>
  <c r="S456" i="9"/>
  <c r="R456" i="9"/>
  <c r="Q456" i="9"/>
  <c r="P456" i="9"/>
  <c r="O456" i="9"/>
  <c r="N456" i="9"/>
  <c r="AA455" i="9"/>
  <c r="Z455" i="9"/>
  <c r="Y455" i="9"/>
  <c r="X455" i="9"/>
  <c r="W455" i="9"/>
  <c r="V455" i="9"/>
  <c r="U455" i="9"/>
  <c r="T455" i="9"/>
  <c r="S455" i="9"/>
  <c r="R455" i="9"/>
  <c r="Q455" i="9"/>
  <c r="P455" i="9"/>
  <c r="O455" i="9"/>
  <c r="N455" i="9"/>
  <c r="M455" i="9"/>
  <c r="AA454" i="9"/>
  <c r="Z454" i="9"/>
  <c r="Y454" i="9"/>
  <c r="X454" i="9"/>
  <c r="W454" i="9"/>
  <c r="V454" i="9"/>
  <c r="U454" i="9"/>
  <c r="T454" i="9"/>
  <c r="S454" i="9"/>
  <c r="R454" i="9"/>
  <c r="Q454" i="9"/>
  <c r="P454" i="9"/>
  <c r="O454" i="9"/>
  <c r="N454" i="9"/>
  <c r="M454" i="9"/>
  <c r="L454" i="9"/>
  <c r="AA453" i="9"/>
  <c r="Z453" i="9"/>
  <c r="Y453" i="9"/>
  <c r="X453" i="9"/>
  <c r="W453" i="9"/>
  <c r="V453" i="9"/>
  <c r="U453" i="9"/>
  <c r="T453" i="9"/>
  <c r="S453" i="9"/>
  <c r="R453" i="9"/>
  <c r="Q453" i="9"/>
  <c r="P453" i="9"/>
  <c r="O453" i="9"/>
  <c r="N453" i="9"/>
  <c r="M453" i="9"/>
  <c r="L453" i="9"/>
  <c r="K453" i="9"/>
  <c r="AA452" i="9"/>
  <c r="Z452" i="9"/>
  <c r="Y452" i="9"/>
  <c r="X452" i="9"/>
  <c r="W452" i="9"/>
  <c r="V452" i="9"/>
  <c r="U452" i="9"/>
  <c r="T452" i="9"/>
  <c r="S452" i="9"/>
  <c r="R452" i="9"/>
  <c r="Q452" i="9"/>
  <c r="P452" i="9"/>
  <c r="O452" i="9"/>
  <c r="N452" i="9"/>
  <c r="M452" i="9"/>
  <c r="L452" i="9"/>
  <c r="K452" i="9"/>
  <c r="J452" i="9"/>
  <c r="AA451" i="9"/>
  <c r="Z451" i="9"/>
  <c r="Y451" i="9"/>
  <c r="X451" i="9"/>
  <c r="W451" i="9"/>
  <c r="V451" i="9"/>
  <c r="U451" i="9"/>
  <c r="T451" i="9"/>
  <c r="S451" i="9"/>
  <c r="R451" i="9"/>
  <c r="Q451" i="9"/>
  <c r="P451" i="9"/>
  <c r="O451" i="9"/>
  <c r="N451" i="9"/>
  <c r="M451" i="9"/>
  <c r="L451" i="9"/>
  <c r="K451" i="9"/>
  <c r="J451" i="9"/>
  <c r="I451" i="9"/>
  <c r="AA450" i="9"/>
  <c r="Z450" i="9"/>
  <c r="Y450" i="9"/>
  <c r="X450" i="9"/>
  <c r="W450" i="9"/>
  <c r="V450" i="9"/>
  <c r="U450" i="9"/>
  <c r="T450" i="9"/>
  <c r="S450" i="9"/>
  <c r="R450" i="9"/>
  <c r="Q450" i="9"/>
  <c r="P450" i="9"/>
  <c r="O450" i="9"/>
  <c r="N450" i="9"/>
  <c r="M450" i="9"/>
  <c r="L450" i="9"/>
  <c r="K450" i="9"/>
  <c r="J450" i="9"/>
  <c r="I450" i="9"/>
  <c r="H450" i="9"/>
  <c r="AA449" i="9"/>
  <c r="Z449" i="9"/>
  <c r="Y449" i="9"/>
  <c r="X449" i="9"/>
  <c r="W449" i="9"/>
  <c r="V449" i="9"/>
  <c r="U449" i="9"/>
  <c r="T449" i="9"/>
  <c r="S449" i="9"/>
  <c r="R449" i="9"/>
  <c r="Q449" i="9"/>
  <c r="P449" i="9"/>
  <c r="O449" i="9"/>
  <c r="N449" i="9"/>
  <c r="M449" i="9"/>
  <c r="L449" i="9"/>
  <c r="K449" i="9"/>
  <c r="J449" i="9"/>
  <c r="I449" i="9"/>
  <c r="H449" i="9"/>
  <c r="G449" i="9"/>
  <c r="AA448" i="9"/>
  <c r="Z448" i="9"/>
  <c r="Y448" i="9"/>
  <c r="X448" i="9"/>
  <c r="W448" i="9"/>
  <c r="V448" i="9"/>
  <c r="U448" i="9"/>
  <c r="T448" i="9"/>
  <c r="S448" i="9"/>
  <c r="R448" i="9"/>
  <c r="Q448" i="9"/>
  <c r="P448" i="9"/>
  <c r="O448" i="9"/>
  <c r="N448" i="9"/>
  <c r="M448" i="9"/>
  <c r="L448" i="9"/>
  <c r="K448" i="9"/>
  <c r="J448" i="9"/>
  <c r="I448" i="9"/>
  <c r="H448" i="9"/>
  <c r="G448" i="9"/>
  <c r="F448" i="9"/>
  <c r="AA447" i="9"/>
  <c r="Z447" i="9"/>
  <c r="Y447" i="9"/>
  <c r="X447" i="9"/>
  <c r="W447" i="9"/>
  <c r="V447" i="9"/>
  <c r="U447" i="9"/>
  <c r="T447" i="9"/>
  <c r="S447" i="9"/>
  <c r="R447" i="9"/>
  <c r="Q447" i="9"/>
  <c r="P447" i="9"/>
  <c r="O447" i="9"/>
  <c r="N447" i="9"/>
  <c r="M447" i="9"/>
  <c r="L447" i="9"/>
  <c r="K447" i="9"/>
  <c r="J447" i="9"/>
  <c r="I447" i="9"/>
  <c r="H447" i="9"/>
  <c r="G447" i="9"/>
  <c r="F447" i="9"/>
  <c r="E447" i="9"/>
  <c r="AA446" i="9"/>
  <c r="Z446" i="9"/>
  <c r="Y446" i="9"/>
  <c r="X446" i="9"/>
  <c r="W446" i="9"/>
  <c r="V446" i="9"/>
  <c r="U446" i="9"/>
  <c r="T446" i="9"/>
  <c r="S446" i="9"/>
  <c r="R446" i="9"/>
  <c r="Q446" i="9"/>
  <c r="P446" i="9"/>
  <c r="O446" i="9"/>
  <c r="N446" i="9"/>
  <c r="M446" i="9"/>
  <c r="L446" i="9"/>
  <c r="K446" i="9"/>
  <c r="J446" i="9"/>
  <c r="I446" i="9"/>
  <c r="H446" i="9"/>
  <c r="G446" i="9"/>
  <c r="F446" i="9"/>
  <c r="E446" i="9"/>
  <c r="D446" i="9"/>
  <c r="D470" i="9" s="1"/>
  <c r="A445" i="9"/>
  <c r="B444" i="9"/>
  <c r="C438" i="9"/>
  <c r="C437" i="9"/>
  <c r="C436" i="9"/>
  <c r="C435" i="9"/>
  <c r="C434" i="9"/>
  <c r="C433" i="9"/>
  <c r="C432" i="9"/>
  <c r="C431" i="9"/>
  <c r="C430" i="9"/>
  <c r="C429" i="9"/>
  <c r="C428" i="9"/>
  <c r="W428" i="9" s="1"/>
  <c r="C427" i="9"/>
  <c r="C426" i="9"/>
  <c r="C425" i="9"/>
  <c r="C424" i="9"/>
  <c r="A424" i="9"/>
  <c r="A455" i="9" s="1"/>
  <c r="C423" i="9"/>
  <c r="X423" i="9" s="1"/>
  <c r="A423" i="9"/>
  <c r="A454" i="9" s="1"/>
  <c r="C422" i="9"/>
  <c r="Z422" i="9" s="1"/>
  <c r="A422" i="9"/>
  <c r="A453" i="9" s="1"/>
  <c r="C421" i="9"/>
  <c r="M421" i="9" s="1"/>
  <c r="A421" i="9"/>
  <c r="A452" i="9" s="1"/>
  <c r="C420" i="9"/>
  <c r="Y420" i="9" s="1"/>
  <c r="A420" i="9"/>
  <c r="A451" i="9" s="1"/>
  <c r="C419" i="9"/>
  <c r="N419" i="9" s="1"/>
  <c r="A419" i="9"/>
  <c r="A450" i="9" s="1"/>
  <c r="AA418" i="9"/>
  <c r="C418" i="9"/>
  <c r="Y418" i="9" s="1"/>
  <c r="A418" i="9"/>
  <c r="A449" i="9" s="1"/>
  <c r="AA417" i="9"/>
  <c r="Z417" i="9"/>
  <c r="C417" i="9"/>
  <c r="O417" i="9" s="1"/>
  <c r="A417" i="9"/>
  <c r="A448" i="9" s="1"/>
  <c r="AA416" i="9"/>
  <c r="Z416" i="9"/>
  <c r="Y416" i="9"/>
  <c r="C416" i="9"/>
  <c r="U416" i="9" s="1"/>
  <c r="A416" i="9"/>
  <c r="A447" i="9" s="1"/>
  <c r="C415" i="9"/>
  <c r="A415" i="9"/>
  <c r="A446" i="9" s="1"/>
  <c r="A411" i="9"/>
  <c r="C55" i="9"/>
  <c r="D55" i="9" s="1"/>
  <c r="E55" i="9" s="1"/>
  <c r="F55" i="9" s="1"/>
  <c r="G55" i="9" s="1"/>
  <c r="H55" i="9" s="1"/>
  <c r="I55" i="9" s="1"/>
  <c r="J55" i="9" s="1"/>
  <c r="K55" i="9" s="1"/>
  <c r="L55" i="9" s="1"/>
  <c r="M55" i="9" s="1"/>
  <c r="N55" i="9" s="1"/>
  <c r="O55" i="9" s="1"/>
  <c r="P55" i="9" s="1"/>
  <c r="Q55" i="9" s="1"/>
  <c r="R55" i="9" s="1"/>
  <c r="S55" i="9" s="1"/>
  <c r="T55" i="9" s="1"/>
  <c r="U55" i="9" s="1"/>
  <c r="V55" i="9" s="1"/>
  <c r="W55" i="9" s="1"/>
  <c r="X55" i="9" s="1"/>
  <c r="Y55" i="9" s="1"/>
  <c r="Z55" i="9" s="1"/>
  <c r="AA55" i="9" s="1"/>
  <c r="C52" i="9"/>
  <c r="D52" i="9" s="1"/>
  <c r="E52" i="9" s="1"/>
  <c r="A52" i="9"/>
  <c r="X384" i="9"/>
  <c r="Y384" i="9"/>
  <c r="Z384" i="9"/>
  <c r="AA384" i="9"/>
  <c r="X383" i="9"/>
  <c r="Y383" i="9"/>
  <c r="Z383" i="9"/>
  <c r="AA383" i="9"/>
  <c r="D379" i="9"/>
  <c r="E380" i="9" s="1"/>
  <c r="C379" i="9"/>
  <c r="D380" i="9" s="1"/>
  <c r="D409" i="9"/>
  <c r="AA408" i="9"/>
  <c r="Z408" i="9"/>
  <c r="Y408" i="9"/>
  <c r="AA406" i="9"/>
  <c r="Z405" i="9"/>
  <c r="Y404" i="9"/>
  <c r="X403" i="9"/>
  <c r="AB372" i="9"/>
  <c r="AC372" i="9"/>
  <c r="AD372" i="9"/>
  <c r="AE372" i="9"/>
  <c r="AF372" i="9"/>
  <c r="AG372" i="9"/>
  <c r="AH372" i="9"/>
  <c r="AI372" i="9"/>
  <c r="AJ372" i="9"/>
  <c r="AK372" i="9"/>
  <c r="AL372" i="9"/>
  <c r="AM372" i="9"/>
  <c r="AN372" i="9"/>
  <c r="AO372" i="9"/>
  <c r="AP372" i="9"/>
  <c r="AQ372" i="9"/>
  <c r="AR372" i="9"/>
  <c r="AS372" i="9"/>
  <c r="AT372" i="9"/>
  <c r="AU372" i="9"/>
  <c r="AV372" i="9"/>
  <c r="AW372" i="9"/>
  <c r="AX372" i="9"/>
  <c r="AX373" i="9" s="1"/>
  <c r="AX374" i="9" s="1"/>
  <c r="AX375" i="9" s="1"/>
  <c r="AA372" i="9"/>
  <c r="AA371" i="9"/>
  <c r="AB371" i="9"/>
  <c r="AC371" i="9"/>
  <c r="AD371" i="9"/>
  <c r="AE371" i="9"/>
  <c r="AF371" i="9"/>
  <c r="AG371" i="9"/>
  <c r="AH371" i="9"/>
  <c r="AI371" i="9"/>
  <c r="AJ371" i="9"/>
  <c r="AK371" i="9"/>
  <c r="AL371" i="9"/>
  <c r="AM371" i="9"/>
  <c r="AN371" i="9"/>
  <c r="AO371" i="9"/>
  <c r="AP371" i="9"/>
  <c r="AQ371" i="9"/>
  <c r="AR371" i="9"/>
  <c r="AS371" i="9"/>
  <c r="AT371" i="9"/>
  <c r="AU371" i="9"/>
  <c r="AV371" i="9"/>
  <c r="AW371" i="9"/>
  <c r="Z371" i="9"/>
  <c r="Z370" i="9"/>
  <c r="AA370" i="9"/>
  <c r="AB370" i="9"/>
  <c r="AC370" i="9"/>
  <c r="AD370" i="9"/>
  <c r="AE370" i="9"/>
  <c r="AF370" i="9"/>
  <c r="AG370" i="9"/>
  <c r="AH370" i="9"/>
  <c r="AI370" i="9"/>
  <c r="AJ370" i="9"/>
  <c r="AK370" i="9"/>
  <c r="AL370" i="9"/>
  <c r="AM370" i="9"/>
  <c r="AN370" i="9"/>
  <c r="AO370" i="9"/>
  <c r="AP370" i="9"/>
  <c r="AQ370" i="9"/>
  <c r="AR370" i="9"/>
  <c r="AS370" i="9"/>
  <c r="AT370" i="9"/>
  <c r="AU370" i="9"/>
  <c r="AV370" i="9"/>
  <c r="Y370" i="9"/>
  <c r="Y369" i="9"/>
  <c r="Z369" i="9"/>
  <c r="AA369" i="9"/>
  <c r="AB369" i="9"/>
  <c r="AC369" i="9"/>
  <c r="AD369" i="9"/>
  <c r="AE369" i="9"/>
  <c r="AF369" i="9"/>
  <c r="AG369" i="9"/>
  <c r="AH369" i="9"/>
  <c r="AI369" i="9"/>
  <c r="AJ369" i="9"/>
  <c r="AK369" i="9"/>
  <c r="AL369" i="9"/>
  <c r="AM369" i="9"/>
  <c r="AN369" i="9"/>
  <c r="AO369" i="9"/>
  <c r="AP369" i="9"/>
  <c r="AQ369" i="9"/>
  <c r="AR369" i="9"/>
  <c r="AS369" i="9"/>
  <c r="AT369" i="9"/>
  <c r="AU369" i="9"/>
  <c r="X369" i="9"/>
  <c r="X368" i="9"/>
  <c r="Y368" i="9"/>
  <c r="Z368" i="9"/>
  <c r="AA368" i="9"/>
  <c r="AB368" i="9"/>
  <c r="AC368" i="9"/>
  <c r="AD368" i="9"/>
  <c r="AE368" i="9"/>
  <c r="AF368" i="9"/>
  <c r="AG368" i="9"/>
  <c r="AH368" i="9"/>
  <c r="AI368" i="9"/>
  <c r="AJ368" i="9"/>
  <c r="AK368" i="9"/>
  <c r="AL368" i="9"/>
  <c r="AM368" i="9"/>
  <c r="AN368" i="9"/>
  <c r="AO368" i="9"/>
  <c r="AP368" i="9"/>
  <c r="AQ368" i="9"/>
  <c r="AR368" i="9"/>
  <c r="AS368" i="9"/>
  <c r="AT368" i="9"/>
  <c r="W368" i="9"/>
  <c r="W367" i="9"/>
  <c r="X367" i="9"/>
  <c r="Y367" i="9"/>
  <c r="Z367" i="9"/>
  <c r="AA367" i="9"/>
  <c r="AB367" i="9"/>
  <c r="AC367" i="9"/>
  <c r="AD367" i="9"/>
  <c r="AE367" i="9"/>
  <c r="AF367" i="9"/>
  <c r="AG367" i="9"/>
  <c r="AH367" i="9"/>
  <c r="AI367" i="9"/>
  <c r="AJ367" i="9"/>
  <c r="AK367" i="9"/>
  <c r="AL367" i="9"/>
  <c r="AM367" i="9"/>
  <c r="AN367" i="9"/>
  <c r="AO367" i="9"/>
  <c r="AP367" i="9"/>
  <c r="AQ367" i="9"/>
  <c r="AR367" i="9"/>
  <c r="AS367" i="9"/>
  <c r="V367" i="9"/>
  <c r="V366" i="9"/>
  <c r="W366" i="9"/>
  <c r="X366" i="9"/>
  <c r="Y366" i="9"/>
  <c r="Z366" i="9"/>
  <c r="AA366" i="9"/>
  <c r="AB366" i="9"/>
  <c r="AC366" i="9"/>
  <c r="AD366" i="9"/>
  <c r="AE366" i="9"/>
  <c r="AF366" i="9"/>
  <c r="AG366" i="9"/>
  <c r="AH366" i="9"/>
  <c r="AI366" i="9"/>
  <c r="AJ366" i="9"/>
  <c r="AK366" i="9"/>
  <c r="AL366" i="9"/>
  <c r="AM366" i="9"/>
  <c r="AN366" i="9"/>
  <c r="AO366" i="9"/>
  <c r="AP366" i="9"/>
  <c r="AQ366" i="9"/>
  <c r="AR366" i="9"/>
  <c r="U366" i="9"/>
  <c r="U365" i="9"/>
  <c r="V365" i="9"/>
  <c r="W365" i="9"/>
  <c r="X365" i="9"/>
  <c r="Y365" i="9"/>
  <c r="Z365" i="9"/>
  <c r="AA365" i="9"/>
  <c r="AB365" i="9"/>
  <c r="AC365" i="9"/>
  <c r="AD365" i="9"/>
  <c r="AE365" i="9"/>
  <c r="AF365" i="9"/>
  <c r="AG365" i="9"/>
  <c r="AH365" i="9"/>
  <c r="AI365" i="9"/>
  <c r="AJ365" i="9"/>
  <c r="AK365" i="9"/>
  <c r="AL365" i="9"/>
  <c r="AM365" i="9"/>
  <c r="AN365" i="9"/>
  <c r="AO365" i="9"/>
  <c r="AP365" i="9"/>
  <c r="AQ365" i="9"/>
  <c r="T365" i="9"/>
  <c r="T364" i="9"/>
  <c r="U364" i="9"/>
  <c r="V364" i="9"/>
  <c r="W364" i="9"/>
  <c r="X364" i="9"/>
  <c r="Y364" i="9"/>
  <c r="Z364" i="9"/>
  <c r="AA364" i="9"/>
  <c r="AB364" i="9"/>
  <c r="AC364" i="9"/>
  <c r="AD364" i="9"/>
  <c r="AE364" i="9"/>
  <c r="AF364" i="9"/>
  <c r="AG364" i="9"/>
  <c r="AH364" i="9"/>
  <c r="AI364" i="9"/>
  <c r="AJ364" i="9"/>
  <c r="AK364" i="9"/>
  <c r="AL364" i="9"/>
  <c r="AM364" i="9"/>
  <c r="AN364" i="9"/>
  <c r="AO364" i="9"/>
  <c r="AP364" i="9"/>
  <c r="S364" i="9"/>
  <c r="S363" i="9"/>
  <c r="T363" i="9"/>
  <c r="U363" i="9"/>
  <c r="V363" i="9"/>
  <c r="W363" i="9"/>
  <c r="X363" i="9"/>
  <c r="Y363" i="9"/>
  <c r="Z363" i="9"/>
  <c r="AA363" i="9"/>
  <c r="AB363" i="9"/>
  <c r="AC363" i="9"/>
  <c r="AD363" i="9"/>
  <c r="AE363" i="9"/>
  <c r="AF363" i="9"/>
  <c r="AG363" i="9"/>
  <c r="AH363" i="9"/>
  <c r="AI363" i="9"/>
  <c r="AJ363" i="9"/>
  <c r="AK363" i="9"/>
  <c r="AL363" i="9"/>
  <c r="AM363" i="9"/>
  <c r="AN363" i="9"/>
  <c r="AO363" i="9"/>
  <c r="R363" i="9"/>
  <c r="R362" i="9"/>
  <c r="S362" i="9"/>
  <c r="T362" i="9"/>
  <c r="U362" i="9"/>
  <c r="V362" i="9"/>
  <c r="W362" i="9"/>
  <c r="X362" i="9"/>
  <c r="Y362" i="9"/>
  <c r="Z362" i="9"/>
  <c r="AA362" i="9"/>
  <c r="AB362" i="9"/>
  <c r="AC362" i="9"/>
  <c r="AD362" i="9"/>
  <c r="AE362" i="9"/>
  <c r="AF362" i="9"/>
  <c r="AG362" i="9"/>
  <c r="AH362" i="9"/>
  <c r="AI362" i="9"/>
  <c r="AJ362" i="9"/>
  <c r="AK362" i="9"/>
  <c r="AL362" i="9"/>
  <c r="AM362" i="9"/>
  <c r="AN362" i="9"/>
  <c r="Q362" i="9"/>
  <c r="Q361" i="9"/>
  <c r="R361" i="9"/>
  <c r="S361" i="9"/>
  <c r="T361" i="9"/>
  <c r="U361" i="9"/>
  <c r="V361" i="9"/>
  <c r="W361" i="9"/>
  <c r="X361" i="9"/>
  <c r="Y361" i="9"/>
  <c r="Z361" i="9"/>
  <c r="AA361" i="9"/>
  <c r="AB361" i="9"/>
  <c r="AC361" i="9"/>
  <c r="AD361" i="9"/>
  <c r="AE361" i="9"/>
  <c r="AF361" i="9"/>
  <c r="AG361" i="9"/>
  <c r="AH361" i="9"/>
  <c r="AI361" i="9"/>
  <c r="AJ361" i="9"/>
  <c r="AK361" i="9"/>
  <c r="AL361" i="9"/>
  <c r="AM361" i="9"/>
  <c r="P361" i="9"/>
  <c r="P360" i="9"/>
  <c r="Q360" i="9"/>
  <c r="R360" i="9"/>
  <c r="S360" i="9"/>
  <c r="T360" i="9"/>
  <c r="U360" i="9"/>
  <c r="V360" i="9"/>
  <c r="W360" i="9"/>
  <c r="X360" i="9"/>
  <c r="Y360" i="9"/>
  <c r="Z360" i="9"/>
  <c r="AA360" i="9"/>
  <c r="AB360" i="9"/>
  <c r="AC360" i="9"/>
  <c r="AD360" i="9"/>
  <c r="AE360" i="9"/>
  <c r="AF360" i="9"/>
  <c r="AG360" i="9"/>
  <c r="AH360" i="9"/>
  <c r="AI360" i="9"/>
  <c r="AJ360" i="9"/>
  <c r="AK360" i="9"/>
  <c r="AL360" i="9"/>
  <c r="O360" i="9"/>
  <c r="O359" i="9"/>
  <c r="P359" i="9"/>
  <c r="Q359" i="9"/>
  <c r="R359" i="9"/>
  <c r="S359" i="9"/>
  <c r="T359" i="9"/>
  <c r="U359" i="9"/>
  <c r="V359" i="9"/>
  <c r="W359" i="9"/>
  <c r="X359" i="9"/>
  <c r="Y359" i="9"/>
  <c r="Z359" i="9"/>
  <c r="AA359" i="9"/>
  <c r="AB359" i="9"/>
  <c r="AC359" i="9"/>
  <c r="AD359" i="9"/>
  <c r="AE359" i="9"/>
  <c r="AF359" i="9"/>
  <c r="AG359" i="9"/>
  <c r="AH359" i="9"/>
  <c r="AI359" i="9"/>
  <c r="AJ359" i="9"/>
  <c r="AK359" i="9"/>
  <c r="N359" i="9"/>
  <c r="N358" i="9"/>
  <c r="O358" i="9"/>
  <c r="P358" i="9"/>
  <c r="Q358" i="9"/>
  <c r="R358" i="9"/>
  <c r="S358" i="9"/>
  <c r="T358" i="9"/>
  <c r="U358" i="9"/>
  <c r="V358" i="9"/>
  <c r="W358" i="9"/>
  <c r="X358" i="9"/>
  <c r="Y358" i="9"/>
  <c r="Z358" i="9"/>
  <c r="AA358" i="9"/>
  <c r="AB358" i="9"/>
  <c r="AC358" i="9"/>
  <c r="AD358" i="9"/>
  <c r="AE358" i="9"/>
  <c r="AF358" i="9"/>
  <c r="AG358" i="9"/>
  <c r="AH358" i="9"/>
  <c r="AI358" i="9"/>
  <c r="AJ358" i="9"/>
  <c r="M358" i="9"/>
  <c r="M357" i="9"/>
  <c r="N357" i="9"/>
  <c r="O357" i="9"/>
  <c r="P357" i="9"/>
  <c r="Q357" i="9"/>
  <c r="R357" i="9"/>
  <c r="S357" i="9"/>
  <c r="T357" i="9"/>
  <c r="U357" i="9"/>
  <c r="V357" i="9"/>
  <c r="W357" i="9"/>
  <c r="X357" i="9"/>
  <c r="Y357" i="9"/>
  <c r="Z357" i="9"/>
  <c r="AA357" i="9"/>
  <c r="AB357" i="9"/>
  <c r="AC357" i="9"/>
  <c r="AD357" i="9"/>
  <c r="AE357" i="9"/>
  <c r="AF357" i="9"/>
  <c r="AG357" i="9"/>
  <c r="AH357" i="9"/>
  <c r="AI357" i="9"/>
  <c r="L357" i="9"/>
  <c r="L356" i="9"/>
  <c r="M356" i="9"/>
  <c r="N356" i="9"/>
  <c r="O356" i="9"/>
  <c r="P356" i="9"/>
  <c r="Q356" i="9"/>
  <c r="R356" i="9"/>
  <c r="S356" i="9"/>
  <c r="T356" i="9"/>
  <c r="U356" i="9"/>
  <c r="V356" i="9"/>
  <c r="W356" i="9"/>
  <c r="X356" i="9"/>
  <c r="Y356" i="9"/>
  <c r="Z356" i="9"/>
  <c r="AA356" i="9"/>
  <c r="AB356" i="9"/>
  <c r="AC356" i="9"/>
  <c r="AD356" i="9"/>
  <c r="AE356" i="9"/>
  <c r="AF356" i="9"/>
  <c r="AG356" i="9"/>
  <c r="AH356" i="9"/>
  <c r="K356" i="9"/>
  <c r="K355" i="9"/>
  <c r="L355" i="9"/>
  <c r="M355" i="9"/>
  <c r="N355" i="9"/>
  <c r="O355" i="9"/>
  <c r="P355" i="9"/>
  <c r="Q355" i="9"/>
  <c r="R355" i="9"/>
  <c r="S355" i="9"/>
  <c r="T355" i="9"/>
  <c r="U355" i="9"/>
  <c r="V355" i="9"/>
  <c r="W355" i="9"/>
  <c r="X355" i="9"/>
  <c r="Y355" i="9"/>
  <c r="Z355" i="9"/>
  <c r="AA355" i="9"/>
  <c r="AB355" i="9"/>
  <c r="AC355" i="9"/>
  <c r="AD355" i="9"/>
  <c r="AE355" i="9"/>
  <c r="AF355" i="9"/>
  <c r="AG355" i="9"/>
  <c r="J355" i="9"/>
  <c r="J354" i="9"/>
  <c r="K354" i="9"/>
  <c r="L354" i="9"/>
  <c r="M354" i="9"/>
  <c r="N354" i="9"/>
  <c r="O354" i="9"/>
  <c r="P354" i="9"/>
  <c r="Q354" i="9"/>
  <c r="R354" i="9"/>
  <c r="S354" i="9"/>
  <c r="T354" i="9"/>
  <c r="U354" i="9"/>
  <c r="V354" i="9"/>
  <c r="W354" i="9"/>
  <c r="X354" i="9"/>
  <c r="Y354" i="9"/>
  <c r="Z354" i="9"/>
  <c r="AA354" i="9"/>
  <c r="AB354" i="9"/>
  <c r="AC354" i="9"/>
  <c r="AD354" i="9"/>
  <c r="AE354" i="9"/>
  <c r="AF354" i="9"/>
  <c r="I354" i="9"/>
  <c r="I353" i="9"/>
  <c r="J353" i="9"/>
  <c r="K353" i="9"/>
  <c r="L353" i="9"/>
  <c r="M353" i="9"/>
  <c r="N353" i="9"/>
  <c r="O353" i="9"/>
  <c r="P353" i="9"/>
  <c r="Q353" i="9"/>
  <c r="R353" i="9"/>
  <c r="S353" i="9"/>
  <c r="T353" i="9"/>
  <c r="U353" i="9"/>
  <c r="V353" i="9"/>
  <c r="W353" i="9"/>
  <c r="X353" i="9"/>
  <c r="Y353" i="9"/>
  <c r="Z353" i="9"/>
  <c r="AA353" i="9"/>
  <c r="AB353" i="9"/>
  <c r="AC353" i="9"/>
  <c r="AD353" i="9"/>
  <c r="AE353" i="9"/>
  <c r="H353" i="9"/>
  <c r="AD352" i="9"/>
  <c r="H351" i="9"/>
  <c r="I351" i="9"/>
  <c r="J351" i="9"/>
  <c r="K351" i="9"/>
  <c r="L351" i="9"/>
  <c r="M351" i="9"/>
  <c r="N351" i="9"/>
  <c r="O351" i="9"/>
  <c r="P351" i="9"/>
  <c r="Q351" i="9"/>
  <c r="R351" i="9"/>
  <c r="S351" i="9"/>
  <c r="T351" i="9"/>
  <c r="U351" i="9"/>
  <c r="V351" i="9"/>
  <c r="W351" i="9"/>
  <c r="X351" i="9"/>
  <c r="Y351" i="9"/>
  <c r="Z351" i="9"/>
  <c r="AA351" i="9"/>
  <c r="AB351" i="9"/>
  <c r="AC351" i="9"/>
  <c r="H352" i="9"/>
  <c r="I352" i="9"/>
  <c r="J352" i="9"/>
  <c r="K352" i="9"/>
  <c r="L352" i="9"/>
  <c r="M352" i="9"/>
  <c r="N352" i="9"/>
  <c r="O352" i="9"/>
  <c r="P352" i="9"/>
  <c r="Q352" i="9"/>
  <c r="R352" i="9"/>
  <c r="S352" i="9"/>
  <c r="T352" i="9"/>
  <c r="U352" i="9"/>
  <c r="V352" i="9"/>
  <c r="W352" i="9"/>
  <c r="X352" i="9"/>
  <c r="Y352" i="9"/>
  <c r="Z352" i="9"/>
  <c r="AA352" i="9"/>
  <c r="AB352" i="9"/>
  <c r="AC352" i="9"/>
  <c r="G351" i="9"/>
  <c r="G352" i="9"/>
  <c r="F351" i="9"/>
  <c r="F350" i="9"/>
  <c r="G350" i="9"/>
  <c r="H350" i="9"/>
  <c r="I350" i="9"/>
  <c r="J350" i="9"/>
  <c r="K350" i="9"/>
  <c r="L350" i="9"/>
  <c r="M350" i="9"/>
  <c r="N350" i="9"/>
  <c r="O350" i="9"/>
  <c r="P350" i="9"/>
  <c r="Q350" i="9"/>
  <c r="R350" i="9"/>
  <c r="S350" i="9"/>
  <c r="T350" i="9"/>
  <c r="U350" i="9"/>
  <c r="V350" i="9"/>
  <c r="W350" i="9"/>
  <c r="X350" i="9"/>
  <c r="Y350" i="9"/>
  <c r="Z350" i="9"/>
  <c r="AA350" i="9"/>
  <c r="AB350" i="9"/>
  <c r="E350" i="9"/>
  <c r="E349" i="9"/>
  <c r="F349" i="9"/>
  <c r="G349" i="9"/>
  <c r="H349" i="9"/>
  <c r="I349" i="9"/>
  <c r="J349" i="9"/>
  <c r="K349" i="9"/>
  <c r="L349" i="9"/>
  <c r="M349" i="9"/>
  <c r="N349" i="9"/>
  <c r="O349" i="9"/>
  <c r="P349" i="9"/>
  <c r="Q349" i="9"/>
  <c r="R349" i="9"/>
  <c r="S349" i="9"/>
  <c r="T349" i="9"/>
  <c r="U349" i="9"/>
  <c r="V349" i="9"/>
  <c r="W349" i="9"/>
  <c r="X349" i="9"/>
  <c r="Y349" i="9"/>
  <c r="Z349" i="9"/>
  <c r="AA349" i="9"/>
  <c r="D349" i="9"/>
  <c r="D373" i="9" s="1"/>
  <c r="A348" i="9"/>
  <c r="A284" i="9"/>
  <c r="AU341" i="9"/>
  <c r="AV341" i="9"/>
  <c r="AW341" i="9"/>
  <c r="AX341" i="9"/>
  <c r="AX343" i="9" s="1"/>
  <c r="AX344" i="9" s="1"/>
  <c r="AX345" i="9" s="1"/>
  <c r="AT340" i="9"/>
  <c r="AU340" i="9"/>
  <c r="AV340" i="9"/>
  <c r="AW340" i="9"/>
  <c r="AS339" i="9"/>
  <c r="AT339" i="9"/>
  <c r="AU339" i="9"/>
  <c r="AV339" i="9"/>
  <c r="AR338" i="9"/>
  <c r="AS338" i="9"/>
  <c r="AT338" i="9"/>
  <c r="AU338" i="9"/>
  <c r="AQ337" i="9"/>
  <c r="AR337" i="9"/>
  <c r="AS337" i="9"/>
  <c r="AT337" i="9"/>
  <c r="AP336" i="9"/>
  <c r="AQ336" i="9"/>
  <c r="AR336" i="9"/>
  <c r="AS336" i="9"/>
  <c r="AO335" i="9"/>
  <c r="AP335" i="9"/>
  <c r="AQ335" i="9"/>
  <c r="AR335" i="9"/>
  <c r="AN334" i="9"/>
  <c r="AO334" i="9"/>
  <c r="AP334" i="9"/>
  <c r="AQ334" i="9"/>
  <c r="AM333" i="9"/>
  <c r="AN333" i="9"/>
  <c r="AO333" i="9"/>
  <c r="AP333" i="9"/>
  <c r="AL332" i="9"/>
  <c r="AM332" i="9"/>
  <c r="AN332" i="9"/>
  <c r="AO332" i="9"/>
  <c r="AK331" i="9"/>
  <c r="AL331" i="9"/>
  <c r="AM331" i="9"/>
  <c r="AN331" i="9"/>
  <c r="AJ330" i="9"/>
  <c r="AK330" i="9"/>
  <c r="AL330" i="9"/>
  <c r="AM330" i="9"/>
  <c r="AI329" i="9"/>
  <c r="AJ329" i="9"/>
  <c r="AK329" i="9"/>
  <c r="AL329" i="9"/>
  <c r="AH328" i="9"/>
  <c r="AI328" i="9"/>
  <c r="AJ328" i="9"/>
  <c r="AK328" i="9"/>
  <c r="AG327" i="9"/>
  <c r="AH327" i="9"/>
  <c r="AI327" i="9"/>
  <c r="AJ327" i="9"/>
  <c r="AF326" i="9"/>
  <c r="AG326" i="9"/>
  <c r="AH326" i="9"/>
  <c r="AI326" i="9"/>
  <c r="AE325" i="9"/>
  <c r="AF325" i="9"/>
  <c r="AG325" i="9"/>
  <c r="AH325" i="9"/>
  <c r="AD324" i="9"/>
  <c r="AE324" i="9"/>
  <c r="AF324" i="9"/>
  <c r="AG324" i="9"/>
  <c r="AC323" i="9"/>
  <c r="AD323" i="9"/>
  <c r="AE323" i="9"/>
  <c r="AF323" i="9"/>
  <c r="AB322" i="9"/>
  <c r="AC322" i="9"/>
  <c r="AD322" i="9"/>
  <c r="AE322" i="9"/>
  <c r="AA321" i="9"/>
  <c r="AB321" i="9"/>
  <c r="AC321" i="9"/>
  <c r="AD321" i="9"/>
  <c r="Z320" i="9"/>
  <c r="AA320" i="9"/>
  <c r="AB320" i="9"/>
  <c r="AC320" i="9"/>
  <c r="Y319" i="9"/>
  <c r="Z319" i="9"/>
  <c r="AA319" i="9"/>
  <c r="AB319" i="9"/>
  <c r="X318" i="9"/>
  <c r="Y318" i="9"/>
  <c r="Z318" i="9"/>
  <c r="AA318" i="9"/>
  <c r="C46" i="9"/>
  <c r="C341" i="9"/>
  <c r="AF341" i="9" s="1"/>
  <c r="C340" i="9"/>
  <c r="AA340" i="9" s="1"/>
  <c r="C339" i="9"/>
  <c r="C338" i="9"/>
  <c r="Y338" i="9" s="1"/>
  <c r="C337" i="9"/>
  <c r="C336" i="9"/>
  <c r="AC336" i="9" s="1"/>
  <c r="C335" i="9"/>
  <c r="AA335" i="9" s="1"/>
  <c r="C334" i="9"/>
  <c r="C333" i="9"/>
  <c r="X333" i="9" s="1"/>
  <c r="C332" i="9"/>
  <c r="X332" i="9" s="1"/>
  <c r="C331" i="9"/>
  <c r="X331" i="9" s="1"/>
  <c r="C330" i="9"/>
  <c r="S330" i="9" s="1"/>
  <c r="C329" i="9"/>
  <c r="C328" i="9"/>
  <c r="T328" i="9" s="1"/>
  <c r="C327" i="9"/>
  <c r="V327" i="9" s="1"/>
  <c r="A327" i="9"/>
  <c r="A358" i="9" s="1"/>
  <c r="C326" i="9"/>
  <c r="Z326" i="9" s="1"/>
  <c r="A326" i="9"/>
  <c r="A357" i="9" s="1"/>
  <c r="C325" i="9"/>
  <c r="R325" i="9" s="1"/>
  <c r="A325" i="9"/>
  <c r="A356" i="9" s="1"/>
  <c r="C324" i="9"/>
  <c r="W324" i="9" s="1"/>
  <c r="A324" i="9"/>
  <c r="A355" i="9" s="1"/>
  <c r="C323" i="9"/>
  <c r="N323" i="9" s="1"/>
  <c r="A323" i="9"/>
  <c r="A354" i="9" s="1"/>
  <c r="C322" i="9"/>
  <c r="S322" i="9" s="1"/>
  <c r="A322" i="9"/>
  <c r="A353" i="9" s="1"/>
  <c r="C321" i="9"/>
  <c r="I321" i="9" s="1"/>
  <c r="A321" i="9"/>
  <c r="A352" i="9" s="1"/>
  <c r="C320" i="9"/>
  <c r="M320" i="9" s="1"/>
  <c r="A320" i="9"/>
  <c r="A351" i="9" s="1"/>
  <c r="C319" i="9"/>
  <c r="O319" i="9" s="1"/>
  <c r="A319" i="9"/>
  <c r="A350" i="9" s="1"/>
  <c r="C318" i="9"/>
  <c r="A318" i="9"/>
  <c r="A349" i="9" s="1"/>
  <c r="E415" i="9" l="1"/>
  <c r="I415" i="9"/>
  <c r="M415" i="9"/>
  <c r="Q415" i="9"/>
  <c r="U415" i="9"/>
  <c r="F415" i="9"/>
  <c r="J415" i="9"/>
  <c r="N415" i="9"/>
  <c r="R415" i="9"/>
  <c r="V415" i="9"/>
  <c r="H415" i="9"/>
  <c r="L415" i="9"/>
  <c r="P415" i="9"/>
  <c r="D415" i="9"/>
  <c r="G415" i="9"/>
  <c r="K415" i="9"/>
  <c r="O415" i="9"/>
  <c r="S415" i="9"/>
  <c r="W415" i="9"/>
  <c r="T415" i="9"/>
  <c r="R421" i="9"/>
  <c r="W433" i="9"/>
  <c r="P515" i="9"/>
  <c r="Q416" i="9"/>
  <c r="Z420" i="9"/>
  <c r="T514" i="9"/>
  <c r="T528" i="9"/>
  <c r="H416" i="9"/>
  <c r="X433" i="9"/>
  <c r="W528" i="9"/>
  <c r="I24" i="4"/>
  <c r="M24" i="4"/>
  <c r="E24" i="4"/>
  <c r="I23" i="4"/>
  <c r="M23" i="4"/>
  <c r="E23" i="4"/>
  <c r="L24" i="4"/>
  <c r="L23" i="4"/>
  <c r="F24" i="4"/>
  <c r="J24" i="4"/>
  <c r="N24" i="4"/>
  <c r="F23" i="4"/>
  <c r="J23" i="4"/>
  <c r="N23" i="4"/>
  <c r="G24" i="4"/>
  <c r="K24" i="4"/>
  <c r="G23" i="4"/>
  <c r="K23" i="4"/>
  <c r="H24" i="4"/>
  <c r="H23" i="4"/>
  <c r="X416" i="9"/>
  <c r="P424" i="9"/>
  <c r="O425" i="9"/>
  <c r="W426" i="9"/>
  <c r="X429" i="9"/>
  <c r="K518" i="9"/>
  <c r="L420" i="9"/>
  <c r="R424" i="9"/>
  <c r="V425" i="9"/>
  <c r="Y429" i="9"/>
  <c r="J514" i="9"/>
  <c r="P518" i="9"/>
  <c r="AW373" i="9"/>
  <c r="AW374" i="9" s="1"/>
  <c r="AW375" i="9" s="1"/>
  <c r="Z424" i="9"/>
  <c r="Z425" i="9"/>
  <c r="J569" i="9"/>
  <c r="Z569" i="9"/>
  <c r="E101" i="4"/>
  <c r="F97" i="4"/>
  <c r="I416" i="9"/>
  <c r="S416" i="9"/>
  <c r="N420" i="9"/>
  <c r="Y423" i="9"/>
  <c r="W431" i="9"/>
  <c r="X434" i="9"/>
  <c r="F470" i="9"/>
  <c r="G470" i="9"/>
  <c r="G471" i="9" s="1"/>
  <c r="G472" i="9" s="1"/>
  <c r="M521" i="9"/>
  <c r="R526" i="9"/>
  <c r="V529" i="9"/>
  <c r="F416" i="9"/>
  <c r="J416" i="9"/>
  <c r="V416" i="9"/>
  <c r="J420" i="9"/>
  <c r="R420" i="9"/>
  <c r="Y431" i="9"/>
  <c r="Z433" i="9"/>
  <c r="Y434" i="9"/>
  <c r="T518" i="9"/>
  <c r="U521" i="9"/>
  <c r="M522" i="9"/>
  <c r="S526" i="9"/>
  <c r="V532" i="9"/>
  <c r="AA534" i="9"/>
  <c r="G416" i="9"/>
  <c r="N416" i="9"/>
  <c r="W416" i="9"/>
  <c r="AA419" i="9"/>
  <c r="K420" i="9"/>
  <c r="W420" i="9"/>
  <c r="Z431" i="9"/>
  <c r="V433" i="9"/>
  <c r="AA434" i="9"/>
  <c r="I518" i="9"/>
  <c r="AA522" i="9"/>
  <c r="V526" i="9"/>
  <c r="R528" i="9"/>
  <c r="E97" i="4"/>
  <c r="X425" i="9"/>
  <c r="W430" i="9"/>
  <c r="W470" i="9"/>
  <c r="AF339" i="9"/>
  <c r="AN339" i="9"/>
  <c r="K416" i="9"/>
  <c r="M420" i="9"/>
  <c r="AA420" i="9"/>
  <c r="N421" i="9"/>
  <c r="Y424" i="9"/>
  <c r="N425" i="9"/>
  <c r="Y425" i="9"/>
  <c r="Z426" i="9"/>
  <c r="Y430" i="9"/>
  <c r="Y433" i="9"/>
  <c r="L518" i="9"/>
  <c r="P519" i="9"/>
  <c r="X521" i="9"/>
  <c r="T526" i="9"/>
  <c r="S528" i="9"/>
  <c r="V531" i="9"/>
  <c r="X532" i="9"/>
  <c r="D570" i="9"/>
  <c r="D571" i="9" s="1"/>
  <c r="M569" i="9"/>
  <c r="Z430" i="9"/>
  <c r="R519" i="9"/>
  <c r="Y521" i="9"/>
  <c r="AA532" i="9"/>
  <c r="AA426" i="9"/>
  <c r="J318" i="9"/>
  <c r="D318" i="9"/>
  <c r="D343" i="9" s="1"/>
  <c r="P416" i="9"/>
  <c r="O420" i="9"/>
  <c r="Y421" i="9"/>
  <c r="S422" i="9"/>
  <c r="L423" i="9"/>
  <c r="P425" i="9"/>
  <c r="AA425" i="9"/>
  <c r="O426" i="9"/>
  <c r="AA433" i="9"/>
  <c r="Z436" i="9"/>
  <c r="Z437" i="9"/>
  <c r="J470" i="9"/>
  <c r="S518" i="9"/>
  <c r="V519" i="9"/>
  <c r="L521" i="9"/>
  <c r="L522" i="9"/>
  <c r="AA526" i="9"/>
  <c r="V528" i="9"/>
  <c r="T529" i="9"/>
  <c r="F569" i="9"/>
  <c r="W569" i="9"/>
  <c r="AA421" i="9"/>
  <c r="T422" i="9"/>
  <c r="Q423" i="9"/>
  <c r="Q425" i="9"/>
  <c r="P426" i="9"/>
  <c r="AA437" i="9"/>
  <c r="X519" i="9"/>
  <c r="Z570" i="9"/>
  <c r="Z571" i="9" s="1"/>
  <c r="N418" i="9"/>
  <c r="O419" i="9"/>
  <c r="T420" i="9"/>
  <c r="R423" i="9"/>
  <c r="R425" i="9"/>
  <c r="R426" i="9"/>
  <c r="Z432" i="9"/>
  <c r="D471" i="9"/>
  <c r="D472" i="9" s="1"/>
  <c r="L517" i="9"/>
  <c r="W518" i="9"/>
  <c r="K519" i="9"/>
  <c r="Z519" i="9"/>
  <c r="P521" i="9"/>
  <c r="O522" i="9"/>
  <c r="X528" i="9"/>
  <c r="AA533" i="9"/>
  <c r="O418" i="9"/>
  <c r="X419" i="9"/>
  <c r="U420" i="9"/>
  <c r="S423" i="9"/>
  <c r="O424" i="9"/>
  <c r="S425" i="9"/>
  <c r="S426" i="9"/>
  <c r="R429" i="9"/>
  <c r="AA432" i="9"/>
  <c r="N516" i="9"/>
  <c r="V517" i="9"/>
  <c r="H518" i="9"/>
  <c r="AA518" i="9"/>
  <c r="L519" i="9"/>
  <c r="Q521" i="9"/>
  <c r="P522" i="9"/>
  <c r="Z528" i="9"/>
  <c r="D374" i="9"/>
  <c r="D375" i="9" s="1"/>
  <c r="O470" i="9"/>
  <c r="Z517" i="9"/>
  <c r="N519" i="9"/>
  <c r="T521" i="9"/>
  <c r="X522" i="9"/>
  <c r="X426" i="9"/>
  <c r="O519" i="9"/>
  <c r="E99" i="4"/>
  <c r="F107" i="4"/>
  <c r="G96" i="4"/>
  <c r="G101" i="4" s="1"/>
  <c r="E383" i="9"/>
  <c r="E580" i="9"/>
  <c r="E579" i="9"/>
  <c r="E482" i="9"/>
  <c r="E384" i="9"/>
  <c r="E483" i="9"/>
  <c r="O416" i="9"/>
  <c r="M418" i="9"/>
  <c r="P419" i="9"/>
  <c r="S420" i="9"/>
  <c r="Q421" i="9"/>
  <c r="N424" i="9"/>
  <c r="X424" i="9"/>
  <c r="Y426" i="9"/>
  <c r="W429" i="9"/>
  <c r="X431" i="9"/>
  <c r="Y432" i="9"/>
  <c r="W434" i="9"/>
  <c r="I514" i="9"/>
  <c r="R514" i="9"/>
  <c r="O515" i="9"/>
  <c r="M516" i="9"/>
  <c r="Y516" i="9"/>
  <c r="P517" i="9"/>
  <c r="W519" i="9"/>
  <c r="V521" i="9"/>
  <c r="U522" i="9"/>
  <c r="V524" i="9"/>
  <c r="Z526" i="9"/>
  <c r="AA527" i="9"/>
  <c r="S529" i="9"/>
  <c r="AA531" i="9"/>
  <c r="W532" i="9"/>
  <c r="E569" i="9"/>
  <c r="W524" i="9"/>
  <c r="R470" i="9"/>
  <c r="L514" i="9"/>
  <c r="U514" i="9"/>
  <c r="R515" i="9"/>
  <c r="Q516" i="9"/>
  <c r="N524" i="9"/>
  <c r="X524" i="9"/>
  <c r="R527" i="9"/>
  <c r="AA535" i="9"/>
  <c r="G569" i="9"/>
  <c r="X435" i="9"/>
  <c r="E373" i="9"/>
  <c r="R416" i="9"/>
  <c r="T418" i="9"/>
  <c r="V420" i="9"/>
  <c r="Z421" i="9"/>
  <c r="Q424" i="9"/>
  <c r="AA424" i="9"/>
  <c r="W425" i="9"/>
  <c r="Q426" i="9"/>
  <c r="Z429" i="9"/>
  <c r="Z434" i="9"/>
  <c r="Z435" i="9"/>
  <c r="Z470" i="9"/>
  <c r="D514" i="9"/>
  <c r="D539" i="9" s="1"/>
  <c r="D540" i="9" s="1"/>
  <c r="D541" i="9" s="1"/>
  <c r="M514" i="9"/>
  <c r="V514" i="9"/>
  <c r="E515" i="9"/>
  <c r="S515" i="9"/>
  <c r="F516" i="9"/>
  <c r="R516" i="9"/>
  <c r="N521" i="9"/>
  <c r="S523" i="9"/>
  <c r="O524" i="9"/>
  <c r="Z524" i="9"/>
  <c r="S527" i="9"/>
  <c r="AA528" i="9"/>
  <c r="AA529" i="9"/>
  <c r="Z535" i="9"/>
  <c r="H569" i="9"/>
  <c r="D579" i="9"/>
  <c r="D603" i="9" s="1"/>
  <c r="D604" i="9" s="1"/>
  <c r="U418" i="9"/>
  <c r="AA435" i="9"/>
  <c r="D482" i="9"/>
  <c r="D506" i="9" s="1"/>
  <c r="D507" i="9" s="1"/>
  <c r="E514" i="9"/>
  <c r="N514" i="9"/>
  <c r="W514" i="9"/>
  <c r="F515" i="9"/>
  <c r="W515" i="9"/>
  <c r="G516" i="9"/>
  <c r="S516" i="9"/>
  <c r="W523" i="9"/>
  <c r="P524" i="9"/>
  <c r="AA524" i="9"/>
  <c r="T527" i="9"/>
  <c r="AA373" i="9"/>
  <c r="K373" i="9"/>
  <c r="AC373" i="9"/>
  <c r="AC374" i="9" s="1"/>
  <c r="AC375" i="9" s="1"/>
  <c r="AE373" i="9"/>
  <c r="AE374" i="9" s="1"/>
  <c r="AE375" i="9" s="1"/>
  <c r="AF373" i="9"/>
  <c r="AF374" i="9" s="1"/>
  <c r="AF375" i="9" s="1"/>
  <c r="AG373" i="9"/>
  <c r="AG374" i="9" s="1"/>
  <c r="AG375" i="9" s="1"/>
  <c r="AH373" i="9"/>
  <c r="AH374" i="9" s="1"/>
  <c r="AH375" i="9" s="1"/>
  <c r="AI373" i="9"/>
  <c r="AI374" i="9" s="1"/>
  <c r="AI375" i="9" s="1"/>
  <c r="AJ373" i="9"/>
  <c r="AJ374" i="9" s="1"/>
  <c r="AJ375" i="9" s="1"/>
  <c r="AK373" i="9"/>
  <c r="AK374" i="9" s="1"/>
  <c r="AK375" i="9" s="1"/>
  <c r="AL373" i="9"/>
  <c r="AL374" i="9" s="1"/>
  <c r="AL375" i="9" s="1"/>
  <c r="AM373" i="9"/>
  <c r="AM374" i="9" s="1"/>
  <c r="AM375" i="9" s="1"/>
  <c r="AN373" i="9"/>
  <c r="AN374" i="9" s="1"/>
  <c r="AN375" i="9" s="1"/>
  <c r="AO373" i="9"/>
  <c r="AO374" i="9" s="1"/>
  <c r="AO375" i="9" s="1"/>
  <c r="AP373" i="9"/>
  <c r="AP374" i="9" s="1"/>
  <c r="AP375" i="9" s="1"/>
  <c r="AQ373" i="9"/>
  <c r="AQ374" i="9" s="1"/>
  <c r="AQ375" i="9" s="1"/>
  <c r="AR373" i="9"/>
  <c r="AR374" i="9" s="1"/>
  <c r="AR375" i="9" s="1"/>
  <c r="AS373" i="9"/>
  <c r="AS374" i="9" s="1"/>
  <c r="AS375" i="9" s="1"/>
  <c r="AT373" i="9"/>
  <c r="AT374" i="9" s="1"/>
  <c r="AT375" i="9" s="1"/>
  <c r="AU373" i="9"/>
  <c r="AU374" i="9" s="1"/>
  <c r="AU375" i="9" s="1"/>
  <c r="AV373" i="9"/>
  <c r="AV374" i="9" s="1"/>
  <c r="AV375" i="9" s="1"/>
  <c r="H418" i="9"/>
  <c r="V418" i="9"/>
  <c r="S424" i="9"/>
  <c r="V432" i="9"/>
  <c r="L470" i="9"/>
  <c r="T470" i="9"/>
  <c r="F514" i="9"/>
  <c r="O514" i="9"/>
  <c r="G515" i="9"/>
  <c r="I516" i="9"/>
  <c r="U516" i="9"/>
  <c r="R524" i="9"/>
  <c r="V527" i="9"/>
  <c r="Z536" i="9"/>
  <c r="R569" i="9"/>
  <c r="U569" i="9"/>
  <c r="S373" i="9"/>
  <c r="AB373" i="9"/>
  <c r="AB374" i="9" s="1"/>
  <c r="AB375" i="9" s="1"/>
  <c r="D383" i="9"/>
  <c r="D407" i="9" s="1"/>
  <c r="D408" i="9" s="1"/>
  <c r="D440" i="9"/>
  <c r="D441" i="9" s="1"/>
  <c r="D442" i="9" s="1"/>
  <c r="I418" i="9"/>
  <c r="W418" i="9"/>
  <c r="V424" i="9"/>
  <c r="W432" i="9"/>
  <c r="E470" i="9"/>
  <c r="M470" i="9"/>
  <c r="G514" i="9"/>
  <c r="P514" i="9"/>
  <c r="H515" i="9"/>
  <c r="J516" i="9"/>
  <c r="V516" i="9"/>
  <c r="S524" i="9"/>
  <c r="V525" i="9"/>
  <c r="W527" i="9"/>
  <c r="AA530" i="9"/>
  <c r="Z532" i="9"/>
  <c r="Z534" i="9"/>
  <c r="L418" i="9"/>
  <c r="X418" i="9"/>
  <c r="W424" i="9"/>
  <c r="X432" i="9"/>
  <c r="N470" i="9"/>
  <c r="H514" i="9"/>
  <c r="Q514" i="9"/>
  <c r="K516" i="9"/>
  <c r="T524" i="9"/>
  <c r="Z527" i="9"/>
  <c r="L569" i="9"/>
  <c r="T569" i="9"/>
  <c r="O569" i="9"/>
  <c r="E573" i="9"/>
  <c r="F58" i="9"/>
  <c r="O520" i="9"/>
  <c r="Q515" i="9"/>
  <c r="I515" i="9"/>
  <c r="U515" i="9"/>
  <c r="M515" i="9"/>
  <c r="N515" i="9"/>
  <c r="X515" i="9"/>
  <c r="M517" i="9"/>
  <c r="X517" i="9"/>
  <c r="V518" i="9"/>
  <c r="N518" i="9"/>
  <c r="Z518" i="9"/>
  <c r="R518" i="9"/>
  <c r="J518" i="9"/>
  <c r="Q518" i="9"/>
  <c r="Q520" i="9"/>
  <c r="Z522" i="9"/>
  <c r="R522" i="9"/>
  <c r="Y522" i="9"/>
  <c r="Q522" i="9"/>
  <c r="V522" i="9"/>
  <c r="N522" i="9"/>
  <c r="W522" i="9"/>
  <c r="T523" i="9"/>
  <c r="Z525" i="9"/>
  <c r="R525" i="9"/>
  <c r="Y525" i="9"/>
  <c r="Q525" i="9"/>
  <c r="X525" i="9"/>
  <c r="P525" i="9"/>
  <c r="W525" i="9"/>
  <c r="O525" i="9"/>
  <c r="U525" i="9"/>
  <c r="N517" i="9"/>
  <c r="R520" i="9"/>
  <c r="T525" i="9"/>
  <c r="Z531" i="9"/>
  <c r="Y531" i="9"/>
  <c r="X531" i="9"/>
  <c r="W531" i="9"/>
  <c r="U531" i="9"/>
  <c r="Z533" i="9"/>
  <c r="Y533" i="9"/>
  <c r="X533" i="9"/>
  <c r="W533" i="9"/>
  <c r="W517" i="9"/>
  <c r="O517" i="9"/>
  <c r="G517" i="9"/>
  <c r="S517" i="9"/>
  <c r="K517" i="9"/>
  <c r="Q517" i="9"/>
  <c r="J520" i="9"/>
  <c r="V520" i="9"/>
  <c r="Y523" i="9"/>
  <c r="Q523" i="9"/>
  <c r="X523" i="9"/>
  <c r="P523" i="9"/>
  <c r="U523" i="9"/>
  <c r="M523" i="9"/>
  <c r="Z523" i="9"/>
  <c r="AA525" i="9"/>
  <c r="U520" i="9"/>
  <c r="H517" i="9"/>
  <c r="R517" i="9"/>
  <c r="K520" i="9"/>
  <c r="N523" i="9"/>
  <c r="AA523" i="9"/>
  <c r="Z530" i="9"/>
  <c r="Y530" i="9"/>
  <c r="X530" i="9"/>
  <c r="W530" i="9"/>
  <c r="U530" i="9"/>
  <c r="T520" i="9"/>
  <c r="L520" i="9"/>
  <c r="AA520" i="9"/>
  <c r="S520" i="9"/>
  <c r="X520" i="9"/>
  <c r="P520" i="9"/>
  <c r="J515" i="9"/>
  <c r="T515" i="9"/>
  <c r="I517" i="9"/>
  <c r="T517" i="9"/>
  <c r="M518" i="9"/>
  <c r="X518" i="9"/>
  <c r="U519" i="9"/>
  <c r="M519" i="9"/>
  <c r="Y519" i="9"/>
  <c r="Q519" i="9"/>
  <c r="I519" i="9"/>
  <c r="S519" i="9"/>
  <c r="M520" i="9"/>
  <c r="Y520" i="9"/>
  <c r="S522" i="9"/>
  <c r="O523" i="9"/>
  <c r="T530" i="9"/>
  <c r="P569" i="9"/>
  <c r="X569" i="9"/>
  <c r="K514" i="9"/>
  <c r="K515" i="9"/>
  <c r="V515" i="9"/>
  <c r="X516" i="9"/>
  <c r="P516" i="9"/>
  <c r="H516" i="9"/>
  <c r="T516" i="9"/>
  <c r="L516" i="9"/>
  <c r="O516" i="9"/>
  <c r="J517" i="9"/>
  <c r="U517" i="9"/>
  <c r="O518" i="9"/>
  <c r="Y518" i="9"/>
  <c r="J519" i="9"/>
  <c r="T519" i="9"/>
  <c r="N520" i="9"/>
  <c r="Z520" i="9"/>
  <c r="T522" i="9"/>
  <c r="R523" i="9"/>
  <c r="V530" i="9"/>
  <c r="O521" i="9"/>
  <c r="W521" i="9"/>
  <c r="U524" i="9"/>
  <c r="U526" i="9"/>
  <c r="U527" i="9"/>
  <c r="U528" i="9"/>
  <c r="U529" i="9"/>
  <c r="I569" i="9"/>
  <c r="Q569" i="9"/>
  <c r="Y569" i="9"/>
  <c r="W526" i="9"/>
  <c r="W529" i="9"/>
  <c r="K569" i="9"/>
  <c r="S569" i="9"/>
  <c r="AA569" i="9"/>
  <c r="R521" i="9"/>
  <c r="Z521" i="9"/>
  <c r="P526" i="9"/>
  <c r="X526" i="9"/>
  <c r="X527" i="9"/>
  <c r="X529" i="9"/>
  <c r="X534" i="9"/>
  <c r="K521" i="9"/>
  <c r="S521" i="9"/>
  <c r="Q524" i="9"/>
  <c r="Y524" i="9"/>
  <c r="Q526" i="9"/>
  <c r="Y526" i="9"/>
  <c r="Q527" i="9"/>
  <c r="Y527" i="9"/>
  <c r="Y528" i="9"/>
  <c r="Y529" i="9"/>
  <c r="Y532" i="9"/>
  <c r="Y534" i="9"/>
  <c r="Y535" i="9"/>
  <c r="AA537" i="9"/>
  <c r="Z529" i="9"/>
  <c r="N569" i="9"/>
  <c r="V569" i="9"/>
  <c r="AA536" i="9"/>
  <c r="F52" i="9"/>
  <c r="T417" i="9"/>
  <c r="L417" i="9"/>
  <c r="S417" i="9"/>
  <c r="K417" i="9"/>
  <c r="V427" i="9"/>
  <c r="U427" i="9"/>
  <c r="T427" i="9"/>
  <c r="AA427" i="9"/>
  <c r="S427" i="9"/>
  <c r="P417" i="9"/>
  <c r="G417" i="9"/>
  <c r="H417" i="9"/>
  <c r="Z419" i="9"/>
  <c r="R419" i="9"/>
  <c r="J419" i="9"/>
  <c r="Y419" i="9"/>
  <c r="Q419" i="9"/>
  <c r="I419" i="9"/>
  <c r="S419" i="9"/>
  <c r="K422" i="9"/>
  <c r="Y422" i="9"/>
  <c r="R427" i="9"/>
  <c r="V428" i="9"/>
  <c r="U428" i="9"/>
  <c r="T428" i="9"/>
  <c r="AA428" i="9"/>
  <c r="S428" i="9"/>
  <c r="Q428" i="9"/>
  <c r="R428" i="9"/>
  <c r="I417" i="9"/>
  <c r="U417" i="9"/>
  <c r="H419" i="9"/>
  <c r="T419" i="9"/>
  <c r="X421" i="9"/>
  <c r="P421" i="9"/>
  <c r="W421" i="9"/>
  <c r="O421" i="9"/>
  <c r="S421" i="9"/>
  <c r="L422" i="9"/>
  <c r="W427" i="9"/>
  <c r="X428" i="9"/>
  <c r="U470" i="9"/>
  <c r="Q417" i="9"/>
  <c r="X422" i="9"/>
  <c r="P422" i="9"/>
  <c r="W422" i="9"/>
  <c r="O422" i="9"/>
  <c r="V422" i="9"/>
  <c r="N422" i="9"/>
  <c r="J417" i="9"/>
  <c r="V417" i="9"/>
  <c r="K419" i="9"/>
  <c r="U419" i="9"/>
  <c r="J421" i="9"/>
  <c r="T421" i="9"/>
  <c r="M422" i="9"/>
  <c r="AA422" i="9"/>
  <c r="W423" i="9"/>
  <c r="O423" i="9"/>
  <c r="V423" i="9"/>
  <c r="N423" i="9"/>
  <c r="U423" i="9"/>
  <c r="M423" i="9"/>
  <c r="T423" i="9"/>
  <c r="Z423" i="9"/>
  <c r="X427" i="9"/>
  <c r="Y428" i="9"/>
  <c r="V430" i="9"/>
  <c r="U430" i="9"/>
  <c r="T430" i="9"/>
  <c r="AA430" i="9"/>
  <c r="S430" i="9"/>
  <c r="P470" i="9"/>
  <c r="F417" i="9"/>
  <c r="P427" i="9"/>
  <c r="Q427" i="9"/>
  <c r="M417" i="9"/>
  <c r="W417" i="9"/>
  <c r="S418" i="9"/>
  <c r="K418" i="9"/>
  <c r="Z418" i="9"/>
  <c r="R418" i="9"/>
  <c r="J418" i="9"/>
  <c r="P418" i="9"/>
  <c r="L419" i="9"/>
  <c r="V419" i="9"/>
  <c r="K421" i="9"/>
  <c r="U421" i="9"/>
  <c r="Q422" i="9"/>
  <c r="AA423" i="9"/>
  <c r="Y427" i="9"/>
  <c r="Z428" i="9"/>
  <c r="Y417" i="9"/>
  <c r="U422" i="9"/>
  <c r="R417" i="9"/>
  <c r="N417" i="9"/>
  <c r="X417" i="9"/>
  <c r="G418" i="9"/>
  <c r="Q418" i="9"/>
  <c r="M419" i="9"/>
  <c r="W419" i="9"/>
  <c r="L421" i="9"/>
  <c r="V421" i="9"/>
  <c r="R422" i="9"/>
  <c r="P423" i="9"/>
  <c r="Z427" i="9"/>
  <c r="V429" i="9"/>
  <c r="U429" i="9"/>
  <c r="T429" i="9"/>
  <c r="AA429" i="9"/>
  <c r="S429" i="9"/>
  <c r="X430" i="9"/>
  <c r="AA438" i="9"/>
  <c r="H470" i="9"/>
  <c r="X470" i="9"/>
  <c r="AA431" i="9"/>
  <c r="V470" i="9"/>
  <c r="L416" i="9"/>
  <c r="T416" i="9"/>
  <c r="P420" i="9"/>
  <c r="X420" i="9"/>
  <c r="T424" i="9"/>
  <c r="T425" i="9"/>
  <c r="T426" i="9"/>
  <c r="T431" i="9"/>
  <c r="E416" i="9"/>
  <c r="M416" i="9"/>
  <c r="I420" i="9"/>
  <c r="Q420" i="9"/>
  <c r="M424" i="9"/>
  <c r="U424" i="9"/>
  <c r="U425" i="9"/>
  <c r="U426" i="9"/>
  <c r="U431" i="9"/>
  <c r="U432" i="9"/>
  <c r="V426" i="9"/>
  <c r="V431" i="9"/>
  <c r="Y435" i="9"/>
  <c r="I470" i="9"/>
  <c r="Q470" i="9"/>
  <c r="Y470" i="9"/>
  <c r="AA436" i="9"/>
  <c r="Y436" i="9"/>
  <c r="K470" i="9"/>
  <c r="S470" i="9"/>
  <c r="AA470" i="9"/>
  <c r="J373" i="9"/>
  <c r="Z373" i="9"/>
  <c r="R373" i="9"/>
  <c r="Y373" i="9"/>
  <c r="Q373" i="9"/>
  <c r="I373" i="9"/>
  <c r="W373" i="9"/>
  <c r="O373" i="9"/>
  <c r="G373" i="9"/>
  <c r="V373" i="9"/>
  <c r="N373" i="9"/>
  <c r="F373" i="9"/>
  <c r="X373" i="9"/>
  <c r="P373" i="9"/>
  <c r="H373" i="9"/>
  <c r="AD373" i="9"/>
  <c r="AD374" i="9" s="1"/>
  <c r="AD375" i="9" s="1"/>
  <c r="U373" i="9"/>
  <c r="M373" i="9"/>
  <c r="T373" i="9"/>
  <c r="L373" i="9"/>
  <c r="S328" i="9"/>
  <c r="Q318" i="9"/>
  <c r="AF328" i="9"/>
  <c r="X328" i="9"/>
  <c r="V318" i="9"/>
  <c r="AA328" i="9"/>
  <c r="P318" i="9"/>
  <c r="N318" i="9"/>
  <c r="P328" i="9"/>
  <c r="I318" i="9"/>
  <c r="H318" i="9"/>
  <c r="F318" i="9"/>
  <c r="AW343" i="9"/>
  <c r="AW344" i="9" s="1"/>
  <c r="AW345" i="9" s="1"/>
  <c r="O322" i="9"/>
  <c r="AE336" i="9"/>
  <c r="T319" i="9"/>
  <c r="AL335" i="9"/>
  <c r="S323" i="9"/>
  <c r="M323" i="9"/>
  <c r="Z328" i="9"/>
  <c r="R328" i="9"/>
  <c r="AO336" i="9"/>
  <c r="W318" i="9"/>
  <c r="O318" i="9"/>
  <c r="G318" i="9"/>
  <c r="X319" i="9"/>
  <c r="P322" i="9"/>
  <c r="AG328" i="9"/>
  <c r="Y328" i="9"/>
  <c r="Q328" i="9"/>
  <c r="AM336" i="9"/>
  <c r="U318" i="9"/>
  <c r="M318" i="9"/>
  <c r="I323" i="9"/>
  <c r="AF327" i="9"/>
  <c r="AE328" i="9"/>
  <c r="W328" i="9"/>
  <c r="O328" i="9"/>
  <c r="AH335" i="9"/>
  <c r="AD336" i="9"/>
  <c r="AO341" i="9"/>
  <c r="T318" i="9"/>
  <c r="L318" i="9"/>
  <c r="E318" i="9"/>
  <c r="N328" i="9"/>
  <c r="AD328" i="9"/>
  <c r="V328" i="9"/>
  <c r="U330" i="9"/>
  <c r="AB336" i="9"/>
  <c r="S318" i="9"/>
  <c r="K318" i="9"/>
  <c r="Y326" i="9"/>
  <c r="AC328" i="9"/>
  <c r="U328" i="9"/>
  <c r="Q330" i="9"/>
  <c r="AG338" i="9"/>
  <c r="R318" i="9"/>
  <c r="W326" i="9"/>
  <c r="AB328" i="9"/>
  <c r="AC338" i="9"/>
  <c r="X325" i="9"/>
  <c r="AH331" i="9"/>
  <c r="AE339" i="9"/>
  <c r="AG331" i="9"/>
  <c r="AD339" i="9"/>
  <c r="U331" i="9"/>
  <c r="Y339" i="9"/>
  <c r="AM339" i="9"/>
  <c r="AC339" i="9"/>
  <c r="AN341" i="9"/>
  <c r="R321" i="9"/>
  <c r="N325" i="9"/>
  <c r="AO339" i="9"/>
  <c r="O321" i="9"/>
  <c r="V325" i="9"/>
  <c r="AE331" i="9"/>
  <c r="AE332" i="9"/>
  <c r="AI340" i="9"/>
  <c r="R319" i="9"/>
  <c r="X321" i="9"/>
  <c r="N321" i="9"/>
  <c r="T325" i="9"/>
  <c r="P326" i="9"/>
  <c r="AA327" i="9"/>
  <c r="AD331" i="9"/>
  <c r="T331" i="9"/>
  <c r="AD332" i="9"/>
  <c r="Z335" i="9"/>
  <c r="AL336" i="9"/>
  <c r="AA336" i="9"/>
  <c r="AL339" i="9"/>
  <c r="AB339" i="9"/>
  <c r="AE340" i="9"/>
  <c r="W331" i="9"/>
  <c r="P321" i="9"/>
  <c r="W325" i="9"/>
  <c r="AL340" i="9"/>
  <c r="J322" i="9"/>
  <c r="L326" i="9"/>
  <c r="Q331" i="9"/>
  <c r="E319" i="9"/>
  <c r="M319" i="9"/>
  <c r="W321" i="9"/>
  <c r="M321" i="9"/>
  <c r="AA322" i="9"/>
  <c r="AD325" i="9"/>
  <c r="S325" i="9"/>
  <c r="O326" i="9"/>
  <c r="U327" i="9"/>
  <c r="AC331" i="9"/>
  <c r="R331" i="9"/>
  <c r="AA332" i="9"/>
  <c r="AJ333" i="9"/>
  <c r="U335" i="9"/>
  <c r="V336" i="9"/>
  <c r="AJ336" i="9"/>
  <c r="Z336" i="9"/>
  <c r="AK339" i="9"/>
  <c r="Z339" i="9"/>
  <c r="AD340" i="9"/>
  <c r="AP339" i="9"/>
  <c r="AK332" i="9"/>
  <c r="I319" i="9"/>
  <c r="V321" i="9"/>
  <c r="K321" i="9"/>
  <c r="Z322" i="9"/>
  <c r="AB325" i="9"/>
  <c r="Q325" i="9"/>
  <c r="M327" i="9"/>
  <c r="Q327" i="9"/>
  <c r="AB331" i="9"/>
  <c r="Z332" i="9"/>
  <c r="AF333" i="9"/>
  <c r="AI336" i="9"/>
  <c r="Y336" i="9"/>
  <c r="AJ339" i="9"/>
  <c r="L325" i="9"/>
  <c r="V331" i="9"/>
  <c r="U326" i="9"/>
  <c r="H319" i="9"/>
  <c r="U321" i="9"/>
  <c r="J321" i="9"/>
  <c r="U322" i="9"/>
  <c r="AA325" i="9"/>
  <c r="P325" i="9"/>
  <c r="AF330" i="9"/>
  <c r="Z331" i="9"/>
  <c r="U332" i="9"/>
  <c r="AE333" i="9"/>
  <c r="AH336" i="9"/>
  <c r="W336" i="9"/>
  <c r="AH339" i="9"/>
  <c r="Z321" i="9"/>
  <c r="G321" i="9"/>
  <c r="S321" i="9"/>
  <c r="H321" i="9"/>
  <c r="W323" i="9"/>
  <c r="K325" i="9"/>
  <c r="Y325" i="9"/>
  <c r="O325" i="9"/>
  <c r="AB330" i="9"/>
  <c r="AJ331" i="9"/>
  <c r="Y331" i="9"/>
  <c r="S332" i="9"/>
  <c r="AG336" i="9"/>
  <c r="AO338" i="9"/>
  <c r="AR339" i="9"/>
  <c r="AG339" i="9"/>
  <c r="V329" i="9"/>
  <c r="AD329" i="9"/>
  <c r="Q329" i="9"/>
  <c r="Y329" i="9"/>
  <c r="AG329" i="9"/>
  <c r="S329" i="9"/>
  <c r="AC329" i="9"/>
  <c r="O329" i="9"/>
  <c r="AF329" i="9"/>
  <c r="W329" i="9"/>
  <c r="T329" i="9"/>
  <c r="AE329" i="9"/>
  <c r="AH329" i="9"/>
  <c r="X329" i="9"/>
  <c r="Z329" i="9"/>
  <c r="P329" i="9"/>
  <c r="AA329" i="9"/>
  <c r="R329" i="9"/>
  <c r="AB329" i="9"/>
  <c r="U329" i="9"/>
  <c r="I320" i="9"/>
  <c r="Q320" i="9"/>
  <c r="Y320" i="9"/>
  <c r="L320" i="9"/>
  <c r="T320" i="9"/>
  <c r="O320" i="9"/>
  <c r="F320" i="9"/>
  <c r="P320" i="9"/>
  <c r="G320" i="9"/>
  <c r="R320" i="9"/>
  <c r="J320" i="9"/>
  <c r="U320" i="9"/>
  <c r="K320" i="9"/>
  <c r="V320" i="9"/>
  <c r="N320" i="9"/>
  <c r="X320" i="9"/>
  <c r="AD337" i="9"/>
  <c r="AL337" i="9"/>
  <c r="Y337" i="9"/>
  <c r="AG337" i="9"/>
  <c r="AO337" i="9"/>
  <c r="Z337" i="9"/>
  <c r="AP337" i="9"/>
  <c r="AH337" i="9"/>
  <c r="AJ337" i="9"/>
  <c r="W337" i="9"/>
  <c r="AM337" i="9"/>
  <c r="AN337" i="9"/>
  <c r="X337" i="9"/>
  <c r="AK337" i="9"/>
  <c r="AA337" i="9"/>
  <c r="AB337" i="9"/>
  <c r="AC337" i="9"/>
  <c r="AE337" i="9"/>
  <c r="AF337" i="9"/>
  <c r="AI337" i="9"/>
  <c r="W320" i="9"/>
  <c r="S320" i="9"/>
  <c r="H320" i="9"/>
  <c r="Q324" i="9"/>
  <c r="Y324" i="9"/>
  <c r="L324" i="9"/>
  <c r="T324" i="9"/>
  <c r="AB324" i="9"/>
  <c r="S324" i="9"/>
  <c r="M324" i="9"/>
  <c r="U324" i="9"/>
  <c r="K324" i="9"/>
  <c r="N324" i="9"/>
  <c r="X324" i="9"/>
  <c r="O324" i="9"/>
  <c r="Z324" i="9"/>
  <c r="J324" i="9"/>
  <c r="P324" i="9"/>
  <c r="AA324" i="9"/>
  <c r="R324" i="9"/>
  <c r="AC324" i="9"/>
  <c r="V324" i="9"/>
  <c r="AA334" i="9"/>
  <c r="AI334" i="9"/>
  <c r="V334" i="9"/>
  <c r="AD334" i="9"/>
  <c r="AL334" i="9"/>
  <c r="W334" i="9"/>
  <c r="AE334" i="9"/>
  <c r="AM334" i="9"/>
  <c r="AB334" i="9"/>
  <c r="AF334" i="9"/>
  <c r="AG334" i="9"/>
  <c r="AC334" i="9"/>
  <c r="U334" i="9"/>
  <c r="AH334" i="9"/>
  <c r="X334" i="9"/>
  <c r="AJ334" i="9"/>
  <c r="Y334" i="9"/>
  <c r="AK334" i="9"/>
  <c r="Z334" i="9"/>
  <c r="T334" i="9"/>
  <c r="Z327" i="9"/>
  <c r="AB338" i="9"/>
  <c r="I322" i="9"/>
  <c r="Q322" i="9"/>
  <c r="Y322" i="9"/>
  <c r="H322" i="9"/>
  <c r="L322" i="9"/>
  <c r="T322" i="9"/>
  <c r="S326" i="9"/>
  <c r="AA326" i="9"/>
  <c r="N326" i="9"/>
  <c r="V326" i="9"/>
  <c r="AD326" i="9"/>
  <c r="Z333" i="9"/>
  <c r="AH333" i="9"/>
  <c r="U333" i="9"/>
  <c r="AC333" i="9"/>
  <c r="AK333" i="9"/>
  <c r="V333" i="9"/>
  <c r="AD333" i="9"/>
  <c r="AH341" i="9"/>
  <c r="AP341" i="9"/>
  <c r="AI341" i="9"/>
  <c r="AQ341" i="9"/>
  <c r="AA341" i="9"/>
  <c r="AC341" i="9"/>
  <c r="AK341" i="9"/>
  <c r="AS341" i="9"/>
  <c r="AD341" i="9"/>
  <c r="AL341" i="9"/>
  <c r="AT341" i="9"/>
  <c r="AT343" i="9" s="1"/>
  <c r="AT344" i="9" s="1"/>
  <c r="AT345" i="9" s="1"/>
  <c r="V322" i="9"/>
  <c r="K322" i="9"/>
  <c r="X323" i="9"/>
  <c r="AB326" i="9"/>
  <c r="Q326" i="9"/>
  <c r="AG330" i="9"/>
  <c r="V330" i="9"/>
  <c r="R332" i="9"/>
  <c r="AF332" i="9"/>
  <c r="V332" i="9"/>
  <c r="AL333" i="9"/>
  <c r="Y333" i="9"/>
  <c r="AU343" i="9"/>
  <c r="AU344" i="9" s="1"/>
  <c r="AU345" i="9" s="1"/>
  <c r="AJ338" i="9"/>
  <c r="AM340" i="9"/>
  <c r="AG341" i="9"/>
  <c r="K319" i="9"/>
  <c r="S319" i="9"/>
  <c r="F319" i="9"/>
  <c r="N319" i="9"/>
  <c r="V319" i="9"/>
  <c r="Q323" i="9"/>
  <c r="Y323" i="9"/>
  <c r="L323" i="9"/>
  <c r="T323" i="9"/>
  <c r="AB323" i="9"/>
  <c r="T327" i="9"/>
  <c r="AB327" i="9"/>
  <c r="O327" i="9"/>
  <c r="W327" i="9"/>
  <c r="AE327" i="9"/>
  <c r="AB335" i="9"/>
  <c r="AJ335" i="9"/>
  <c r="W335" i="9"/>
  <c r="AE335" i="9"/>
  <c r="AM335" i="9"/>
  <c r="AF335" i="9"/>
  <c r="X335" i="9"/>
  <c r="AN335" i="9"/>
  <c r="W319" i="9"/>
  <c r="L319" i="9"/>
  <c r="V323" i="9"/>
  <c r="K323" i="9"/>
  <c r="AD327" i="9"/>
  <c r="S327" i="9"/>
  <c r="P330" i="9"/>
  <c r="AD330" i="9"/>
  <c r="T330" i="9"/>
  <c r="AI333" i="9"/>
  <c r="W333" i="9"/>
  <c r="AK335" i="9"/>
  <c r="Y335" i="9"/>
  <c r="AF338" i="9"/>
  <c r="AE341" i="9"/>
  <c r="U319" i="9"/>
  <c r="J319" i="9"/>
  <c r="R322" i="9"/>
  <c r="U323" i="9"/>
  <c r="J323" i="9"/>
  <c r="X326" i="9"/>
  <c r="M326" i="9"/>
  <c r="AC327" i="9"/>
  <c r="R327" i="9"/>
  <c r="AC330" i="9"/>
  <c r="AC332" i="9"/>
  <c r="S333" i="9"/>
  <c r="AG333" i="9"/>
  <c r="T333" i="9"/>
  <c r="AI335" i="9"/>
  <c r="V335" i="9"/>
  <c r="AD338" i="9"/>
  <c r="AV343" i="9"/>
  <c r="AV344" i="9" s="1"/>
  <c r="AV345" i="9" s="1"/>
  <c r="AF340" i="9"/>
  <c r="AR341" i="9"/>
  <c r="AB341" i="9"/>
  <c r="W330" i="9"/>
  <c r="AE330" i="9"/>
  <c r="R330" i="9"/>
  <c r="Z330" i="9"/>
  <c r="AH330" i="9"/>
  <c r="P327" i="9"/>
  <c r="AA330" i="9"/>
  <c r="G319" i="9"/>
  <c r="X322" i="9"/>
  <c r="N322" i="9"/>
  <c r="AA323" i="9"/>
  <c r="P323" i="9"/>
  <c r="AE326" i="9"/>
  <c r="T326" i="9"/>
  <c r="Y327" i="9"/>
  <c r="N327" i="9"/>
  <c r="Y330" i="9"/>
  <c r="AI332" i="9"/>
  <c r="AB333" i="9"/>
  <c r="AD335" i="9"/>
  <c r="AL338" i="9"/>
  <c r="AQ340" i="9"/>
  <c r="AM341" i="9"/>
  <c r="AE338" i="9"/>
  <c r="AM338" i="9"/>
  <c r="Z338" i="9"/>
  <c r="AH338" i="9"/>
  <c r="AP338" i="9"/>
  <c r="AA338" i="9"/>
  <c r="AQ338" i="9"/>
  <c r="AI338" i="9"/>
  <c r="R323" i="9"/>
  <c r="AG335" i="9"/>
  <c r="AN338" i="9"/>
  <c r="Q319" i="9"/>
  <c r="Y332" i="9"/>
  <c r="AG332" i="9"/>
  <c r="T332" i="9"/>
  <c r="AB332" i="9"/>
  <c r="AJ332" i="9"/>
  <c r="AG340" i="9"/>
  <c r="AO340" i="9"/>
  <c r="AH340" i="9"/>
  <c r="AP340" i="9"/>
  <c r="Z340" i="9"/>
  <c r="AB340" i="9"/>
  <c r="AJ340" i="9"/>
  <c r="AR340" i="9"/>
  <c r="AC340" i="9"/>
  <c r="AK340" i="9"/>
  <c r="AS340" i="9"/>
  <c r="P319" i="9"/>
  <c r="W322" i="9"/>
  <c r="M322" i="9"/>
  <c r="Z323" i="9"/>
  <c r="O323" i="9"/>
  <c r="AC326" i="9"/>
  <c r="R326" i="9"/>
  <c r="X327" i="9"/>
  <c r="AI330" i="9"/>
  <c r="X330" i="9"/>
  <c r="AH332" i="9"/>
  <c r="W332" i="9"/>
  <c r="AA333" i="9"/>
  <c r="AC335" i="9"/>
  <c r="X338" i="9"/>
  <c r="AK338" i="9"/>
  <c r="AN340" i="9"/>
  <c r="AJ341" i="9"/>
  <c r="T321" i="9"/>
  <c r="L321" i="9"/>
  <c r="AC325" i="9"/>
  <c r="U325" i="9"/>
  <c r="M325" i="9"/>
  <c r="AI331" i="9"/>
  <c r="AA331" i="9"/>
  <c r="S331" i="9"/>
  <c r="AN336" i="9"/>
  <c r="AF336" i="9"/>
  <c r="X336" i="9"/>
  <c r="AQ339" i="9"/>
  <c r="AI339" i="9"/>
  <c r="AA339" i="9"/>
  <c r="Y321" i="9"/>
  <c r="Q321" i="9"/>
  <c r="Z325" i="9"/>
  <c r="AF331" i="9"/>
  <c r="AK336" i="9"/>
  <c r="Y286" i="9"/>
  <c r="Z286" i="9"/>
  <c r="AA286" i="9"/>
  <c r="AA309" i="9"/>
  <c r="Z308" i="9"/>
  <c r="Y307" i="9"/>
  <c r="X306" i="9"/>
  <c r="Y311" i="9"/>
  <c r="Z311" i="9"/>
  <c r="AA311" i="9"/>
  <c r="AA274" i="9"/>
  <c r="AA273" i="9"/>
  <c r="Z273" i="9"/>
  <c r="Z272" i="9"/>
  <c r="AA272" i="9"/>
  <c r="Y272" i="9"/>
  <c r="Y271" i="9"/>
  <c r="Z271" i="9"/>
  <c r="AA271" i="9"/>
  <c r="X271" i="9"/>
  <c r="X270" i="9"/>
  <c r="Y270" i="9"/>
  <c r="Z270" i="9"/>
  <c r="AA270" i="9"/>
  <c r="W270" i="9"/>
  <c r="W269" i="9"/>
  <c r="X269" i="9"/>
  <c r="Y269" i="9"/>
  <c r="Z269" i="9"/>
  <c r="AA269" i="9"/>
  <c r="V269" i="9"/>
  <c r="V268" i="9"/>
  <c r="W268" i="9"/>
  <c r="X268" i="9"/>
  <c r="Y268" i="9"/>
  <c r="Z268" i="9"/>
  <c r="AA268" i="9"/>
  <c r="U268" i="9"/>
  <c r="U267" i="9"/>
  <c r="V267" i="9"/>
  <c r="W267" i="9"/>
  <c r="X267" i="9"/>
  <c r="Y267" i="9"/>
  <c r="Z267" i="9"/>
  <c r="AA267" i="9"/>
  <c r="T267" i="9"/>
  <c r="T266" i="9"/>
  <c r="U266" i="9"/>
  <c r="V266" i="9"/>
  <c r="W266" i="9"/>
  <c r="X266" i="9"/>
  <c r="Y266" i="9"/>
  <c r="Z266" i="9"/>
  <c r="AA266" i="9"/>
  <c r="S266" i="9"/>
  <c r="S265" i="9"/>
  <c r="T265" i="9"/>
  <c r="U265" i="9"/>
  <c r="V265" i="9"/>
  <c r="W265" i="9"/>
  <c r="X265" i="9"/>
  <c r="Y265" i="9"/>
  <c r="Z265" i="9"/>
  <c r="AA265" i="9"/>
  <c r="R265" i="9"/>
  <c r="R264" i="9"/>
  <c r="S264" i="9"/>
  <c r="T264" i="9"/>
  <c r="U264" i="9"/>
  <c r="V264" i="9"/>
  <c r="W264" i="9"/>
  <c r="X264" i="9"/>
  <c r="Y264" i="9"/>
  <c r="Z264" i="9"/>
  <c r="AA264" i="9"/>
  <c r="Q264" i="9"/>
  <c r="Q263" i="9"/>
  <c r="R263" i="9"/>
  <c r="S263" i="9"/>
  <c r="T263" i="9"/>
  <c r="U263" i="9"/>
  <c r="V263" i="9"/>
  <c r="W263" i="9"/>
  <c r="X263" i="9"/>
  <c r="Y263" i="9"/>
  <c r="Z263" i="9"/>
  <c r="AA263" i="9"/>
  <c r="P263" i="9"/>
  <c r="P262" i="9"/>
  <c r="Q262" i="9"/>
  <c r="R262" i="9"/>
  <c r="S262" i="9"/>
  <c r="T262" i="9"/>
  <c r="U262" i="9"/>
  <c r="V262" i="9"/>
  <c r="W262" i="9"/>
  <c r="X262" i="9"/>
  <c r="Y262" i="9"/>
  <c r="Z262" i="9"/>
  <c r="AA262" i="9"/>
  <c r="O262" i="9"/>
  <c r="O261" i="9"/>
  <c r="P261" i="9"/>
  <c r="Q261" i="9"/>
  <c r="R261" i="9"/>
  <c r="S261" i="9"/>
  <c r="T261" i="9"/>
  <c r="U261" i="9"/>
  <c r="V261" i="9"/>
  <c r="W261" i="9"/>
  <c r="X261" i="9"/>
  <c r="Y261" i="9"/>
  <c r="Z261" i="9"/>
  <c r="AA261" i="9"/>
  <c r="O260" i="9"/>
  <c r="P260" i="9"/>
  <c r="Q260" i="9"/>
  <c r="R260" i="9"/>
  <c r="S260" i="9"/>
  <c r="T260" i="9"/>
  <c r="U260" i="9"/>
  <c r="V260" i="9"/>
  <c r="W260" i="9"/>
  <c r="X260" i="9"/>
  <c r="Y260" i="9"/>
  <c r="Z260" i="9"/>
  <c r="AA260" i="9"/>
  <c r="O259" i="9"/>
  <c r="P259" i="9"/>
  <c r="Q259" i="9"/>
  <c r="R259" i="9"/>
  <c r="S259" i="9"/>
  <c r="T259" i="9"/>
  <c r="U259" i="9"/>
  <c r="V259" i="9"/>
  <c r="W259" i="9"/>
  <c r="X259" i="9"/>
  <c r="Y259" i="9"/>
  <c r="Z259" i="9"/>
  <c r="AA259" i="9"/>
  <c r="O258" i="9"/>
  <c r="P258" i="9"/>
  <c r="Q258" i="9"/>
  <c r="R258" i="9"/>
  <c r="S258" i="9"/>
  <c r="T258" i="9"/>
  <c r="U258" i="9"/>
  <c r="V258" i="9"/>
  <c r="W258" i="9"/>
  <c r="X258" i="9"/>
  <c r="Y258" i="9"/>
  <c r="Z258" i="9"/>
  <c r="AA258" i="9"/>
  <c r="O257" i="9"/>
  <c r="P257" i="9"/>
  <c r="Q257" i="9"/>
  <c r="R257" i="9"/>
  <c r="S257" i="9"/>
  <c r="T257" i="9"/>
  <c r="U257" i="9"/>
  <c r="V257" i="9"/>
  <c r="W257" i="9"/>
  <c r="X257" i="9"/>
  <c r="Y257" i="9"/>
  <c r="Z257" i="9"/>
  <c r="AA257" i="9"/>
  <c r="O256" i="9"/>
  <c r="P256" i="9"/>
  <c r="Q256" i="9"/>
  <c r="R256" i="9"/>
  <c r="S256" i="9"/>
  <c r="T256" i="9"/>
  <c r="U256" i="9"/>
  <c r="V256" i="9"/>
  <c r="W256" i="9"/>
  <c r="X256" i="9"/>
  <c r="Y256" i="9"/>
  <c r="Z256" i="9"/>
  <c r="AA256" i="9"/>
  <c r="O255" i="9"/>
  <c r="P255" i="9"/>
  <c r="Q255" i="9"/>
  <c r="R255" i="9"/>
  <c r="S255" i="9"/>
  <c r="T255" i="9"/>
  <c r="U255" i="9"/>
  <c r="V255" i="9"/>
  <c r="W255" i="9"/>
  <c r="X255" i="9"/>
  <c r="Y255" i="9"/>
  <c r="Z255" i="9"/>
  <c r="AA255" i="9"/>
  <c r="O252" i="9"/>
  <c r="P252" i="9"/>
  <c r="Q252" i="9"/>
  <c r="R252" i="9"/>
  <c r="S252" i="9"/>
  <c r="T252" i="9"/>
  <c r="U252" i="9"/>
  <c r="V252" i="9"/>
  <c r="W252" i="9"/>
  <c r="X252" i="9"/>
  <c r="Y252" i="9"/>
  <c r="Z252" i="9"/>
  <c r="AA252" i="9"/>
  <c r="O263" i="9"/>
  <c r="P264" i="9"/>
  <c r="Q265" i="9"/>
  <c r="R266" i="9"/>
  <c r="S267" i="9"/>
  <c r="T268" i="9"/>
  <c r="U269" i="9"/>
  <c r="V270" i="9"/>
  <c r="W271" i="9"/>
  <c r="X272" i="9"/>
  <c r="Y273" i="9"/>
  <c r="AA275" i="9"/>
  <c r="AA243" i="9"/>
  <c r="Z242" i="9"/>
  <c r="Y241" i="9"/>
  <c r="X240" i="9"/>
  <c r="W239" i="9"/>
  <c r="V238" i="9"/>
  <c r="U237" i="9"/>
  <c r="T236" i="9"/>
  <c r="S235" i="9"/>
  <c r="R234" i="9"/>
  <c r="Q233" i="9"/>
  <c r="P232" i="9"/>
  <c r="O231" i="9"/>
  <c r="N230" i="9"/>
  <c r="AA242" i="9"/>
  <c r="AA241" i="9"/>
  <c r="Z241" i="9"/>
  <c r="Z240" i="9"/>
  <c r="AA240" i="9"/>
  <c r="Y240" i="9"/>
  <c r="Y239" i="9"/>
  <c r="Z239" i="9"/>
  <c r="AA239" i="9"/>
  <c r="X239" i="9"/>
  <c r="X238" i="9"/>
  <c r="Y238" i="9"/>
  <c r="Z238" i="9"/>
  <c r="AA238" i="9"/>
  <c r="W238" i="9"/>
  <c r="W237" i="9"/>
  <c r="X237" i="9"/>
  <c r="Y237" i="9"/>
  <c r="Z237" i="9"/>
  <c r="AA237" i="9"/>
  <c r="V237" i="9"/>
  <c r="V236" i="9"/>
  <c r="W236" i="9"/>
  <c r="X236" i="9"/>
  <c r="Y236" i="9"/>
  <c r="Z236" i="9"/>
  <c r="AA236" i="9"/>
  <c r="U236" i="9"/>
  <c r="U235" i="9"/>
  <c r="V235" i="9"/>
  <c r="W235" i="9"/>
  <c r="X235" i="9"/>
  <c r="Y235" i="9"/>
  <c r="Z235" i="9"/>
  <c r="AA235" i="9"/>
  <c r="T235" i="9"/>
  <c r="T234" i="9"/>
  <c r="U234" i="9"/>
  <c r="V234" i="9"/>
  <c r="W234" i="9"/>
  <c r="X234" i="9"/>
  <c r="Y234" i="9"/>
  <c r="Z234" i="9"/>
  <c r="AA234" i="9"/>
  <c r="S234" i="9"/>
  <c r="S233" i="9"/>
  <c r="T233" i="9"/>
  <c r="U233" i="9"/>
  <c r="V233" i="9"/>
  <c r="W233" i="9"/>
  <c r="X233" i="9"/>
  <c r="Y233" i="9"/>
  <c r="Z233" i="9"/>
  <c r="AA233" i="9"/>
  <c r="R233" i="9"/>
  <c r="R232" i="9"/>
  <c r="S232" i="9"/>
  <c r="T232" i="9"/>
  <c r="U232" i="9"/>
  <c r="V232" i="9"/>
  <c r="W232" i="9"/>
  <c r="X232" i="9"/>
  <c r="Y232" i="9"/>
  <c r="Z232" i="9"/>
  <c r="AA232" i="9"/>
  <c r="Q232" i="9"/>
  <c r="Q231" i="9"/>
  <c r="R231" i="9"/>
  <c r="S231" i="9"/>
  <c r="T231" i="9"/>
  <c r="U231" i="9"/>
  <c r="V231" i="9"/>
  <c r="W231" i="9"/>
  <c r="X231" i="9"/>
  <c r="Y231" i="9"/>
  <c r="Z231" i="9"/>
  <c r="AA231" i="9"/>
  <c r="P231" i="9"/>
  <c r="P230" i="9"/>
  <c r="Q230" i="9"/>
  <c r="R230" i="9"/>
  <c r="S230" i="9"/>
  <c r="T230" i="9"/>
  <c r="U230" i="9"/>
  <c r="V230" i="9"/>
  <c r="W230" i="9"/>
  <c r="X230" i="9"/>
  <c r="Y230" i="9"/>
  <c r="Z230" i="9"/>
  <c r="AA230" i="9"/>
  <c r="O230" i="9"/>
  <c r="O229" i="9"/>
  <c r="P229" i="9"/>
  <c r="Q229" i="9"/>
  <c r="R229" i="9"/>
  <c r="S229" i="9"/>
  <c r="T229" i="9"/>
  <c r="U229" i="9"/>
  <c r="V229" i="9"/>
  <c r="W229" i="9"/>
  <c r="X229" i="9"/>
  <c r="Y229" i="9"/>
  <c r="Z229" i="9"/>
  <c r="AA229" i="9"/>
  <c r="O228" i="9"/>
  <c r="P228" i="9"/>
  <c r="Q228" i="9"/>
  <c r="R228" i="9"/>
  <c r="S228" i="9"/>
  <c r="T228" i="9"/>
  <c r="U228" i="9"/>
  <c r="V228" i="9"/>
  <c r="W228" i="9"/>
  <c r="X228" i="9"/>
  <c r="Y228" i="9"/>
  <c r="Z228" i="9"/>
  <c r="AA228" i="9"/>
  <c r="O227" i="9"/>
  <c r="P227" i="9"/>
  <c r="Q227" i="9"/>
  <c r="R227" i="9"/>
  <c r="S227" i="9"/>
  <c r="T227" i="9"/>
  <c r="U227" i="9"/>
  <c r="V227" i="9"/>
  <c r="W227" i="9"/>
  <c r="X227" i="9"/>
  <c r="Y227" i="9"/>
  <c r="Z227" i="9"/>
  <c r="AA227" i="9"/>
  <c r="O226" i="9"/>
  <c r="P226" i="9"/>
  <c r="Q226" i="9"/>
  <c r="R226" i="9"/>
  <c r="S226" i="9"/>
  <c r="T226" i="9"/>
  <c r="U226" i="9"/>
  <c r="V226" i="9"/>
  <c r="W226" i="9"/>
  <c r="X226" i="9"/>
  <c r="Y226" i="9"/>
  <c r="Z226" i="9"/>
  <c r="AA226" i="9"/>
  <c r="O225" i="9"/>
  <c r="P225" i="9"/>
  <c r="Q225" i="9"/>
  <c r="R225" i="9"/>
  <c r="S225" i="9"/>
  <c r="T225" i="9"/>
  <c r="U225" i="9"/>
  <c r="V225" i="9"/>
  <c r="W225" i="9"/>
  <c r="X225" i="9"/>
  <c r="Y225" i="9"/>
  <c r="Z225" i="9"/>
  <c r="AA225" i="9"/>
  <c r="O224" i="9"/>
  <c r="P224" i="9"/>
  <c r="Q224" i="9"/>
  <c r="R224" i="9"/>
  <c r="S224" i="9"/>
  <c r="T224" i="9"/>
  <c r="U224" i="9"/>
  <c r="V224" i="9"/>
  <c r="W224" i="9"/>
  <c r="X224" i="9"/>
  <c r="Y224" i="9"/>
  <c r="Z224" i="9"/>
  <c r="AA224" i="9"/>
  <c r="O223" i="9"/>
  <c r="P223" i="9"/>
  <c r="Q223" i="9"/>
  <c r="R223" i="9"/>
  <c r="S223" i="9"/>
  <c r="T223" i="9"/>
  <c r="U223" i="9"/>
  <c r="V223" i="9"/>
  <c r="W223" i="9"/>
  <c r="X223" i="9"/>
  <c r="Y223" i="9"/>
  <c r="Z223" i="9"/>
  <c r="AA223" i="9"/>
  <c r="O222" i="9"/>
  <c r="P222" i="9"/>
  <c r="Q222" i="9"/>
  <c r="R222" i="9"/>
  <c r="S222" i="9"/>
  <c r="T222" i="9"/>
  <c r="U222" i="9"/>
  <c r="V222" i="9"/>
  <c r="W222" i="9"/>
  <c r="X222" i="9"/>
  <c r="Y222" i="9"/>
  <c r="Z222" i="9"/>
  <c r="AA222" i="9"/>
  <c r="O221" i="9"/>
  <c r="P221" i="9"/>
  <c r="Q221" i="9"/>
  <c r="R221" i="9"/>
  <c r="S221" i="9"/>
  <c r="T221" i="9"/>
  <c r="U221" i="9"/>
  <c r="V221" i="9"/>
  <c r="W221" i="9"/>
  <c r="X221" i="9"/>
  <c r="Y221" i="9"/>
  <c r="Z221" i="9"/>
  <c r="AA221" i="9"/>
  <c r="O245" i="9"/>
  <c r="C190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F471" i="9" l="1"/>
  <c r="F472" i="9" s="1"/>
  <c r="J570" i="9"/>
  <c r="J571" i="9" s="1"/>
  <c r="F539" i="9"/>
  <c r="F540" i="9" s="1"/>
  <c r="F541" i="9" s="1"/>
  <c r="G539" i="9"/>
  <c r="G540" i="9" s="1"/>
  <c r="G541" i="9" s="1"/>
  <c r="E539" i="9"/>
  <c r="E540" i="9" s="1"/>
  <c r="E541" i="9" s="1"/>
  <c r="D190" i="9"/>
  <c r="D214" i="9" s="1"/>
  <c r="I220" i="9"/>
  <c r="M220" i="9"/>
  <c r="F190" i="9"/>
  <c r="K220" i="9"/>
  <c r="E190" i="9"/>
  <c r="H190" i="9"/>
  <c r="J220" i="9"/>
  <c r="L220" i="9"/>
  <c r="G190" i="9"/>
  <c r="L539" i="9"/>
  <c r="L540" i="9" s="1"/>
  <c r="L541" i="9" s="1"/>
  <c r="L440" i="9"/>
  <c r="L441" i="9" s="1"/>
  <c r="L442" i="9" s="1"/>
  <c r="P539" i="9"/>
  <c r="P540" i="9" s="1"/>
  <c r="P541" i="9" s="1"/>
  <c r="I539" i="9"/>
  <c r="I540" i="9" s="1"/>
  <c r="I541" i="9" s="1"/>
  <c r="G97" i="4"/>
  <c r="O374" i="9"/>
  <c r="O375" i="9" s="1"/>
  <c r="T471" i="9"/>
  <c r="T472" i="9" s="1"/>
  <c r="AA374" i="9"/>
  <c r="AA375" i="9" s="1"/>
  <c r="G570" i="9"/>
  <c r="G571" i="9" s="1"/>
  <c r="W374" i="9"/>
  <c r="W375" i="9" s="1"/>
  <c r="AA471" i="9"/>
  <c r="AA472" i="9" s="1"/>
  <c r="Y471" i="9"/>
  <c r="Y472" i="9" s="1"/>
  <c r="V471" i="9"/>
  <c r="V472" i="9" s="1"/>
  <c r="T539" i="9"/>
  <c r="T540" i="9" s="1"/>
  <c r="T541" i="9" s="1"/>
  <c r="U570" i="9"/>
  <c r="U571" i="9" s="1"/>
  <c r="L471" i="9"/>
  <c r="L472" i="9" s="1"/>
  <c r="Z471" i="9"/>
  <c r="Z472" i="9" s="1"/>
  <c r="W570" i="9"/>
  <c r="W571" i="9" s="1"/>
  <c r="H374" i="9"/>
  <c r="H375" i="9" s="1"/>
  <c r="P374" i="9"/>
  <c r="P375" i="9" s="1"/>
  <c r="I374" i="9"/>
  <c r="I375" i="9" s="1"/>
  <c r="S471" i="9"/>
  <c r="S472" i="9" s="1"/>
  <c r="Q471" i="9"/>
  <c r="Q472" i="9" s="1"/>
  <c r="R440" i="9"/>
  <c r="R441" i="9" s="1"/>
  <c r="R442" i="9" s="1"/>
  <c r="U471" i="9"/>
  <c r="U472" i="9" s="1"/>
  <c r="G440" i="9"/>
  <c r="G441" i="9" s="1"/>
  <c r="G442" i="9" s="1"/>
  <c r="AA539" i="9"/>
  <c r="AA540" i="9" s="1"/>
  <c r="AA541" i="9" s="1"/>
  <c r="T570" i="9"/>
  <c r="T571" i="9" s="1"/>
  <c r="S374" i="9"/>
  <c r="S375" i="9" s="1"/>
  <c r="R570" i="9"/>
  <c r="R571" i="9" s="1"/>
  <c r="E603" i="9"/>
  <c r="E605" i="9" s="1"/>
  <c r="O471" i="9"/>
  <c r="O472" i="9" s="1"/>
  <c r="F570" i="9"/>
  <c r="F571" i="9" s="1"/>
  <c r="X374" i="9"/>
  <c r="X375" i="9" s="1"/>
  <c r="Q374" i="9"/>
  <c r="Q375" i="9" s="1"/>
  <c r="K471" i="9"/>
  <c r="K472" i="9" s="1"/>
  <c r="I471" i="9"/>
  <c r="I472" i="9" s="1"/>
  <c r="AA570" i="9"/>
  <c r="AA571" i="9" s="1"/>
  <c r="X570" i="9"/>
  <c r="X571" i="9" s="1"/>
  <c r="L570" i="9"/>
  <c r="L571" i="9" s="1"/>
  <c r="H570" i="9"/>
  <c r="H571" i="9" s="1"/>
  <c r="E570" i="9"/>
  <c r="E571" i="9" s="1"/>
  <c r="W471" i="9"/>
  <c r="W472" i="9" s="1"/>
  <c r="L374" i="9"/>
  <c r="L375" i="9" s="1"/>
  <c r="F374" i="9"/>
  <c r="F375" i="9" s="1"/>
  <c r="Y374" i="9"/>
  <c r="Y375" i="9" s="1"/>
  <c r="P471" i="9"/>
  <c r="P472" i="9" s="1"/>
  <c r="S570" i="9"/>
  <c r="S571" i="9" s="1"/>
  <c r="P570" i="9"/>
  <c r="P571" i="9" s="1"/>
  <c r="M471" i="9"/>
  <c r="M472" i="9" s="1"/>
  <c r="T374" i="9"/>
  <c r="T375" i="9" s="1"/>
  <c r="N374" i="9"/>
  <c r="N375" i="9" s="1"/>
  <c r="R374" i="9"/>
  <c r="R375" i="9" s="1"/>
  <c r="T440" i="9"/>
  <c r="T441" i="9" s="1"/>
  <c r="T442" i="9" s="1"/>
  <c r="X471" i="9"/>
  <c r="X472" i="9" s="1"/>
  <c r="W440" i="9"/>
  <c r="W441" i="9" s="1"/>
  <c r="W442" i="9" s="1"/>
  <c r="V570" i="9"/>
  <c r="V571" i="9" s="1"/>
  <c r="K570" i="9"/>
  <c r="K571" i="9" s="1"/>
  <c r="Y570" i="9"/>
  <c r="Y571" i="9" s="1"/>
  <c r="H539" i="9"/>
  <c r="H540" i="9" s="1"/>
  <c r="H541" i="9" s="1"/>
  <c r="O570" i="9"/>
  <c r="O571" i="9" s="1"/>
  <c r="N471" i="9"/>
  <c r="N472" i="9" s="1"/>
  <c r="E471" i="9"/>
  <c r="E472" i="9" s="1"/>
  <c r="R471" i="9"/>
  <c r="R472" i="9" s="1"/>
  <c r="M374" i="9"/>
  <c r="M375" i="9" s="1"/>
  <c r="V374" i="9"/>
  <c r="V375" i="9" s="1"/>
  <c r="Z374" i="9"/>
  <c r="Z375" i="9" s="1"/>
  <c r="H471" i="9"/>
  <c r="H472" i="9" s="1"/>
  <c r="N570" i="9"/>
  <c r="N571" i="9" s="1"/>
  <c r="Q570" i="9"/>
  <c r="Q571" i="9" s="1"/>
  <c r="E374" i="9"/>
  <c r="E375" i="9" s="1"/>
  <c r="U374" i="9"/>
  <c r="U375" i="9" s="1"/>
  <c r="G374" i="9"/>
  <c r="G375" i="9" s="1"/>
  <c r="J374" i="9"/>
  <c r="J375" i="9" s="1"/>
  <c r="F440" i="9"/>
  <c r="F441" i="9" s="1"/>
  <c r="F442" i="9" s="1"/>
  <c r="I570" i="9"/>
  <c r="I571" i="9" s="1"/>
  <c r="K374" i="9"/>
  <c r="K375" i="9" s="1"/>
  <c r="J471" i="9"/>
  <c r="J472" i="9" s="1"/>
  <c r="M570" i="9"/>
  <c r="M571" i="9" s="1"/>
  <c r="E98" i="4"/>
  <c r="G107" i="4"/>
  <c r="H96" i="4"/>
  <c r="I440" i="9"/>
  <c r="I441" i="9" s="1"/>
  <c r="I442" i="9" s="1"/>
  <c r="H440" i="9"/>
  <c r="H441" i="9" s="1"/>
  <c r="H442" i="9" s="1"/>
  <c r="P440" i="9"/>
  <c r="P441" i="9" s="1"/>
  <c r="P442" i="9" s="1"/>
  <c r="Z539" i="9"/>
  <c r="Z540" i="9" s="1"/>
  <c r="Z541" i="9" s="1"/>
  <c r="O539" i="9"/>
  <c r="O540" i="9" s="1"/>
  <c r="O541" i="9" s="1"/>
  <c r="E506" i="9"/>
  <c r="E507" i="9" s="1"/>
  <c r="X440" i="9"/>
  <c r="X441" i="9" s="1"/>
  <c r="X442" i="9" s="1"/>
  <c r="W539" i="9"/>
  <c r="W540" i="9" s="1"/>
  <c r="W541" i="9" s="1"/>
  <c r="J440" i="9"/>
  <c r="J441" i="9" s="1"/>
  <c r="J442" i="9" s="1"/>
  <c r="K440" i="9"/>
  <c r="K441" i="9" s="1"/>
  <c r="K442" i="9" s="1"/>
  <c r="Y539" i="9"/>
  <c r="Y540" i="9" s="1"/>
  <c r="Y541" i="9" s="1"/>
  <c r="J539" i="9"/>
  <c r="J540" i="9" s="1"/>
  <c r="J541" i="9" s="1"/>
  <c r="R539" i="9"/>
  <c r="R540" i="9" s="1"/>
  <c r="R541" i="9" s="1"/>
  <c r="V539" i="9"/>
  <c r="V540" i="9" s="1"/>
  <c r="V541" i="9" s="1"/>
  <c r="Q539" i="9"/>
  <c r="Q540" i="9" s="1"/>
  <c r="Q541" i="9" s="1"/>
  <c r="AA440" i="9"/>
  <c r="AA441" i="9" s="1"/>
  <c r="AA442" i="9" s="1"/>
  <c r="S440" i="9"/>
  <c r="S441" i="9" s="1"/>
  <c r="S442" i="9" s="1"/>
  <c r="U539" i="9"/>
  <c r="U540" i="9" s="1"/>
  <c r="U541" i="9" s="1"/>
  <c r="M440" i="9"/>
  <c r="M441" i="9" s="1"/>
  <c r="M442" i="9" s="1"/>
  <c r="Q440" i="9"/>
  <c r="Q441" i="9" s="1"/>
  <c r="Q442" i="9" s="1"/>
  <c r="X539" i="9"/>
  <c r="X540" i="9" s="1"/>
  <c r="X541" i="9" s="1"/>
  <c r="S539" i="9"/>
  <c r="S540" i="9" s="1"/>
  <c r="S541" i="9" s="1"/>
  <c r="N539" i="9"/>
  <c r="N540" i="9" s="1"/>
  <c r="N541" i="9" s="1"/>
  <c r="Z440" i="9"/>
  <c r="Z441" i="9" s="1"/>
  <c r="Z442" i="9" s="1"/>
  <c r="M539" i="9"/>
  <c r="M540" i="9" s="1"/>
  <c r="M541" i="9" s="1"/>
  <c r="K539" i="9"/>
  <c r="K540" i="9" s="1"/>
  <c r="K541" i="9" s="1"/>
  <c r="G58" i="9"/>
  <c r="F573" i="9"/>
  <c r="N440" i="9"/>
  <c r="N441" i="9" s="1"/>
  <c r="N442" i="9" s="1"/>
  <c r="V440" i="9"/>
  <c r="V441" i="9" s="1"/>
  <c r="V442" i="9" s="1"/>
  <c r="U440" i="9"/>
  <c r="U441" i="9" s="1"/>
  <c r="U442" i="9" s="1"/>
  <c r="Y440" i="9"/>
  <c r="Y441" i="9" s="1"/>
  <c r="Y442" i="9" s="1"/>
  <c r="O440" i="9"/>
  <c r="O441" i="9" s="1"/>
  <c r="O442" i="9" s="1"/>
  <c r="G52" i="9"/>
  <c r="E440" i="9"/>
  <c r="E441" i="9" s="1"/>
  <c r="E442" i="9" s="1"/>
  <c r="E343" i="9"/>
  <c r="E344" i="9" s="1"/>
  <c r="E345" i="9" s="1"/>
  <c r="AR343" i="9"/>
  <c r="AR344" i="9" s="1"/>
  <c r="AR345" i="9" s="1"/>
  <c r="AS343" i="9"/>
  <c r="AS344" i="9" s="1"/>
  <c r="AS345" i="9" s="1"/>
  <c r="AE343" i="9"/>
  <c r="AE344" i="9" s="1"/>
  <c r="AE345" i="9" s="1"/>
  <c r="Q343" i="9"/>
  <c r="Q344" i="9" s="1"/>
  <c r="Q345" i="9" s="1"/>
  <c r="AC343" i="9"/>
  <c r="AC344" i="9" s="1"/>
  <c r="AC345" i="9" s="1"/>
  <c r="AJ343" i="9"/>
  <c r="AJ344" i="9" s="1"/>
  <c r="AJ345" i="9" s="1"/>
  <c r="G343" i="9"/>
  <c r="G344" i="9" s="1"/>
  <c r="G345" i="9" s="1"/>
  <c r="AL343" i="9"/>
  <c r="AL344" i="9" s="1"/>
  <c r="AL345" i="9" s="1"/>
  <c r="H343" i="9"/>
  <c r="H344" i="9" s="1"/>
  <c r="H345" i="9" s="1"/>
  <c r="U343" i="9"/>
  <c r="U344" i="9" s="1"/>
  <c r="U345" i="9" s="1"/>
  <c r="O343" i="9"/>
  <c r="O344" i="9" s="1"/>
  <c r="O345" i="9" s="1"/>
  <c r="V343" i="9"/>
  <c r="V344" i="9" s="1"/>
  <c r="V345" i="9" s="1"/>
  <c r="AD343" i="9"/>
  <c r="AD344" i="9" s="1"/>
  <c r="AD345" i="9" s="1"/>
  <c r="AF343" i="9"/>
  <c r="AF344" i="9" s="1"/>
  <c r="AF345" i="9" s="1"/>
  <c r="X343" i="9"/>
  <c r="X344" i="9" s="1"/>
  <c r="X345" i="9" s="1"/>
  <c r="N343" i="9"/>
  <c r="N344" i="9" s="1"/>
  <c r="N345" i="9" s="1"/>
  <c r="AM343" i="9"/>
  <c r="AM344" i="9" s="1"/>
  <c r="AM345" i="9" s="1"/>
  <c r="Y343" i="9"/>
  <c r="Y344" i="9" s="1"/>
  <c r="Y345" i="9" s="1"/>
  <c r="AN343" i="9"/>
  <c r="AN344" i="9" s="1"/>
  <c r="AN345" i="9" s="1"/>
  <c r="Z343" i="9"/>
  <c r="Z344" i="9" s="1"/>
  <c r="Z345" i="9" s="1"/>
  <c r="T343" i="9"/>
  <c r="T344" i="9" s="1"/>
  <c r="T345" i="9" s="1"/>
  <c r="M343" i="9"/>
  <c r="M344" i="9" s="1"/>
  <c r="M345" i="9" s="1"/>
  <c r="AK343" i="9"/>
  <c r="AK344" i="9" s="1"/>
  <c r="AK345" i="9" s="1"/>
  <c r="F343" i="9"/>
  <c r="F344" i="9" s="1"/>
  <c r="F345" i="9" s="1"/>
  <c r="I343" i="9"/>
  <c r="I344" i="9" s="1"/>
  <c r="I345" i="9" s="1"/>
  <c r="AH343" i="9"/>
  <c r="AH344" i="9" s="1"/>
  <c r="AH345" i="9" s="1"/>
  <c r="W343" i="9"/>
  <c r="W344" i="9" s="1"/>
  <c r="W345" i="9" s="1"/>
  <c r="AG343" i="9"/>
  <c r="AG344" i="9" s="1"/>
  <c r="AG345" i="9" s="1"/>
  <c r="AA343" i="9"/>
  <c r="AA344" i="9" s="1"/>
  <c r="AA345" i="9" s="1"/>
  <c r="AB343" i="9"/>
  <c r="AB344" i="9" s="1"/>
  <c r="AB345" i="9" s="1"/>
  <c r="S343" i="9"/>
  <c r="S344" i="9" s="1"/>
  <c r="S345" i="9" s="1"/>
  <c r="AI343" i="9"/>
  <c r="AI344" i="9" s="1"/>
  <c r="AI345" i="9" s="1"/>
  <c r="P343" i="9"/>
  <c r="P344" i="9" s="1"/>
  <c r="P345" i="9" s="1"/>
  <c r="AP343" i="9"/>
  <c r="AP344" i="9" s="1"/>
  <c r="AP345" i="9" s="1"/>
  <c r="AQ343" i="9"/>
  <c r="AQ344" i="9" s="1"/>
  <c r="AQ345" i="9" s="1"/>
  <c r="L343" i="9"/>
  <c r="L344" i="9" s="1"/>
  <c r="L345" i="9" s="1"/>
  <c r="K343" i="9"/>
  <c r="K344" i="9" s="1"/>
  <c r="K345" i="9" s="1"/>
  <c r="R343" i="9"/>
  <c r="R344" i="9" s="1"/>
  <c r="R345" i="9" s="1"/>
  <c r="J343" i="9"/>
  <c r="J344" i="9" s="1"/>
  <c r="J345" i="9" s="1"/>
  <c r="AO343" i="9"/>
  <c r="AO344" i="9" s="1"/>
  <c r="AO345" i="9" s="1"/>
  <c r="Z274" i="9"/>
  <c r="P244" i="9"/>
  <c r="R244" i="9"/>
  <c r="Q244" i="9"/>
  <c r="Z244" i="9"/>
  <c r="X244" i="9"/>
  <c r="T244" i="9"/>
  <c r="U244" i="9"/>
  <c r="S244" i="9"/>
  <c r="Y244" i="9"/>
  <c r="W244" i="9"/>
  <c r="V244" i="9"/>
  <c r="AA244" i="9"/>
  <c r="P245" i="9"/>
  <c r="Q245" i="9" s="1"/>
  <c r="R245" i="9" s="1"/>
  <c r="S245" i="9" s="1"/>
  <c r="T245" i="9" s="1"/>
  <c r="U245" i="9" s="1"/>
  <c r="V245" i="9" s="1"/>
  <c r="W245" i="9" s="1"/>
  <c r="X245" i="9" s="1"/>
  <c r="Y245" i="9" s="1"/>
  <c r="Z245" i="9" s="1"/>
  <c r="AA245" i="9" s="1"/>
  <c r="D153" i="9"/>
  <c r="E153" i="9"/>
  <c r="F153" i="9"/>
  <c r="G153" i="9"/>
  <c r="H153" i="9"/>
  <c r="I182" i="9"/>
  <c r="J182" i="9"/>
  <c r="K182" i="9"/>
  <c r="L182" i="9"/>
  <c r="M182" i="9"/>
  <c r="N182" i="9"/>
  <c r="O182" i="9"/>
  <c r="P182" i="9"/>
  <c r="Q182" i="9"/>
  <c r="R182" i="9"/>
  <c r="S182" i="9"/>
  <c r="T182" i="9"/>
  <c r="U182" i="9"/>
  <c r="V182" i="9"/>
  <c r="W182" i="9"/>
  <c r="X182" i="9"/>
  <c r="Y182" i="9"/>
  <c r="Z182" i="9"/>
  <c r="AA182" i="9"/>
  <c r="AA92" i="9"/>
  <c r="AA91" i="9"/>
  <c r="Z91" i="9"/>
  <c r="Z90" i="9"/>
  <c r="AA90" i="9"/>
  <c r="Y90" i="9"/>
  <c r="Y89" i="9"/>
  <c r="Z89" i="9"/>
  <c r="AA89" i="9"/>
  <c r="X89" i="9"/>
  <c r="X88" i="9"/>
  <c r="Y88" i="9"/>
  <c r="Z88" i="9"/>
  <c r="AA88" i="9"/>
  <c r="X87" i="9"/>
  <c r="Y87" i="9"/>
  <c r="Z87" i="9"/>
  <c r="AA87" i="9"/>
  <c r="X86" i="9"/>
  <c r="Y86" i="9"/>
  <c r="Z86" i="9"/>
  <c r="AA86" i="9"/>
  <c r="X85" i="9"/>
  <c r="Y85" i="9"/>
  <c r="Z85" i="9"/>
  <c r="AA85" i="9"/>
  <c r="X84" i="9"/>
  <c r="Y84" i="9"/>
  <c r="Z84" i="9"/>
  <c r="AA84" i="9"/>
  <c r="X83" i="9"/>
  <c r="Y83" i="9"/>
  <c r="Z83" i="9"/>
  <c r="AA83" i="9"/>
  <c r="X82" i="9"/>
  <c r="Y82" i="9"/>
  <c r="Z82" i="9"/>
  <c r="AA82" i="9"/>
  <c r="X81" i="9"/>
  <c r="Y81" i="9"/>
  <c r="Z81" i="9"/>
  <c r="AA81" i="9"/>
  <c r="X80" i="9"/>
  <c r="Y80" i="9"/>
  <c r="Z80" i="9"/>
  <c r="AA80" i="9"/>
  <c r="X79" i="9"/>
  <c r="Y79" i="9"/>
  <c r="Z79" i="9"/>
  <c r="AA79" i="9"/>
  <c r="C89" i="9"/>
  <c r="C90" i="9"/>
  <c r="C91" i="9"/>
  <c r="C92" i="9"/>
  <c r="C79" i="9"/>
  <c r="O79" i="9" s="1"/>
  <c r="C80" i="9"/>
  <c r="U80" i="9" s="1"/>
  <c r="C81" i="9"/>
  <c r="R81" i="9" s="1"/>
  <c r="C82" i="9"/>
  <c r="V82" i="9" s="1"/>
  <c r="C83" i="9"/>
  <c r="S83" i="9" s="1"/>
  <c r="C84" i="9"/>
  <c r="T84" i="9" s="1"/>
  <c r="C85" i="9"/>
  <c r="T85" i="9" s="1"/>
  <c r="C86" i="9"/>
  <c r="U86" i="9" s="1"/>
  <c r="C87" i="9"/>
  <c r="V87" i="9" s="1"/>
  <c r="C88" i="9"/>
  <c r="W88" i="9" s="1"/>
  <c r="E604" i="9" l="1"/>
  <c r="H101" i="4"/>
  <c r="H97" i="4"/>
  <c r="E508" i="9"/>
  <c r="E100" i="4"/>
  <c r="E102" i="4"/>
  <c r="H107" i="4"/>
  <c r="I96" i="4"/>
  <c r="G573" i="9"/>
  <c r="H58" i="9"/>
  <c r="H52" i="9"/>
  <c r="V79" i="9"/>
  <c r="S79" i="9"/>
  <c r="U82" i="9"/>
  <c r="R82" i="9"/>
  <c r="V81" i="9"/>
  <c r="W87" i="9"/>
  <c r="Q81" i="9"/>
  <c r="W84" i="9"/>
  <c r="U83" i="9"/>
  <c r="O80" i="9"/>
  <c r="U79" i="9"/>
  <c r="S80" i="9"/>
  <c r="Q82" i="9"/>
  <c r="T82" i="9"/>
  <c r="W83" i="9"/>
  <c r="T80" i="9"/>
  <c r="N79" i="9"/>
  <c r="T79" i="9"/>
  <c r="R80" i="9"/>
  <c r="W81" i="9"/>
  <c r="S82" i="9"/>
  <c r="V83" i="9"/>
  <c r="Q80" i="9"/>
  <c r="R79" i="9"/>
  <c r="P80" i="9"/>
  <c r="U81" i="9"/>
  <c r="R83" i="9"/>
  <c r="T83" i="9"/>
  <c r="V84" i="9"/>
  <c r="W85" i="9"/>
  <c r="W86" i="9"/>
  <c r="Q79" i="9"/>
  <c r="W80" i="9"/>
  <c r="P81" i="9"/>
  <c r="T81" i="9"/>
  <c r="U84" i="9"/>
  <c r="V85" i="9"/>
  <c r="V86" i="9"/>
  <c r="P79" i="9"/>
  <c r="V80" i="9"/>
  <c r="S81" i="9"/>
  <c r="W82" i="9"/>
  <c r="S84" i="9"/>
  <c r="U85" i="9"/>
  <c r="W79" i="9"/>
  <c r="Y287" i="9"/>
  <c r="Z287" i="9"/>
  <c r="AA287" i="9"/>
  <c r="E280" i="9"/>
  <c r="F280" i="9"/>
  <c r="G280" i="9"/>
  <c r="H280" i="9"/>
  <c r="I280" i="9"/>
  <c r="J280" i="9"/>
  <c r="K280" i="9"/>
  <c r="L280" i="9"/>
  <c r="M280" i="9"/>
  <c r="N280" i="9"/>
  <c r="O280" i="9"/>
  <c r="P280" i="9"/>
  <c r="Q280" i="9"/>
  <c r="R280" i="9"/>
  <c r="S280" i="9"/>
  <c r="T280" i="9"/>
  <c r="U280" i="9"/>
  <c r="V280" i="9"/>
  <c r="W280" i="9"/>
  <c r="X280" i="9"/>
  <c r="Y280" i="9"/>
  <c r="Z280" i="9"/>
  <c r="AA280" i="9"/>
  <c r="AA282" i="9" s="1"/>
  <c r="C280" i="9"/>
  <c r="D131" i="9"/>
  <c r="A312" i="9"/>
  <c r="A311" i="9"/>
  <c r="A310" i="9"/>
  <c r="X69" i="9"/>
  <c r="Y69" i="9"/>
  <c r="Z69" i="9"/>
  <c r="AA69" i="9"/>
  <c r="Z71" i="9"/>
  <c r="AA71" i="9"/>
  <c r="AA72" i="9"/>
  <c r="X98" i="9"/>
  <c r="X99" i="9" s="1"/>
  <c r="Y98" i="9"/>
  <c r="Y99" i="9" s="1"/>
  <c r="Z98" i="9"/>
  <c r="Z99" i="9" s="1"/>
  <c r="AA98" i="9"/>
  <c r="AA99" i="9" s="1"/>
  <c r="X160" i="9"/>
  <c r="Y163" i="9" s="1"/>
  <c r="Y160" i="9"/>
  <c r="Z163" i="9" s="1"/>
  <c r="Z160" i="9"/>
  <c r="AA163" i="9" s="1"/>
  <c r="AA160" i="9"/>
  <c r="X162" i="9"/>
  <c r="Y162" i="9"/>
  <c r="Z162" i="9"/>
  <c r="AA162" i="9"/>
  <c r="AA76" i="25"/>
  <c r="Z76" i="25"/>
  <c r="Y76" i="25"/>
  <c r="X76" i="25"/>
  <c r="W76" i="25"/>
  <c r="V76" i="25"/>
  <c r="U76" i="25"/>
  <c r="T76" i="25"/>
  <c r="S76" i="25"/>
  <c r="R76" i="25"/>
  <c r="Q76" i="25"/>
  <c r="P76" i="25"/>
  <c r="O76" i="25"/>
  <c r="N76" i="25"/>
  <c r="M76" i="25"/>
  <c r="L76" i="25"/>
  <c r="K76" i="25"/>
  <c r="J76" i="25"/>
  <c r="I76" i="25"/>
  <c r="H76" i="25"/>
  <c r="G76" i="25"/>
  <c r="F76" i="25"/>
  <c r="E76" i="25"/>
  <c r="D76" i="25"/>
  <c r="AA74" i="25"/>
  <c r="Z74" i="25"/>
  <c r="Y74" i="25"/>
  <c r="X74" i="25"/>
  <c r="W74" i="25"/>
  <c r="V74" i="25"/>
  <c r="U74" i="25"/>
  <c r="T74" i="25"/>
  <c r="S74" i="25"/>
  <c r="R74" i="25"/>
  <c r="Q74" i="25"/>
  <c r="P74" i="25"/>
  <c r="O74" i="25"/>
  <c r="N74" i="25"/>
  <c r="M74" i="25"/>
  <c r="L74" i="25"/>
  <c r="K74" i="25"/>
  <c r="J74" i="25"/>
  <c r="I74" i="25"/>
  <c r="H74" i="25"/>
  <c r="G74" i="25"/>
  <c r="F74" i="25"/>
  <c r="E74" i="25"/>
  <c r="D74" i="25"/>
  <c r="D72" i="25"/>
  <c r="E72" i="25" s="1"/>
  <c r="F72" i="25" s="1"/>
  <c r="G72" i="25" s="1"/>
  <c r="H72" i="25" s="1"/>
  <c r="I72" i="25" s="1"/>
  <c r="J72" i="25" s="1"/>
  <c r="K72" i="25" s="1"/>
  <c r="L72" i="25" s="1"/>
  <c r="M72" i="25" s="1"/>
  <c r="N72" i="25" s="1"/>
  <c r="O72" i="25" s="1"/>
  <c r="P72" i="25" s="1"/>
  <c r="Q72" i="25" s="1"/>
  <c r="R72" i="25" s="1"/>
  <c r="S72" i="25" s="1"/>
  <c r="T72" i="25" s="1"/>
  <c r="U72" i="25" s="1"/>
  <c r="V72" i="25" s="1"/>
  <c r="W72" i="25" s="1"/>
  <c r="X72" i="25" s="1"/>
  <c r="Y72" i="25" s="1"/>
  <c r="Z72" i="25" s="1"/>
  <c r="AA72" i="25" s="1"/>
  <c r="AA69" i="25"/>
  <c r="Z69" i="25"/>
  <c r="Y69" i="25"/>
  <c r="X69" i="25"/>
  <c r="W69" i="25"/>
  <c r="V69" i="25"/>
  <c r="U69" i="25"/>
  <c r="T69" i="25"/>
  <c r="S69" i="25"/>
  <c r="R69" i="25"/>
  <c r="Q69" i="25"/>
  <c r="P69" i="25"/>
  <c r="O69" i="25"/>
  <c r="N69" i="25"/>
  <c r="M69" i="25"/>
  <c r="L69" i="25"/>
  <c r="K69" i="25"/>
  <c r="J69" i="25"/>
  <c r="I69" i="25"/>
  <c r="H69" i="25"/>
  <c r="G69" i="25"/>
  <c r="F69" i="25"/>
  <c r="E69" i="25"/>
  <c r="D69" i="25"/>
  <c r="AA67" i="25"/>
  <c r="Z67" i="25"/>
  <c r="Y67" i="25"/>
  <c r="X67" i="25"/>
  <c r="W67" i="25"/>
  <c r="V67" i="25"/>
  <c r="U67" i="25"/>
  <c r="T67" i="25"/>
  <c r="S67" i="25"/>
  <c r="R67" i="25"/>
  <c r="Q67" i="25"/>
  <c r="P67" i="25"/>
  <c r="O67" i="25"/>
  <c r="N67" i="25"/>
  <c r="M67" i="25"/>
  <c r="L67" i="25"/>
  <c r="K67" i="25"/>
  <c r="J67" i="25"/>
  <c r="I67" i="25"/>
  <c r="H67" i="25"/>
  <c r="G67" i="25"/>
  <c r="F67" i="25"/>
  <c r="E67" i="25"/>
  <c r="D67" i="25"/>
  <c r="D65" i="25"/>
  <c r="E65" i="25" s="1"/>
  <c r="F65" i="25" s="1"/>
  <c r="G65" i="25" s="1"/>
  <c r="H65" i="25" s="1"/>
  <c r="I65" i="25" s="1"/>
  <c r="J65" i="25" s="1"/>
  <c r="K65" i="25" s="1"/>
  <c r="L65" i="25" s="1"/>
  <c r="M65" i="25" s="1"/>
  <c r="N65" i="25" s="1"/>
  <c r="O65" i="25" s="1"/>
  <c r="P65" i="25" s="1"/>
  <c r="Q65" i="25" s="1"/>
  <c r="R65" i="25" s="1"/>
  <c r="S65" i="25" s="1"/>
  <c r="T65" i="25" s="1"/>
  <c r="U65" i="25" s="1"/>
  <c r="V65" i="25" s="1"/>
  <c r="W65" i="25" s="1"/>
  <c r="X65" i="25" s="1"/>
  <c r="Y65" i="25" s="1"/>
  <c r="Z65" i="25" s="1"/>
  <c r="AA65" i="25" s="1"/>
  <c r="AA62" i="25"/>
  <c r="Z62" i="25"/>
  <c r="Y62" i="25"/>
  <c r="X62" i="25"/>
  <c r="W62" i="25"/>
  <c r="V62" i="25"/>
  <c r="U62" i="25"/>
  <c r="T62" i="25"/>
  <c r="S62" i="25"/>
  <c r="R62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AA60" i="25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D58" i="25"/>
  <c r="E58" i="25" s="1"/>
  <c r="F58" i="25" s="1"/>
  <c r="G58" i="25" s="1"/>
  <c r="H58" i="25" s="1"/>
  <c r="I58" i="25" s="1"/>
  <c r="J58" i="25" s="1"/>
  <c r="K58" i="25" s="1"/>
  <c r="L58" i="25" s="1"/>
  <c r="M58" i="25" s="1"/>
  <c r="N58" i="25" s="1"/>
  <c r="O58" i="25" s="1"/>
  <c r="P58" i="25" s="1"/>
  <c r="Q58" i="25" s="1"/>
  <c r="R58" i="25" s="1"/>
  <c r="S58" i="25" s="1"/>
  <c r="T58" i="25" s="1"/>
  <c r="U58" i="25" s="1"/>
  <c r="V58" i="25" s="1"/>
  <c r="W58" i="25" s="1"/>
  <c r="X58" i="25" s="1"/>
  <c r="Y58" i="25" s="1"/>
  <c r="Z58" i="25" s="1"/>
  <c r="AA58" i="25" s="1"/>
  <c r="AA55" i="25"/>
  <c r="Z55" i="25"/>
  <c r="Y55" i="25"/>
  <c r="X55" i="25"/>
  <c r="W55" i="25"/>
  <c r="V55" i="25"/>
  <c r="U55" i="25"/>
  <c r="T55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D51" i="25"/>
  <c r="E51" i="25" s="1"/>
  <c r="F51" i="25" s="1"/>
  <c r="G51" i="25" s="1"/>
  <c r="H51" i="25" s="1"/>
  <c r="I51" i="25" s="1"/>
  <c r="J51" i="25" s="1"/>
  <c r="K51" i="25" s="1"/>
  <c r="L51" i="25" s="1"/>
  <c r="M51" i="25" s="1"/>
  <c r="N51" i="25" s="1"/>
  <c r="O51" i="25" s="1"/>
  <c r="P51" i="25" s="1"/>
  <c r="Q51" i="25" s="1"/>
  <c r="R51" i="25" s="1"/>
  <c r="S51" i="25" s="1"/>
  <c r="T51" i="25" s="1"/>
  <c r="U51" i="25" s="1"/>
  <c r="V51" i="25" s="1"/>
  <c r="W51" i="25" s="1"/>
  <c r="X51" i="25" s="1"/>
  <c r="Y51" i="25" s="1"/>
  <c r="Z51" i="25" s="1"/>
  <c r="AA51" i="25" s="1"/>
  <c r="AA37" i="25"/>
  <c r="Z37" i="25"/>
  <c r="Y37" i="25"/>
  <c r="X37" i="25"/>
  <c r="W37" i="25"/>
  <c r="V37" i="25"/>
  <c r="U37" i="25"/>
  <c r="T37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D35" i="25"/>
  <c r="E35" i="25" s="1"/>
  <c r="F35" i="25" s="1"/>
  <c r="G35" i="25" s="1"/>
  <c r="H35" i="25" s="1"/>
  <c r="I35" i="25" s="1"/>
  <c r="J35" i="25" s="1"/>
  <c r="K35" i="25" s="1"/>
  <c r="L35" i="25" s="1"/>
  <c r="M35" i="25" s="1"/>
  <c r="N35" i="25" s="1"/>
  <c r="O35" i="25" s="1"/>
  <c r="P35" i="25" s="1"/>
  <c r="Q35" i="25" s="1"/>
  <c r="R35" i="25" s="1"/>
  <c r="S35" i="25" s="1"/>
  <c r="T35" i="25" s="1"/>
  <c r="U35" i="25" s="1"/>
  <c r="V35" i="25" s="1"/>
  <c r="W35" i="25" s="1"/>
  <c r="X35" i="25" s="1"/>
  <c r="Y35" i="25" s="1"/>
  <c r="Z35" i="25" s="1"/>
  <c r="AA35" i="25" s="1"/>
  <c r="AA30" i="25"/>
  <c r="Z30" i="25"/>
  <c r="Y30" i="25"/>
  <c r="X30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D28" i="25"/>
  <c r="E28" i="25" s="1"/>
  <c r="F28" i="25" s="1"/>
  <c r="G28" i="25" s="1"/>
  <c r="H28" i="25" s="1"/>
  <c r="I28" i="25" s="1"/>
  <c r="J28" i="25" s="1"/>
  <c r="K28" i="25" s="1"/>
  <c r="L28" i="25" s="1"/>
  <c r="M28" i="25" s="1"/>
  <c r="N28" i="25" s="1"/>
  <c r="O28" i="25" s="1"/>
  <c r="P28" i="25" s="1"/>
  <c r="Q28" i="25" s="1"/>
  <c r="R28" i="25" s="1"/>
  <c r="S28" i="25" s="1"/>
  <c r="T28" i="25" s="1"/>
  <c r="U28" i="25" s="1"/>
  <c r="V28" i="25" s="1"/>
  <c r="W28" i="25" s="1"/>
  <c r="X28" i="25" s="1"/>
  <c r="Y28" i="25" s="1"/>
  <c r="Z28" i="25" s="1"/>
  <c r="AA28" i="25" s="1"/>
  <c r="AA23" i="25"/>
  <c r="Z23" i="25"/>
  <c r="Y23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D21" i="25"/>
  <c r="E21" i="25" s="1"/>
  <c r="F21" i="25" s="1"/>
  <c r="G21" i="25" s="1"/>
  <c r="H21" i="25" s="1"/>
  <c r="I21" i="25" s="1"/>
  <c r="J21" i="25" s="1"/>
  <c r="K21" i="25" s="1"/>
  <c r="L21" i="25" s="1"/>
  <c r="M21" i="25" s="1"/>
  <c r="N21" i="25" s="1"/>
  <c r="O21" i="25" s="1"/>
  <c r="P21" i="25" s="1"/>
  <c r="Q21" i="25" s="1"/>
  <c r="R21" i="25" s="1"/>
  <c r="S21" i="25" s="1"/>
  <c r="T21" i="25" s="1"/>
  <c r="U21" i="25" s="1"/>
  <c r="V21" i="25" s="1"/>
  <c r="W21" i="25" s="1"/>
  <c r="X21" i="25" s="1"/>
  <c r="Y21" i="25" s="1"/>
  <c r="Z21" i="25" s="1"/>
  <c r="AA21" i="25" s="1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D19" i="25" s="1"/>
  <c r="D14" i="25"/>
  <c r="E14" i="25" s="1"/>
  <c r="F14" i="25" s="1"/>
  <c r="G14" i="25" s="1"/>
  <c r="H14" i="25" s="1"/>
  <c r="I14" i="25" s="1"/>
  <c r="J14" i="25" s="1"/>
  <c r="K14" i="25" s="1"/>
  <c r="L14" i="25" s="1"/>
  <c r="M14" i="25" s="1"/>
  <c r="N14" i="25" s="1"/>
  <c r="O14" i="25" s="1"/>
  <c r="P14" i="25" s="1"/>
  <c r="Q14" i="25" s="1"/>
  <c r="R14" i="25" s="1"/>
  <c r="S14" i="25" s="1"/>
  <c r="T14" i="25" s="1"/>
  <c r="U14" i="25" s="1"/>
  <c r="V14" i="25" s="1"/>
  <c r="W14" i="25" s="1"/>
  <c r="X14" i="25" s="1"/>
  <c r="Y14" i="25" s="1"/>
  <c r="Z14" i="25" s="1"/>
  <c r="AA14" i="25" s="1"/>
  <c r="I101" i="4" l="1"/>
  <c r="I97" i="4"/>
  <c r="C42" i="25"/>
  <c r="C9" i="23" s="1"/>
  <c r="I107" i="4"/>
  <c r="J96" i="4"/>
  <c r="Y164" i="9"/>
  <c r="Y165" i="9" s="1"/>
  <c r="C282" i="9"/>
  <c r="D283" i="9" s="1"/>
  <c r="D286" i="9" s="1"/>
  <c r="H573" i="9"/>
  <c r="I58" i="9"/>
  <c r="I52" i="9"/>
  <c r="I283" i="9"/>
  <c r="I291" i="9" s="1"/>
  <c r="H282" i="9"/>
  <c r="W282" i="9"/>
  <c r="X283" i="9"/>
  <c r="O282" i="9"/>
  <c r="P283" i="9"/>
  <c r="P298" i="9" s="1"/>
  <c r="G282" i="9"/>
  <c r="H283" i="9"/>
  <c r="H290" i="9" s="1"/>
  <c r="V282" i="9"/>
  <c r="W283" i="9"/>
  <c r="W305" i="9" s="1"/>
  <c r="T282" i="9"/>
  <c r="U283" i="9"/>
  <c r="U303" i="9" s="1"/>
  <c r="L282" i="9"/>
  <c r="M283" i="9"/>
  <c r="M295" i="9" s="1"/>
  <c r="D282" i="9"/>
  <c r="E283" i="9" s="1"/>
  <c r="E287" i="9" s="1"/>
  <c r="D312" i="9"/>
  <c r="Y283" i="9"/>
  <c r="X282" i="9"/>
  <c r="T283" i="9"/>
  <c r="T302" i="9" s="1"/>
  <c r="S282" i="9"/>
  <c r="L283" i="9"/>
  <c r="L294" i="9" s="1"/>
  <c r="K282" i="9"/>
  <c r="AA283" i="9"/>
  <c r="Z282" i="9"/>
  <c r="S283" i="9"/>
  <c r="S301" i="9" s="1"/>
  <c r="R282" i="9"/>
  <c r="K283" i="9"/>
  <c r="K293" i="9" s="1"/>
  <c r="J282" i="9"/>
  <c r="P282" i="9"/>
  <c r="Q283" i="9"/>
  <c r="Q299" i="9" s="1"/>
  <c r="N282" i="9"/>
  <c r="O283" i="9"/>
  <c r="O297" i="9" s="1"/>
  <c r="F282" i="9"/>
  <c r="G283" i="9"/>
  <c r="G289" i="9" s="1"/>
  <c r="U282" i="9"/>
  <c r="V283" i="9"/>
  <c r="V304" i="9" s="1"/>
  <c r="M282" i="9"/>
  <c r="N283" i="9"/>
  <c r="N296" i="9" s="1"/>
  <c r="E282" i="9"/>
  <c r="F283" i="9" s="1"/>
  <c r="F288" i="9" s="1"/>
  <c r="Z283" i="9"/>
  <c r="Y282" i="9"/>
  <c r="R283" i="9"/>
  <c r="R300" i="9" s="1"/>
  <c r="Q282" i="9"/>
  <c r="J283" i="9"/>
  <c r="J292" i="9" s="1"/>
  <c r="I282" i="9"/>
  <c r="AA164" i="9"/>
  <c r="AA165" i="9" s="1"/>
  <c r="AA121" i="9"/>
  <c r="AA122" i="9"/>
  <c r="AA120" i="9"/>
  <c r="Z121" i="9"/>
  <c r="Z120" i="9"/>
  <c r="Y120" i="9"/>
  <c r="Z164" i="9"/>
  <c r="X164" i="9"/>
  <c r="Z9" i="25"/>
  <c r="AA9" i="25"/>
  <c r="Z46" i="25"/>
  <c r="AA46" i="25"/>
  <c r="Z83" i="25"/>
  <c r="AA83" i="25"/>
  <c r="P9" i="25"/>
  <c r="Q9" i="25"/>
  <c r="R9" i="25"/>
  <c r="S9" i="25"/>
  <c r="T9" i="25"/>
  <c r="U9" i="25"/>
  <c r="V9" i="25"/>
  <c r="W9" i="25"/>
  <c r="X9" i="25"/>
  <c r="Y9" i="25"/>
  <c r="P46" i="25"/>
  <c r="Q46" i="25"/>
  <c r="R46" i="25"/>
  <c r="S46" i="25"/>
  <c r="T46" i="25"/>
  <c r="U46" i="25"/>
  <c r="V46" i="25"/>
  <c r="W46" i="25"/>
  <c r="X46" i="25"/>
  <c r="Y46" i="25"/>
  <c r="P83" i="25"/>
  <c r="Q83" i="25"/>
  <c r="R83" i="25"/>
  <c r="S83" i="25"/>
  <c r="T83" i="25"/>
  <c r="U83" i="25"/>
  <c r="V83" i="25"/>
  <c r="W83" i="25"/>
  <c r="X83" i="25"/>
  <c r="Y83" i="25"/>
  <c r="L9" i="25"/>
  <c r="M9" i="25"/>
  <c r="N9" i="25"/>
  <c r="O9" i="25"/>
  <c r="L46" i="25"/>
  <c r="M46" i="25"/>
  <c r="N46" i="25"/>
  <c r="O46" i="25"/>
  <c r="L83" i="25"/>
  <c r="M83" i="25"/>
  <c r="N83" i="25"/>
  <c r="O83" i="25"/>
  <c r="N95" i="6"/>
  <c r="D95" i="6"/>
  <c r="N93" i="6"/>
  <c r="D93" i="6"/>
  <c r="N91" i="6"/>
  <c r="D91" i="6"/>
  <c r="N88" i="6"/>
  <c r="D88" i="6"/>
  <c r="N86" i="6"/>
  <c r="D86" i="6"/>
  <c r="N84" i="6"/>
  <c r="D84" i="6"/>
  <c r="N81" i="6"/>
  <c r="D81" i="6"/>
  <c r="N79" i="6"/>
  <c r="D79" i="6"/>
  <c r="N77" i="6"/>
  <c r="D77" i="6"/>
  <c r="N74" i="6"/>
  <c r="D74" i="6"/>
  <c r="N72" i="6"/>
  <c r="D72" i="6"/>
  <c r="N70" i="6"/>
  <c r="D70" i="6"/>
  <c r="N67" i="6"/>
  <c r="D67" i="6"/>
  <c r="N65" i="6"/>
  <c r="D65" i="6"/>
  <c r="D63" i="6"/>
  <c r="X41" i="7"/>
  <c r="Y41" i="7"/>
  <c r="Z41" i="7"/>
  <c r="AA41" i="7"/>
  <c r="X44" i="7"/>
  <c r="X63" i="25" s="1"/>
  <c r="Y44" i="7"/>
  <c r="Y63" i="25" s="1"/>
  <c r="Z44" i="7"/>
  <c r="Z63" i="25" s="1"/>
  <c r="AA44" i="7"/>
  <c r="AA63" i="25" s="1"/>
  <c r="X46" i="7"/>
  <c r="Y46" i="7"/>
  <c r="Z46" i="7"/>
  <c r="AA46" i="7"/>
  <c r="X71" i="7"/>
  <c r="Y71" i="7"/>
  <c r="Z71" i="7"/>
  <c r="AA71" i="7"/>
  <c r="X74" i="7"/>
  <c r="X77" i="25" s="1"/>
  <c r="Y74" i="7"/>
  <c r="Y77" i="25" s="1"/>
  <c r="Z74" i="7"/>
  <c r="Z77" i="25" s="1"/>
  <c r="AA74" i="7"/>
  <c r="AA77" i="25" s="1"/>
  <c r="X76" i="7"/>
  <c r="Y76" i="7"/>
  <c r="Z76" i="7"/>
  <c r="AA76" i="7"/>
  <c r="X92" i="7"/>
  <c r="Y92" i="7"/>
  <c r="Z92" i="7"/>
  <c r="AA92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J44" i="7"/>
  <c r="J63" i="25" s="1"/>
  <c r="K44" i="7"/>
  <c r="K63" i="25" s="1"/>
  <c r="L44" i="7"/>
  <c r="L63" i="25" s="1"/>
  <c r="M44" i="7"/>
  <c r="M63" i="25" s="1"/>
  <c r="N44" i="7"/>
  <c r="N63" i="25" s="1"/>
  <c r="O44" i="7"/>
  <c r="O63" i="25" s="1"/>
  <c r="P44" i="7"/>
  <c r="P63" i="25" s="1"/>
  <c r="Q44" i="7"/>
  <c r="Q63" i="25" s="1"/>
  <c r="R44" i="7"/>
  <c r="R63" i="25" s="1"/>
  <c r="S44" i="7"/>
  <c r="S63" i="25" s="1"/>
  <c r="T44" i="7"/>
  <c r="T63" i="25" s="1"/>
  <c r="U44" i="7"/>
  <c r="U63" i="25" s="1"/>
  <c r="V44" i="7"/>
  <c r="V63" i="25" s="1"/>
  <c r="W44" i="7"/>
  <c r="W63" i="25" s="1"/>
  <c r="J46" i="7"/>
  <c r="K46" i="7"/>
  <c r="L46" i="7"/>
  <c r="M46" i="7"/>
  <c r="N46" i="7"/>
  <c r="O46" i="7"/>
  <c r="P46" i="7"/>
  <c r="Q46" i="7"/>
  <c r="R46" i="7"/>
  <c r="S46" i="7"/>
  <c r="T46" i="7"/>
  <c r="U46" i="7"/>
  <c r="V46" i="7"/>
  <c r="W46" i="7"/>
  <c r="J71" i="7"/>
  <c r="K71" i="7"/>
  <c r="L71" i="7"/>
  <c r="M71" i="7"/>
  <c r="N71" i="7"/>
  <c r="O71" i="7"/>
  <c r="P71" i="7"/>
  <c r="Q71" i="7"/>
  <c r="R71" i="7"/>
  <c r="S71" i="7"/>
  <c r="T71" i="7"/>
  <c r="U71" i="7"/>
  <c r="V71" i="7"/>
  <c r="W71" i="7"/>
  <c r="J74" i="7"/>
  <c r="J77" i="25" s="1"/>
  <c r="K74" i="7"/>
  <c r="K77" i="25" s="1"/>
  <c r="L74" i="7"/>
  <c r="L77" i="25" s="1"/>
  <c r="M74" i="7"/>
  <c r="M77" i="25" s="1"/>
  <c r="N74" i="7"/>
  <c r="N77" i="25" s="1"/>
  <c r="O74" i="7"/>
  <c r="O77" i="25" s="1"/>
  <c r="P74" i="7"/>
  <c r="P77" i="25" s="1"/>
  <c r="Q74" i="7"/>
  <c r="Q77" i="25" s="1"/>
  <c r="R74" i="7"/>
  <c r="R77" i="25" s="1"/>
  <c r="S74" i="7"/>
  <c r="S77" i="25" s="1"/>
  <c r="T74" i="7"/>
  <c r="T77" i="25" s="1"/>
  <c r="U74" i="7"/>
  <c r="U77" i="25" s="1"/>
  <c r="V74" i="7"/>
  <c r="V77" i="25" s="1"/>
  <c r="W74" i="7"/>
  <c r="W77" i="25" s="1"/>
  <c r="J76" i="7"/>
  <c r="K76" i="7"/>
  <c r="L76" i="7"/>
  <c r="M76" i="7"/>
  <c r="N76" i="7"/>
  <c r="O76" i="7"/>
  <c r="P76" i="7"/>
  <c r="Q76" i="7"/>
  <c r="R76" i="7"/>
  <c r="S76" i="7"/>
  <c r="T76" i="7"/>
  <c r="U76" i="7"/>
  <c r="V76" i="7"/>
  <c r="W76" i="7"/>
  <c r="J92" i="7"/>
  <c r="K92" i="7"/>
  <c r="L92" i="7"/>
  <c r="M92" i="7"/>
  <c r="N92" i="7"/>
  <c r="O92" i="7"/>
  <c r="P92" i="7"/>
  <c r="Q92" i="7"/>
  <c r="R92" i="7"/>
  <c r="S92" i="7"/>
  <c r="T92" i="7"/>
  <c r="U92" i="7"/>
  <c r="V92" i="7"/>
  <c r="W92" i="7"/>
  <c r="C76" i="7"/>
  <c r="C74" i="7"/>
  <c r="C71" i="7"/>
  <c r="C68" i="7"/>
  <c r="C61" i="7"/>
  <c r="C59" i="7"/>
  <c r="C56" i="7"/>
  <c r="D38" i="7"/>
  <c r="C38" i="7"/>
  <c r="D53" i="7"/>
  <c r="C53" i="7"/>
  <c r="C46" i="7"/>
  <c r="C44" i="7"/>
  <c r="C41" i="7"/>
  <c r="D23" i="7"/>
  <c r="C23" i="7"/>
  <c r="I76" i="7"/>
  <c r="H76" i="7"/>
  <c r="G76" i="7"/>
  <c r="F76" i="7"/>
  <c r="E76" i="7"/>
  <c r="D76" i="7"/>
  <c r="I74" i="7"/>
  <c r="I77" i="25" s="1"/>
  <c r="H74" i="7"/>
  <c r="H77" i="25" s="1"/>
  <c r="G74" i="7"/>
  <c r="G77" i="25" s="1"/>
  <c r="F74" i="7"/>
  <c r="F77" i="25" s="1"/>
  <c r="E74" i="7"/>
  <c r="E77" i="25" s="1"/>
  <c r="D74" i="7"/>
  <c r="D77" i="25" s="1"/>
  <c r="I71" i="7"/>
  <c r="H71" i="7"/>
  <c r="G71" i="7"/>
  <c r="F71" i="7"/>
  <c r="E71" i="7"/>
  <c r="D71" i="7"/>
  <c r="D68" i="7"/>
  <c r="D61" i="7"/>
  <c r="D59" i="7"/>
  <c r="D70" i="25" s="1"/>
  <c r="D56" i="7"/>
  <c r="I46" i="7"/>
  <c r="H46" i="7"/>
  <c r="G46" i="7"/>
  <c r="F46" i="7"/>
  <c r="E46" i="7"/>
  <c r="D46" i="7"/>
  <c r="I44" i="7"/>
  <c r="I63" i="25" s="1"/>
  <c r="H44" i="7"/>
  <c r="H63" i="25" s="1"/>
  <c r="G44" i="7"/>
  <c r="G63" i="25" s="1"/>
  <c r="F44" i="7"/>
  <c r="F63" i="25" s="1"/>
  <c r="E44" i="7"/>
  <c r="E63" i="25" s="1"/>
  <c r="D44" i="7"/>
  <c r="D63" i="25" s="1"/>
  <c r="I41" i="7"/>
  <c r="H41" i="7"/>
  <c r="G41" i="7"/>
  <c r="F41" i="7"/>
  <c r="E41" i="7"/>
  <c r="D41" i="7"/>
  <c r="D59" i="6"/>
  <c r="N63" i="6"/>
  <c r="X8" i="6"/>
  <c r="Y8" i="6"/>
  <c r="Z8" i="6"/>
  <c r="AA8" i="6"/>
  <c r="AB8" i="6"/>
  <c r="X19" i="6"/>
  <c r="Z9" i="22" s="1"/>
  <c r="Y19" i="6"/>
  <c r="AA9" i="22" s="1"/>
  <c r="Z19" i="6"/>
  <c r="AB9" i="22" s="1"/>
  <c r="AA19" i="6"/>
  <c r="AC9" i="22" s="1"/>
  <c r="AB19" i="6"/>
  <c r="AD9" i="22" s="1"/>
  <c r="X30" i="6"/>
  <c r="Z10" i="22" s="1"/>
  <c r="Y30" i="6"/>
  <c r="AA10" i="22" s="1"/>
  <c r="Z30" i="6"/>
  <c r="AB10" i="22" s="1"/>
  <c r="AA30" i="6"/>
  <c r="AC10" i="22" s="1"/>
  <c r="AB30" i="6"/>
  <c r="AD10" i="22" s="1"/>
  <c r="X41" i="6"/>
  <c r="Z11" i="22" s="1"/>
  <c r="Y41" i="6"/>
  <c r="AA11" i="22" s="1"/>
  <c r="Z41" i="6"/>
  <c r="AB11" i="22" s="1"/>
  <c r="AA41" i="6"/>
  <c r="AC11" i="22" s="1"/>
  <c r="AB41" i="6"/>
  <c r="AD11" i="22" s="1"/>
  <c r="X52" i="6"/>
  <c r="Z12" i="22" s="1"/>
  <c r="Y52" i="6"/>
  <c r="AA12" i="22" s="1"/>
  <c r="Z52" i="6"/>
  <c r="AB12" i="22" s="1"/>
  <c r="AA52" i="6"/>
  <c r="AC12" i="22" s="1"/>
  <c r="AB52" i="6"/>
  <c r="AD12" i="22" s="1"/>
  <c r="O8" i="6"/>
  <c r="P8" i="6"/>
  <c r="Q8" i="6"/>
  <c r="R8" i="6"/>
  <c r="S8" i="6"/>
  <c r="T8" i="6"/>
  <c r="U8" i="6"/>
  <c r="V8" i="6"/>
  <c r="W8" i="6"/>
  <c r="O19" i="6"/>
  <c r="Q9" i="22" s="1"/>
  <c r="P19" i="6"/>
  <c r="R9" i="22" s="1"/>
  <c r="Q19" i="6"/>
  <c r="S9" i="22" s="1"/>
  <c r="R19" i="6"/>
  <c r="T9" i="22" s="1"/>
  <c r="S19" i="6"/>
  <c r="U9" i="22" s="1"/>
  <c r="T19" i="6"/>
  <c r="V9" i="22" s="1"/>
  <c r="U19" i="6"/>
  <c r="W9" i="22" s="1"/>
  <c r="V19" i="6"/>
  <c r="X9" i="22" s="1"/>
  <c r="W19" i="6"/>
  <c r="Y9" i="22" s="1"/>
  <c r="O30" i="6"/>
  <c r="Q10" i="22" s="1"/>
  <c r="P30" i="6"/>
  <c r="R10" i="22" s="1"/>
  <c r="Q30" i="6"/>
  <c r="S10" i="22" s="1"/>
  <c r="R30" i="6"/>
  <c r="T10" i="22" s="1"/>
  <c r="S30" i="6"/>
  <c r="U10" i="22" s="1"/>
  <c r="T30" i="6"/>
  <c r="V10" i="22" s="1"/>
  <c r="U30" i="6"/>
  <c r="W10" i="22" s="1"/>
  <c r="V30" i="6"/>
  <c r="X10" i="22" s="1"/>
  <c r="W30" i="6"/>
  <c r="Y10" i="22" s="1"/>
  <c r="O41" i="6"/>
  <c r="Q11" i="22" s="1"/>
  <c r="P41" i="6"/>
  <c r="R11" i="22" s="1"/>
  <c r="Q41" i="6"/>
  <c r="S11" i="22" s="1"/>
  <c r="R41" i="6"/>
  <c r="T11" i="22" s="1"/>
  <c r="S41" i="6"/>
  <c r="U11" i="22" s="1"/>
  <c r="T41" i="6"/>
  <c r="V11" i="22" s="1"/>
  <c r="U41" i="6"/>
  <c r="W11" i="22" s="1"/>
  <c r="V41" i="6"/>
  <c r="X11" i="22" s="1"/>
  <c r="W41" i="6"/>
  <c r="Y11" i="22" s="1"/>
  <c r="O52" i="6"/>
  <c r="Q12" i="22" s="1"/>
  <c r="P52" i="6"/>
  <c r="R12" i="22" s="1"/>
  <c r="Q52" i="6"/>
  <c r="S12" i="22" s="1"/>
  <c r="R52" i="6"/>
  <c r="T12" i="22" s="1"/>
  <c r="S52" i="6"/>
  <c r="U12" i="22" s="1"/>
  <c r="T52" i="6"/>
  <c r="V12" i="22" s="1"/>
  <c r="U52" i="6"/>
  <c r="W12" i="22" s="1"/>
  <c r="V52" i="6"/>
  <c r="X12" i="22" s="1"/>
  <c r="W52" i="6"/>
  <c r="Y12" i="22" s="1"/>
  <c r="K8" i="6"/>
  <c r="L8" i="6"/>
  <c r="M8" i="6"/>
  <c r="N8" i="6"/>
  <c r="K19" i="6"/>
  <c r="M9" i="22" s="1"/>
  <c r="L19" i="6"/>
  <c r="N9" i="22" s="1"/>
  <c r="M19" i="6"/>
  <c r="O9" i="22" s="1"/>
  <c r="N19" i="6"/>
  <c r="P9" i="22" s="1"/>
  <c r="K30" i="6"/>
  <c r="M10" i="22" s="1"/>
  <c r="L30" i="6"/>
  <c r="N10" i="22" s="1"/>
  <c r="M30" i="6"/>
  <c r="O10" i="22" s="1"/>
  <c r="N30" i="6"/>
  <c r="P10" i="22" s="1"/>
  <c r="K41" i="6"/>
  <c r="M11" i="22" s="1"/>
  <c r="L41" i="6"/>
  <c r="N11" i="22" s="1"/>
  <c r="M41" i="6"/>
  <c r="O11" i="22" s="1"/>
  <c r="N41" i="6"/>
  <c r="P11" i="22" s="1"/>
  <c r="K52" i="6"/>
  <c r="M12" i="22" s="1"/>
  <c r="L52" i="6"/>
  <c r="N12" i="22" s="1"/>
  <c r="M52" i="6"/>
  <c r="O12" i="22" s="1"/>
  <c r="N52" i="6"/>
  <c r="P12" i="22" s="1"/>
  <c r="E52" i="6"/>
  <c r="G12" i="22" s="1"/>
  <c r="F52" i="6"/>
  <c r="H12" i="22" s="1"/>
  <c r="G52" i="6"/>
  <c r="I12" i="22" s="1"/>
  <c r="H52" i="6"/>
  <c r="J12" i="22" s="1"/>
  <c r="I52" i="6"/>
  <c r="K12" i="22" s="1"/>
  <c r="J52" i="6"/>
  <c r="L12" i="22" s="1"/>
  <c r="D52" i="6"/>
  <c r="E56" i="6"/>
  <c r="D56" i="6"/>
  <c r="E45" i="6"/>
  <c r="D45" i="6"/>
  <c r="E41" i="6"/>
  <c r="G11" i="22" s="1"/>
  <c r="F41" i="6"/>
  <c r="H11" i="22" s="1"/>
  <c r="G41" i="6"/>
  <c r="I11" i="22" s="1"/>
  <c r="H41" i="6"/>
  <c r="J11" i="22" s="1"/>
  <c r="I41" i="6"/>
  <c r="K11" i="22" s="1"/>
  <c r="J41" i="6"/>
  <c r="L11" i="22" s="1"/>
  <c r="D41" i="6"/>
  <c r="E23" i="6"/>
  <c r="D23" i="6"/>
  <c r="E34" i="6"/>
  <c r="G16" i="22" s="1"/>
  <c r="D34" i="6"/>
  <c r="E30" i="6"/>
  <c r="G10" i="22" s="1"/>
  <c r="F30" i="6"/>
  <c r="H10" i="22" s="1"/>
  <c r="G30" i="6"/>
  <c r="I10" i="22" s="1"/>
  <c r="H30" i="6"/>
  <c r="J10" i="22" s="1"/>
  <c r="I30" i="6"/>
  <c r="K10" i="22" s="1"/>
  <c r="J30" i="6"/>
  <c r="L10" i="22" s="1"/>
  <c r="D30" i="6"/>
  <c r="E19" i="6"/>
  <c r="G9" i="22" s="1"/>
  <c r="F19" i="6"/>
  <c r="H9" i="22" s="1"/>
  <c r="G19" i="6"/>
  <c r="I9" i="22" s="1"/>
  <c r="H19" i="6"/>
  <c r="J9" i="22" s="1"/>
  <c r="I19" i="6"/>
  <c r="K9" i="22" s="1"/>
  <c r="J19" i="6"/>
  <c r="L9" i="22" s="1"/>
  <c r="D19" i="6"/>
  <c r="F14" i="7"/>
  <c r="J8" i="6"/>
  <c r="D12" i="6"/>
  <c r="G30" i="22" l="1"/>
  <c r="H30" i="37"/>
  <c r="G34" i="22"/>
  <c r="H34" i="37"/>
  <c r="G28" i="22"/>
  <c r="H28" i="37"/>
  <c r="G32" i="22"/>
  <c r="H32" i="37"/>
  <c r="AB42" i="22"/>
  <c r="Y23" i="23" s="1"/>
  <c r="AC42" i="37"/>
  <c r="S42" i="22"/>
  <c r="P23" i="23" s="1"/>
  <c r="T42" i="37"/>
  <c r="AC42" i="22"/>
  <c r="Z23" i="23" s="1"/>
  <c r="AD42" i="37"/>
  <c r="V42" i="22"/>
  <c r="S23" i="23" s="1"/>
  <c r="W42" i="37"/>
  <c r="R42" i="22"/>
  <c r="O23" i="23" s="1"/>
  <c r="S42" i="37"/>
  <c r="Y42" i="22"/>
  <c r="V23" i="23" s="1"/>
  <c r="Z42" i="37"/>
  <c r="U42" i="22"/>
  <c r="R23" i="23" s="1"/>
  <c r="V42" i="37"/>
  <c r="Q42" i="22"/>
  <c r="N23" i="23" s="1"/>
  <c r="R42" i="37"/>
  <c r="M42" i="22"/>
  <c r="J23" i="23" s="1"/>
  <c r="N42" i="37"/>
  <c r="AA42" i="22"/>
  <c r="X23" i="23" s="1"/>
  <c r="AB42" i="37"/>
  <c r="W42" i="22"/>
  <c r="T23" i="23" s="1"/>
  <c r="X42" i="37"/>
  <c r="O42" i="22"/>
  <c r="L23" i="23" s="1"/>
  <c r="P42" i="37"/>
  <c r="Z42" i="22"/>
  <c r="W23" i="23" s="1"/>
  <c r="AA42" i="37"/>
  <c r="N42" i="22"/>
  <c r="K23" i="23" s="1"/>
  <c r="O42" i="37"/>
  <c r="X42" i="22"/>
  <c r="U23" i="23" s="1"/>
  <c r="Y42" i="37"/>
  <c r="T42" i="22"/>
  <c r="Q23" i="23" s="1"/>
  <c r="U42" i="37"/>
  <c r="P42" i="22"/>
  <c r="M23" i="23" s="1"/>
  <c r="Q42" i="37"/>
  <c r="AD42" i="22"/>
  <c r="AA23" i="23" s="1"/>
  <c r="AE42" i="37"/>
  <c r="D16" i="7"/>
  <c r="W402" i="9"/>
  <c r="J8" i="22"/>
  <c r="O11" i="7"/>
  <c r="R8" i="22"/>
  <c r="Y14" i="7"/>
  <c r="AB8" i="22"/>
  <c r="E53" i="7"/>
  <c r="C31" i="7"/>
  <c r="E56" i="7"/>
  <c r="G18" i="22"/>
  <c r="M11" i="7"/>
  <c r="P8" i="22"/>
  <c r="V11" i="7"/>
  <c r="Y8" i="22"/>
  <c r="N11" i="7"/>
  <c r="Q8" i="22"/>
  <c r="H583" i="9"/>
  <c r="O8" i="22"/>
  <c r="X8" i="22"/>
  <c r="AA11" i="7"/>
  <c r="AD8" i="22"/>
  <c r="Z8" i="22"/>
  <c r="E38" i="7"/>
  <c r="J11" i="7"/>
  <c r="M8" i="22"/>
  <c r="S16" i="7"/>
  <c r="V8" i="22"/>
  <c r="I388" i="9"/>
  <c r="I8" i="22"/>
  <c r="R16" i="7"/>
  <c r="U8" i="22"/>
  <c r="X14" i="7"/>
  <c r="AA8" i="22"/>
  <c r="D96" i="6"/>
  <c r="I487" i="9"/>
  <c r="O590" i="9"/>
  <c r="L8" i="22"/>
  <c r="H8" i="22"/>
  <c r="F23" i="6"/>
  <c r="H15" i="22" s="1"/>
  <c r="G15" i="22"/>
  <c r="Q14" i="7"/>
  <c r="T8" i="22"/>
  <c r="K8" i="22"/>
  <c r="D182" i="9"/>
  <c r="D183" i="9" s="1"/>
  <c r="D184" i="9" s="1"/>
  <c r="F45" i="6"/>
  <c r="H17" i="22" s="1"/>
  <c r="G17" i="22"/>
  <c r="K16" i="7"/>
  <c r="N8" i="22"/>
  <c r="T11" i="7"/>
  <c r="W8" i="22"/>
  <c r="P14" i="7"/>
  <c r="S8" i="22"/>
  <c r="Z14" i="7"/>
  <c r="AC8" i="22"/>
  <c r="E68" i="7"/>
  <c r="I34" i="37" s="1"/>
  <c r="F484" i="9"/>
  <c r="S398" i="9"/>
  <c r="J101" i="4"/>
  <c r="J97" i="4"/>
  <c r="F385" i="9"/>
  <c r="J585" i="9"/>
  <c r="L391" i="9"/>
  <c r="Y186" i="9"/>
  <c r="R397" i="9"/>
  <c r="N492" i="9"/>
  <c r="O394" i="9"/>
  <c r="L587" i="9"/>
  <c r="H486" i="9"/>
  <c r="T595" i="9"/>
  <c r="V401" i="9"/>
  <c r="J107" i="4"/>
  <c r="J108" i="4" s="1"/>
  <c r="K96" i="4"/>
  <c r="J488" i="9"/>
  <c r="S497" i="9"/>
  <c r="L490" i="9"/>
  <c r="N589" i="9"/>
  <c r="U400" i="9"/>
  <c r="K586" i="9"/>
  <c r="U596" i="9"/>
  <c r="G485" i="9"/>
  <c r="Q495" i="9"/>
  <c r="K390" i="9"/>
  <c r="M491" i="9"/>
  <c r="G386" i="9"/>
  <c r="Q396" i="9"/>
  <c r="K489" i="9"/>
  <c r="T498" i="9"/>
  <c r="M392" i="9"/>
  <c r="W501" i="9"/>
  <c r="P395" i="9"/>
  <c r="Q592" i="9"/>
  <c r="R593" i="9"/>
  <c r="T399" i="9"/>
  <c r="M588" i="9"/>
  <c r="V500" i="9"/>
  <c r="G582" i="9"/>
  <c r="W598" i="9"/>
  <c r="P591" i="9"/>
  <c r="R496" i="9"/>
  <c r="N393" i="9"/>
  <c r="H387" i="9"/>
  <c r="P494" i="9"/>
  <c r="F581" i="9"/>
  <c r="I584" i="9"/>
  <c r="J389" i="9"/>
  <c r="S594" i="9"/>
  <c r="U499" i="9"/>
  <c r="V597" i="9"/>
  <c r="O493" i="9"/>
  <c r="I573" i="9"/>
  <c r="J58" i="9"/>
  <c r="J52" i="9"/>
  <c r="E407" i="9"/>
  <c r="AA186" i="9"/>
  <c r="F287" i="9"/>
  <c r="G287" i="9" s="1"/>
  <c r="D310" i="9"/>
  <c r="D311" i="9" s="1"/>
  <c r="E286" i="9"/>
  <c r="E310" i="9" s="1"/>
  <c r="X165" i="9"/>
  <c r="X186" i="9"/>
  <c r="Z165" i="9"/>
  <c r="Z186" i="9"/>
  <c r="N96" i="6"/>
  <c r="D29" i="7"/>
  <c r="D56" i="25" s="1"/>
  <c r="Q16" i="7"/>
  <c r="Z11" i="7"/>
  <c r="D31" i="7"/>
  <c r="Y11" i="7"/>
  <c r="Y16" i="7"/>
  <c r="AA14" i="7"/>
  <c r="V16" i="7"/>
  <c r="E46" i="6"/>
  <c r="P16" i="7"/>
  <c r="J77" i="7"/>
  <c r="N16" i="7"/>
  <c r="V14" i="7"/>
  <c r="O14" i="7"/>
  <c r="Z16" i="7"/>
  <c r="N14" i="7"/>
  <c r="U11" i="7"/>
  <c r="E13" i="6"/>
  <c r="G19" i="22" s="1"/>
  <c r="L11" i="7"/>
  <c r="W16" i="7"/>
  <c r="O16" i="7"/>
  <c r="U14" i="7"/>
  <c r="M14" i="7"/>
  <c r="S11" i="7"/>
  <c r="K11" i="7"/>
  <c r="X16" i="7"/>
  <c r="X11" i="7"/>
  <c r="T14" i="7"/>
  <c r="E61" i="7"/>
  <c r="U16" i="7"/>
  <c r="M16" i="7"/>
  <c r="S14" i="7"/>
  <c r="K14" i="7"/>
  <c r="Q11" i="7"/>
  <c r="L14" i="7"/>
  <c r="E59" i="7"/>
  <c r="E70" i="25" s="1"/>
  <c r="C26" i="7"/>
  <c r="D26" i="7"/>
  <c r="T16" i="7"/>
  <c r="L16" i="7"/>
  <c r="R14" i="7"/>
  <c r="J14" i="7"/>
  <c r="P11" i="7"/>
  <c r="W14" i="7"/>
  <c r="C29" i="7"/>
  <c r="W11" i="7"/>
  <c r="R11" i="7"/>
  <c r="J16" i="7"/>
  <c r="AA16" i="7"/>
  <c r="P47" i="7"/>
  <c r="H47" i="7"/>
  <c r="R77" i="7"/>
  <c r="P77" i="7"/>
  <c r="F77" i="7"/>
  <c r="H77" i="7"/>
  <c r="AA77" i="7"/>
  <c r="E47" i="7"/>
  <c r="Q77" i="7"/>
  <c r="V77" i="7"/>
  <c r="N77" i="7"/>
  <c r="T77" i="7"/>
  <c r="L77" i="7"/>
  <c r="X77" i="7"/>
  <c r="S77" i="7"/>
  <c r="K77" i="7"/>
  <c r="S47" i="7"/>
  <c r="K47" i="7"/>
  <c r="AA47" i="7"/>
  <c r="R47" i="7"/>
  <c r="J47" i="7"/>
  <c r="D77" i="7"/>
  <c r="E77" i="7"/>
  <c r="X47" i="7"/>
  <c r="G47" i="7"/>
  <c r="I47" i="7"/>
  <c r="I77" i="7"/>
  <c r="Z77" i="7"/>
  <c r="Z47" i="7"/>
  <c r="G77" i="7"/>
  <c r="Y77" i="7"/>
  <c r="Y47" i="7"/>
  <c r="Q47" i="7"/>
  <c r="W47" i="7"/>
  <c r="O47" i="7"/>
  <c r="U47" i="7"/>
  <c r="M47" i="7"/>
  <c r="W77" i="7"/>
  <c r="O77" i="7"/>
  <c r="U77" i="7"/>
  <c r="M77" i="7"/>
  <c r="V47" i="7"/>
  <c r="N47" i="7"/>
  <c r="T47" i="7"/>
  <c r="L47" i="7"/>
  <c r="C77" i="7"/>
  <c r="C62" i="7"/>
  <c r="F53" i="7"/>
  <c r="C47" i="7"/>
  <c r="E23" i="7"/>
  <c r="D62" i="7"/>
  <c r="D47" i="7"/>
  <c r="F47" i="7"/>
  <c r="F56" i="6"/>
  <c r="E57" i="6"/>
  <c r="E24" i="6"/>
  <c r="F46" i="6"/>
  <c r="E35" i="6"/>
  <c r="F34" i="6"/>
  <c r="H16" i="22" s="1"/>
  <c r="C5" i="16"/>
  <c r="C4" i="16"/>
  <c r="G31" i="22" l="1"/>
  <c r="H31" i="37"/>
  <c r="AA31" i="22"/>
  <c r="AB31" i="37"/>
  <c r="U35" i="22"/>
  <c r="V35" i="37"/>
  <c r="W31" i="22"/>
  <c r="X31" i="37"/>
  <c r="X31" i="22"/>
  <c r="Y31" i="37"/>
  <c r="AB31" i="22"/>
  <c r="AC31" i="37"/>
  <c r="U31" i="22"/>
  <c r="V31" i="37"/>
  <c r="H31" i="22"/>
  <c r="I31" i="37"/>
  <c r="H32" i="22"/>
  <c r="I32" i="37"/>
  <c r="G33" i="22"/>
  <c r="H33" i="37"/>
  <c r="Q31" i="22"/>
  <c r="R31" i="37"/>
  <c r="R31" i="22"/>
  <c r="S31" i="37"/>
  <c r="H35" i="22"/>
  <c r="I35" i="37"/>
  <c r="V35" i="22"/>
  <c r="W35" i="37"/>
  <c r="Q35" i="22"/>
  <c r="R35" i="37"/>
  <c r="H28" i="22"/>
  <c r="I28" i="37"/>
  <c r="Y31" i="22"/>
  <c r="Z31" i="37"/>
  <c r="Z35" i="22"/>
  <c r="AA35" i="37"/>
  <c r="Z31" i="22"/>
  <c r="AA31" i="37"/>
  <c r="J35" i="22"/>
  <c r="K35" i="37"/>
  <c r="L31" i="22"/>
  <c r="M31" i="37"/>
  <c r="G35" i="22"/>
  <c r="H35" i="37"/>
  <c r="N31" i="22"/>
  <c r="O31" i="37"/>
  <c r="AA35" i="22"/>
  <c r="AB35" i="37"/>
  <c r="Y35" i="22"/>
  <c r="Z35" i="37"/>
  <c r="K35" i="22"/>
  <c r="L35" i="37"/>
  <c r="K31" i="22"/>
  <c r="L31" i="37"/>
  <c r="M35" i="22"/>
  <c r="N35" i="37"/>
  <c r="I32" i="22"/>
  <c r="J32" i="37"/>
  <c r="X35" i="22"/>
  <c r="Y35" i="37"/>
  <c r="AC35" i="22"/>
  <c r="AD35" i="37"/>
  <c r="N35" i="22"/>
  <c r="O35" i="37"/>
  <c r="W35" i="22"/>
  <c r="X35" i="37"/>
  <c r="S35" i="22"/>
  <c r="T35" i="37"/>
  <c r="H30" i="22"/>
  <c r="I30" i="37"/>
  <c r="R35" i="22"/>
  <c r="S35" i="37"/>
  <c r="AB35" i="22"/>
  <c r="AC35" i="37"/>
  <c r="L35" i="22"/>
  <c r="M35" i="37"/>
  <c r="AD31" i="22"/>
  <c r="AE31" i="37"/>
  <c r="AD35" i="22"/>
  <c r="AE35" i="37"/>
  <c r="I31" i="22"/>
  <c r="J31" i="37"/>
  <c r="O31" i="22"/>
  <c r="P31" i="37"/>
  <c r="P35" i="22"/>
  <c r="Q35" i="37"/>
  <c r="P31" i="22"/>
  <c r="Q31" i="37"/>
  <c r="T31" i="22"/>
  <c r="U31" i="37"/>
  <c r="AC31" i="22"/>
  <c r="AD31" i="37"/>
  <c r="J31" i="22"/>
  <c r="K31" i="37"/>
  <c r="M31" i="22"/>
  <c r="N31" i="37"/>
  <c r="V31" i="22"/>
  <c r="W31" i="37"/>
  <c r="O35" i="22"/>
  <c r="P35" i="37"/>
  <c r="T35" i="22"/>
  <c r="U35" i="37"/>
  <c r="I35" i="22"/>
  <c r="J35" i="37"/>
  <c r="S31" i="22"/>
  <c r="T31" i="37"/>
  <c r="F68" i="7"/>
  <c r="H34" i="22"/>
  <c r="P17" i="7"/>
  <c r="T17" i="7"/>
  <c r="K101" i="4"/>
  <c r="K97" i="4"/>
  <c r="M13" i="23"/>
  <c r="F38" i="7"/>
  <c r="G45" i="6"/>
  <c r="F57" i="6"/>
  <c r="H18" i="22"/>
  <c r="I14" i="22"/>
  <c r="H14" i="22"/>
  <c r="G68" i="7"/>
  <c r="K107" i="4"/>
  <c r="K108" i="4" s="1"/>
  <c r="L96" i="4"/>
  <c r="J573" i="9"/>
  <c r="K58" i="9"/>
  <c r="K52" i="9"/>
  <c r="O17" i="7"/>
  <c r="E408" i="9"/>
  <c r="E311" i="9"/>
  <c r="E312" i="9"/>
  <c r="F286" i="9"/>
  <c r="H287" i="9"/>
  <c r="L17" i="7"/>
  <c r="X17" i="7"/>
  <c r="Y17" i="7"/>
  <c r="S17" i="7"/>
  <c r="R17" i="7"/>
  <c r="Z17" i="7"/>
  <c r="V17" i="7"/>
  <c r="N17" i="7"/>
  <c r="M17" i="7"/>
  <c r="U17" i="7"/>
  <c r="Q17" i="7"/>
  <c r="D32" i="7"/>
  <c r="C32" i="7"/>
  <c r="E62" i="7"/>
  <c r="W17" i="7"/>
  <c r="F59" i="7"/>
  <c r="F70" i="25" s="1"/>
  <c r="AA17" i="7"/>
  <c r="K17" i="7"/>
  <c r="J17" i="7"/>
  <c r="F13" i="6"/>
  <c r="H19" i="22" s="1"/>
  <c r="H24" i="22" s="1"/>
  <c r="G23" i="6"/>
  <c r="I15" i="22" s="1"/>
  <c r="E26" i="7"/>
  <c r="E31" i="7"/>
  <c r="E29" i="7"/>
  <c r="E56" i="25" s="1"/>
  <c r="F24" i="6"/>
  <c r="E59" i="6"/>
  <c r="G53" i="7"/>
  <c r="G38" i="7"/>
  <c r="F23" i="7"/>
  <c r="G34" i="6"/>
  <c r="I16" i="22" s="1"/>
  <c r="F35" i="6"/>
  <c r="I28" i="22" l="1"/>
  <c r="J28" i="37"/>
  <c r="O27" i="22"/>
  <c r="P27" i="37"/>
  <c r="S27" i="22"/>
  <c r="T27" i="37"/>
  <c r="J30" i="22"/>
  <c r="K30" i="37"/>
  <c r="G29" i="22"/>
  <c r="H29" i="37"/>
  <c r="Q27" i="22"/>
  <c r="R27" i="37"/>
  <c r="V27" i="22"/>
  <c r="W27" i="37"/>
  <c r="U27" i="22"/>
  <c r="V27" i="37"/>
  <c r="M27" i="22"/>
  <c r="N27" i="37"/>
  <c r="T27" i="22"/>
  <c r="U27" i="37"/>
  <c r="AB27" i="22"/>
  <c r="AC27" i="37"/>
  <c r="I34" i="22"/>
  <c r="J34" i="37"/>
  <c r="AD27" i="22"/>
  <c r="AE27" i="37"/>
  <c r="P27" i="22"/>
  <c r="Q27" i="37"/>
  <c r="J34" i="22"/>
  <c r="K34" i="37"/>
  <c r="J32" i="22"/>
  <c r="K32" i="37"/>
  <c r="Z27" i="22"/>
  <c r="AA27" i="37"/>
  <c r="Y27" i="22"/>
  <c r="Z27" i="37"/>
  <c r="R27" i="22"/>
  <c r="S27" i="37"/>
  <c r="I30" i="22"/>
  <c r="J30" i="37"/>
  <c r="N27" i="22"/>
  <c r="O27" i="37"/>
  <c r="H33" i="22"/>
  <c r="I33" i="37"/>
  <c r="X27" i="22"/>
  <c r="Y27" i="37"/>
  <c r="AC27" i="22"/>
  <c r="AD27" i="37"/>
  <c r="AA27" i="22"/>
  <c r="AB27" i="37"/>
  <c r="W27" i="22"/>
  <c r="X27" i="37"/>
  <c r="F182" i="9"/>
  <c r="L101" i="4"/>
  <c r="L97" i="4"/>
  <c r="E182" i="9"/>
  <c r="G182" i="9"/>
  <c r="G46" i="6"/>
  <c r="I17" i="22"/>
  <c r="G13" i="6"/>
  <c r="I19" i="22" s="1"/>
  <c r="I24" i="22" s="1"/>
  <c r="J14" i="22"/>
  <c r="H68" i="7"/>
  <c r="G23" i="7"/>
  <c r="L107" i="4"/>
  <c r="L108" i="4" s="1"/>
  <c r="M96" i="4"/>
  <c r="K573" i="9"/>
  <c r="L58" i="9"/>
  <c r="L52" i="9"/>
  <c r="F310" i="9"/>
  <c r="F311" i="9" s="1"/>
  <c r="G286" i="9"/>
  <c r="I287" i="9"/>
  <c r="F61" i="7"/>
  <c r="F56" i="7"/>
  <c r="G56" i="6"/>
  <c r="E32" i="7"/>
  <c r="F59" i="6"/>
  <c r="F31" i="7"/>
  <c r="F29" i="7"/>
  <c r="F56" i="25" s="1"/>
  <c r="F26" i="7"/>
  <c r="G24" i="6"/>
  <c r="H23" i="6"/>
  <c r="J15" i="22" s="1"/>
  <c r="H53" i="7"/>
  <c r="H38" i="7"/>
  <c r="H34" i="6"/>
  <c r="J16" i="22" s="1"/>
  <c r="G35" i="6"/>
  <c r="J28" i="22" l="1"/>
  <c r="K28" i="37"/>
  <c r="K34" i="22"/>
  <c r="L34" i="37"/>
  <c r="K30" i="22"/>
  <c r="L30" i="37"/>
  <c r="H29" i="22"/>
  <c r="I29" i="37"/>
  <c r="K32" i="22"/>
  <c r="L32" i="37"/>
  <c r="E183" i="9"/>
  <c r="F183" i="9" s="1"/>
  <c r="G183" i="9" s="1"/>
  <c r="E184" i="9"/>
  <c r="M101" i="4"/>
  <c r="M97" i="4"/>
  <c r="G57" i="6"/>
  <c r="G59" i="6" s="1"/>
  <c r="I18" i="22"/>
  <c r="H13" i="6"/>
  <c r="J19" i="22" s="1"/>
  <c r="J24" i="22" s="1"/>
  <c r="K14" i="22"/>
  <c r="I68" i="7"/>
  <c r="H23" i="7"/>
  <c r="F312" i="9"/>
  <c r="M107" i="4"/>
  <c r="M108" i="4" s="1"/>
  <c r="N96" i="4"/>
  <c r="L573" i="9"/>
  <c r="M58" i="9"/>
  <c r="M52" i="9"/>
  <c r="H286" i="9"/>
  <c r="J287" i="9"/>
  <c r="F62" i="7"/>
  <c r="H56" i="6"/>
  <c r="F32" i="7"/>
  <c r="I23" i="6"/>
  <c r="K15" i="22" s="1"/>
  <c r="G31" i="7"/>
  <c r="G29" i="7"/>
  <c r="G56" i="25" s="1"/>
  <c r="G26" i="7"/>
  <c r="H24" i="6"/>
  <c r="I53" i="7"/>
  <c r="I38" i="7"/>
  <c r="H45" i="6"/>
  <c r="H35" i="6"/>
  <c r="I34" i="6"/>
  <c r="K16" i="22" s="1"/>
  <c r="K28" i="22" l="1"/>
  <c r="L28" i="37"/>
  <c r="I29" i="22"/>
  <c r="J29" i="37"/>
  <c r="L34" i="22"/>
  <c r="M34" i="37"/>
  <c r="L30" i="22"/>
  <c r="M30" i="37"/>
  <c r="L32" i="22"/>
  <c r="M32" i="37"/>
  <c r="I33" i="22"/>
  <c r="J33" i="37"/>
  <c r="F184" i="9"/>
  <c r="N101" i="4"/>
  <c r="N97" i="4"/>
  <c r="H57" i="6"/>
  <c r="J18" i="22"/>
  <c r="H46" i="6"/>
  <c r="J17" i="22"/>
  <c r="L14" i="22"/>
  <c r="I13" i="6"/>
  <c r="K19" i="22" s="1"/>
  <c r="K24" i="22" s="1"/>
  <c r="J68" i="7"/>
  <c r="J38" i="7"/>
  <c r="I23" i="7"/>
  <c r="N107" i="4"/>
  <c r="N108" i="4" s="1"/>
  <c r="O96" i="4"/>
  <c r="M573" i="9"/>
  <c r="N58" i="9"/>
  <c r="N52" i="9"/>
  <c r="J53" i="7"/>
  <c r="I286" i="9"/>
  <c r="K287" i="9"/>
  <c r="E6" i="9"/>
  <c r="F6" i="9" s="1"/>
  <c r="G6" i="9" s="1"/>
  <c r="H6" i="9" s="1"/>
  <c r="I6" i="9" s="1"/>
  <c r="J6" i="9" s="1"/>
  <c r="G59" i="7"/>
  <c r="G70" i="25" s="1"/>
  <c r="H59" i="7"/>
  <c r="H70" i="25" s="1"/>
  <c r="G61" i="7"/>
  <c r="H59" i="6"/>
  <c r="G56" i="7"/>
  <c r="G32" i="7"/>
  <c r="H29" i="7"/>
  <c r="H56" i="25" s="1"/>
  <c r="H26" i="7"/>
  <c r="H31" i="7"/>
  <c r="I24" i="6"/>
  <c r="J23" i="6"/>
  <c r="L15" i="22" s="1"/>
  <c r="J34" i="6"/>
  <c r="I35" i="6"/>
  <c r="N98" i="9"/>
  <c r="N99" i="9" s="1"/>
  <c r="O98" i="9"/>
  <c r="O99" i="9" s="1"/>
  <c r="P98" i="9"/>
  <c r="P99" i="9" s="1"/>
  <c r="Q98" i="9"/>
  <c r="Q99" i="9" s="1"/>
  <c r="R98" i="9"/>
  <c r="R99" i="9" s="1"/>
  <c r="S98" i="9"/>
  <c r="S99" i="9" s="1"/>
  <c r="T98" i="9"/>
  <c r="T99" i="9" s="1"/>
  <c r="U98" i="9"/>
  <c r="U99" i="9" s="1"/>
  <c r="V98" i="9"/>
  <c r="V99" i="9" s="1"/>
  <c r="W98" i="9"/>
  <c r="W99" i="9" s="1"/>
  <c r="N160" i="9"/>
  <c r="O163" i="9" s="1"/>
  <c r="O160" i="9"/>
  <c r="P163" i="9" s="1"/>
  <c r="P160" i="9"/>
  <c r="Q163" i="9" s="1"/>
  <c r="Q160" i="9"/>
  <c r="R163" i="9" s="1"/>
  <c r="R160" i="9"/>
  <c r="S163" i="9" s="1"/>
  <c r="S160" i="9"/>
  <c r="T163" i="9" s="1"/>
  <c r="T160" i="9"/>
  <c r="U163" i="9" s="1"/>
  <c r="U160" i="9"/>
  <c r="V163" i="9" s="1"/>
  <c r="V160" i="9"/>
  <c r="W163" i="9" s="1"/>
  <c r="W160" i="9"/>
  <c r="X163" i="9" s="1"/>
  <c r="N162" i="9"/>
  <c r="O162" i="9"/>
  <c r="P162" i="9"/>
  <c r="Q162" i="9"/>
  <c r="R162" i="9"/>
  <c r="S162" i="9"/>
  <c r="T162" i="9"/>
  <c r="U162" i="9"/>
  <c r="V162" i="9"/>
  <c r="W162" i="9"/>
  <c r="I92" i="7"/>
  <c r="L28" i="22" l="1"/>
  <c r="M28" i="37"/>
  <c r="J29" i="22"/>
  <c r="K29" i="37"/>
  <c r="M30" i="22"/>
  <c r="N30" i="37"/>
  <c r="M32" i="22"/>
  <c r="N32" i="37"/>
  <c r="M34" i="22"/>
  <c r="N34" i="37"/>
  <c r="L42" i="22"/>
  <c r="I23" i="23" s="1"/>
  <c r="M42" i="37"/>
  <c r="G184" i="9"/>
  <c r="K6" i="9"/>
  <c r="O101" i="4"/>
  <c r="O97" i="4"/>
  <c r="H61" i="7"/>
  <c r="H56" i="7"/>
  <c r="I56" i="6"/>
  <c r="G62" i="7"/>
  <c r="K34" i="6"/>
  <c r="M16" i="22" s="1"/>
  <c r="L16" i="22"/>
  <c r="M14" i="22"/>
  <c r="J13" i="6"/>
  <c r="L19" i="22" s="1"/>
  <c r="L24" i="22" s="1"/>
  <c r="K68" i="7"/>
  <c r="K38" i="7"/>
  <c r="J23" i="7"/>
  <c r="O107" i="4"/>
  <c r="O108" i="4" s="1"/>
  <c r="P96" i="4"/>
  <c r="N164" i="9"/>
  <c r="N186" i="9" s="1"/>
  <c r="O58" i="9"/>
  <c r="N573" i="9"/>
  <c r="O52" i="9"/>
  <c r="K53" i="7"/>
  <c r="J286" i="9"/>
  <c r="N258" i="9"/>
  <c r="N255" i="9"/>
  <c r="N262" i="9"/>
  <c r="N257" i="9"/>
  <c r="N252" i="9"/>
  <c r="N256" i="9"/>
  <c r="N260" i="9"/>
  <c r="N259" i="9"/>
  <c r="N261" i="9"/>
  <c r="L287" i="9"/>
  <c r="V164" i="9"/>
  <c r="V186" i="9" s="1"/>
  <c r="Q112" i="9"/>
  <c r="Q111" i="9"/>
  <c r="Q110" i="9"/>
  <c r="X113" i="9"/>
  <c r="Z113" i="9"/>
  <c r="AA113" i="9"/>
  <c r="Y113" i="9"/>
  <c r="O110" i="9"/>
  <c r="Z111" i="9"/>
  <c r="Y111" i="9"/>
  <c r="AA111" i="9"/>
  <c r="X111" i="9"/>
  <c r="W113" i="9"/>
  <c r="W112" i="9"/>
  <c r="W110" i="9"/>
  <c r="W118" i="9"/>
  <c r="W116" i="9"/>
  <c r="W115" i="9"/>
  <c r="W111" i="9"/>
  <c r="W117" i="9"/>
  <c r="W114" i="9"/>
  <c r="AA119" i="9"/>
  <c r="Y119" i="9"/>
  <c r="Z119" i="9"/>
  <c r="X119" i="9"/>
  <c r="V115" i="9"/>
  <c r="V112" i="9"/>
  <c r="V116" i="9"/>
  <c r="V117" i="9"/>
  <c r="V110" i="9"/>
  <c r="V114" i="9"/>
  <c r="V113" i="9"/>
  <c r="V111" i="9"/>
  <c r="X118" i="9"/>
  <c r="Z118" i="9"/>
  <c r="AA118" i="9"/>
  <c r="Y118" i="9"/>
  <c r="AA110" i="9"/>
  <c r="Y110" i="9"/>
  <c r="X110" i="9"/>
  <c r="Z110" i="9"/>
  <c r="U164" i="9"/>
  <c r="U186" i="9" s="1"/>
  <c r="U114" i="9"/>
  <c r="U112" i="9"/>
  <c r="U116" i="9"/>
  <c r="U110" i="9"/>
  <c r="U115" i="9"/>
  <c r="U111" i="9"/>
  <c r="U113" i="9"/>
  <c r="Y117" i="9"/>
  <c r="AA117" i="9"/>
  <c r="Z117" i="9"/>
  <c r="X117" i="9"/>
  <c r="W164" i="9"/>
  <c r="W186" i="9" s="1"/>
  <c r="T112" i="9"/>
  <c r="T110" i="9"/>
  <c r="T115" i="9"/>
  <c r="T114" i="9"/>
  <c r="T111" i="9"/>
  <c r="T113" i="9"/>
  <c r="Z116" i="9"/>
  <c r="Y116" i="9"/>
  <c r="AA116" i="9"/>
  <c r="X116" i="9"/>
  <c r="S110" i="9"/>
  <c r="S114" i="9"/>
  <c r="S111" i="9"/>
  <c r="S113" i="9"/>
  <c r="S112" i="9"/>
  <c r="Y115" i="9"/>
  <c r="Z115" i="9"/>
  <c r="X115" i="9"/>
  <c r="AA115" i="9"/>
  <c r="P111" i="9"/>
  <c r="P110" i="9"/>
  <c r="Y112" i="9"/>
  <c r="X112" i="9"/>
  <c r="Z112" i="9"/>
  <c r="AA112" i="9"/>
  <c r="O164" i="9"/>
  <c r="O186" i="9" s="1"/>
  <c r="R111" i="9"/>
  <c r="R113" i="9"/>
  <c r="R112" i="9"/>
  <c r="R110" i="9"/>
  <c r="Y114" i="9"/>
  <c r="X114" i="9"/>
  <c r="AA114" i="9"/>
  <c r="Z114" i="9"/>
  <c r="T164" i="9"/>
  <c r="T186" i="9" s="1"/>
  <c r="S164" i="9"/>
  <c r="S186" i="9" s="1"/>
  <c r="H32" i="7"/>
  <c r="I29" i="7"/>
  <c r="I56" i="25" s="1"/>
  <c r="I26" i="7"/>
  <c r="I31" i="7"/>
  <c r="K23" i="6"/>
  <c r="M15" i="22" s="1"/>
  <c r="J24" i="6"/>
  <c r="C79" i="7"/>
  <c r="I45" i="6"/>
  <c r="J35" i="6"/>
  <c r="R164" i="9"/>
  <c r="R186" i="9" s="1"/>
  <c r="Q164" i="9"/>
  <c r="Q186" i="9" s="1"/>
  <c r="P164" i="9"/>
  <c r="P186" i="9" s="1"/>
  <c r="C69" i="9"/>
  <c r="M28" i="22" l="1"/>
  <c r="N28" i="37"/>
  <c r="J33" i="22"/>
  <c r="K33" i="37"/>
  <c r="N32" i="22"/>
  <c r="O32" i="37"/>
  <c r="N30" i="22"/>
  <c r="O30" i="37"/>
  <c r="K29" i="22"/>
  <c r="L29" i="37"/>
  <c r="N34" i="22"/>
  <c r="O34" i="37"/>
  <c r="F69" i="9"/>
  <c r="E69" i="9"/>
  <c r="H69" i="9"/>
  <c r="D69" i="9"/>
  <c r="D93" i="9" s="1"/>
  <c r="G69" i="9"/>
  <c r="H62" i="7"/>
  <c r="P101" i="4"/>
  <c r="P97" i="4"/>
  <c r="L6" i="9"/>
  <c r="I57" i="6"/>
  <c r="K18" i="22"/>
  <c r="I46" i="6"/>
  <c r="K17" i="22"/>
  <c r="K35" i="6"/>
  <c r="L34" i="6"/>
  <c r="N16" i="22" s="1"/>
  <c r="N14" i="22"/>
  <c r="K13" i="6"/>
  <c r="M19" i="22" s="1"/>
  <c r="M24" i="22" s="1"/>
  <c r="J85" i="7"/>
  <c r="J86" i="7" s="1"/>
  <c r="L68" i="7"/>
  <c r="L38" i="7"/>
  <c r="K23" i="7"/>
  <c r="P107" i="4"/>
  <c r="P108" i="4" s="1"/>
  <c r="Q96" i="4"/>
  <c r="O573" i="9"/>
  <c r="P58" i="9"/>
  <c r="P52" i="9"/>
  <c r="L53" i="7"/>
  <c r="K286" i="9"/>
  <c r="M287" i="9"/>
  <c r="I32" i="7"/>
  <c r="J56" i="6"/>
  <c r="L18" i="22" s="1"/>
  <c r="I61" i="7"/>
  <c r="I56" i="7"/>
  <c r="I59" i="7"/>
  <c r="I70" i="25" s="1"/>
  <c r="L23" i="6"/>
  <c r="N15" i="22" s="1"/>
  <c r="J26" i="7"/>
  <c r="J31" i="7"/>
  <c r="J29" i="7"/>
  <c r="J56" i="25" s="1"/>
  <c r="K24" i="6"/>
  <c r="J45" i="6"/>
  <c r="L17" i="22" s="1"/>
  <c r="N69" i="9"/>
  <c r="O69" i="9"/>
  <c r="W69" i="9"/>
  <c r="P69" i="9"/>
  <c r="Q69" i="9"/>
  <c r="T69" i="9"/>
  <c r="U69" i="9"/>
  <c r="J69" i="9"/>
  <c r="R69" i="9"/>
  <c r="K69" i="9"/>
  <c r="S69" i="9"/>
  <c r="L69" i="9"/>
  <c r="M69" i="9"/>
  <c r="V69" i="9"/>
  <c r="I69" i="9"/>
  <c r="L12" i="27"/>
  <c r="L11" i="27"/>
  <c r="C8" i="26"/>
  <c r="C20" i="26"/>
  <c r="C9" i="26"/>
  <c r="K7" i="26"/>
  <c r="J7" i="26"/>
  <c r="I7" i="26"/>
  <c r="C2" i="26"/>
  <c r="C118" i="26"/>
  <c r="E118" i="26" s="1"/>
  <c r="C117" i="26"/>
  <c r="E117" i="26" s="1"/>
  <c r="C116" i="26"/>
  <c r="E116" i="26" s="1"/>
  <c r="C115" i="26"/>
  <c r="E115" i="26" s="1"/>
  <c r="C114" i="26"/>
  <c r="E114" i="26" s="1"/>
  <c r="C113" i="26"/>
  <c r="E113" i="26" s="1"/>
  <c r="C112" i="26"/>
  <c r="E112" i="26" s="1"/>
  <c r="C111" i="26"/>
  <c r="E111" i="26" s="1"/>
  <c r="C110" i="26"/>
  <c r="E110" i="26" s="1"/>
  <c r="C109" i="26"/>
  <c r="E109" i="26" s="1"/>
  <c r="C108" i="26"/>
  <c r="E108" i="26" s="1"/>
  <c r="D94" i="26"/>
  <c r="D95" i="26" s="1"/>
  <c r="D96" i="26" s="1"/>
  <c r="D97" i="26" s="1"/>
  <c r="D98" i="26" s="1"/>
  <c r="D99" i="26" s="1"/>
  <c r="D100" i="26" s="1"/>
  <c r="D101" i="26" s="1"/>
  <c r="D102" i="26" s="1"/>
  <c r="J87" i="26"/>
  <c r="J86" i="26"/>
  <c r="J85" i="26"/>
  <c r="J84" i="26"/>
  <c r="J83" i="26"/>
  <c r="J82" i="26"/>
  <c r="J81" i="26"/>
  <c r="J80" i="26"/>
  <c r="J79" i="26"/>
  <c r="J78" i="26"/>
  <c r="D78" i="26"/>
  <c r="D79" i="26" s="1"/>
  <c r="D80" i="26" s="1"/>
  <c r="D81" i="26" s="1"/>
  <c r="D82" i="26" s="1"/>
  <c r="D83" i="26" s="1"/>
  <c r="D84" i="26" s="1"/>
  <c r="D85" i="26" s="1"/>
  <c r="D86" i="26" s="1"/>
  <c r="D87" i="26" s="1"/>
  <c r="J77" i="26"/>
  <c r="J71" i="26"/>
  <c r="J70" i="26"/>
  <c r="J69" i="26"/>
  <c r="J68" i="26"/>
  <c r="J67" i="26"/>
  <c r="J66" i="26"/>
  <c r="J65" i="26"/>
  <c r="J64" i="26"/>
  <c r="J63" i="26"/>
  <c r="J62" i="26"/>
  <c r="J61" i="26"/>
  <c r="K48" i="26"/>
  <c r="J48" i="26"/>
  <c r="I48" i="26"/>
  <c r="H48" i="26"/>
  <c r="G48" i="26"/>
  <c r="F48" i="26"/>
  <c r="E48" i="26"/>
  <c r="D48" i="26"/>
  <c r="C48" i="26"/>
  <c r="K47" i="26"/>
  <c r="J47" i="26"/>
  <c r="I47" i="26"/>
  <c r="H47" i="26"/>
  <c r="G47" i="26"/>
  <c r="F47" i="26"/>
  <c r="E47" i="26"/>
  <c r="D47" i="26"/>
  <c r="C47" i="26"/>
  <c r="K46" i="26"/>
  <c r="J46" i="26"/>
  <c r="I46" i="26"/>
  <c r="H46" i="26"/>
  <c r="G46" i="26"/>
  <c r="F46" i="26"/>
  <c r="E46" i="26"/>
  <c r="D46" i="26"/>
  <c r="C46" i="26"/>
  <c r="B45" i="26"/>
  <c r="K32" i="26"/>
  <c r="J32" i="26"/>
  <c r="I32" i="26"/>
  <c r="H32" i="26"/>
  <c r="G32" i="26"/>
  <c r="F32" i="26"/>
  <c r="E32" i="26"/>
  <c r="D32" i="26"/>
  <c r="C32" i="26"/>
  <c r="K30" i="26"/>
  <c r="J30" i="26"/>
  <c r="I30" i="26"/>
  <c r="H30" i="26"/>
  <c r="G30" i="26"/>
  <c r="F30" i="26"/>
  <c r="E30" i="26"/>
  <c r="D30" i="26"/>
  <c r="K29" i="26"/>
  <c r="J29" i="26"/>
  <c r="I29" i="26"/>
  <c r="H29" i="26"/>
  <c r="G29" i="26"/>
  <c r="F29" i="26"/>
  <c r="E29" i="26"/>
  <c r="D29" i="26"/>
  <c r="C28" i="26"/>
  <c r="C27" i="26"/>
  <c r="K26" i="26"/>
  <c r="J26" i="26"/>
  <c r="I26" i="26"/>
  <c r="H26" i="26"/>
  <c r="G26" i="26"/>
  <c r="F26" i="26"/>
  <c r="E26" i="26"/>
  <c r="D26" i="26"/>
  <c r="N28" i="22" l="1"/>
  <c r="O28" i="37"/>
  <c r="O30" i="22"/>
  <c r="P30" i="37"/>
  <c r="O32" i="22"/>
  <c r="P32" i="37"/>
  <c r="O34" i="22"/>
  <c r="P34" i="37"/>
  <c r="L29" i="22"/>
  <c r="M29" i="37"/>
  <c r="M41" i="22"/>
  <c r="J24" i="23" s="1"/>
  <c r="N41" i="37"/>
  <c r="N50" i="37" s="1"/>
  <c r="K33" i="22"/>
  <c r="L33" i="37"/>
  <c r="Q101" i="4"/>
  <c r="Q97" i="4"/>
  <c r="M6" i="9"/>
  <c r="I59" i="6"/>
  <c r="L35" i="6"/>
  <c r="M34" i="6"/>
  <c r="O16" i="22" s="1"/>
  <c r="O14" i="22"/>
  <c r="K85" i="7"/>
  <c r="K86" i="7" s="1"/>
  <c r="O41" i="37" s="1"/>
  <c r="O50" i="37" s="1"/>
  <c r="L13" i="6"/>
  <c r="N19" i="22" s="1"/>
  <c r="N24" i="22" s="1"/>
  <c r="M68" i="7"/>
  <c r="M38" i="7"/>
  <c r="L23" i="7"/>
  <c r="Q107" i="4"/>
  <c r="Q108" i="4" s="1"/>
  <c r="R96" i="4"/>
  <c r="P573" i="9"/>
  <c r="Q58" i="9"/>
  <c r="Q52" i="9"/>
  <c r="M53" i="7"/>
  <c r="L286" i="9"/>
  <c r="N287" i="9"/>
  <c r="U211" i="9"/>
  <c r="J46" i="6"/>
  <c r="K45" i="6"/>
  <c r="M17" i="22" s="1"/>
  <c r="I62" i="7"/>
  <c r="J57" i="6"/>
  <c r="M23" i="6"/>
  <c r="O15" i="22" s="1"/>
  <c r="K26" i="7"/>
  <c r="K29" i="7"/>
  <c r="K56" i="25" s="1"/>
  <c r="K31" i="7"/>
  <c r="L24" i="6"/>
  <c r="J32" i="7"/>
  <c r="P14" i="22"/>
  <c r="I33" i="26"/>
  <c r="I45" i="26" s="1"/>
  <c r="I49" i="26" s="1"/>
  <c r="E33" i="26"/>
  <c r="E45" i="26" s="1"/>
  <c r="J33" i="26"/>
  <c r="J45" i="26" s="1"/>
  <c r="J49" i="26" s="1"/>
  <c r="F33" i="26"/>
  <c r="F45" i="26" s="1"/>
  <c r="F49" i="26" s="1"/>
  <c r="G33" i="26"/>
  <c r="G45" i="26" s="1"/>
  <c r="G49" i="26" s="1"/>
  <c r="K33" i="26"/>
  <c r="K45" i="26" s="1"/>
  <c r="K49" i="26" s="1"/>
  <c r="D33" i="26"/>
  <c r="D45" i="26" s="1"/>
  <c r="D49" i="26" s="1"/>
  <c r="H33" i="26"/>
  <c r="H45" i="26" s="1"/>
  <c r="H49" i="26" s="1"/>
  <c r="C33" i="26"/>
  <c r="E49" i="26"/>
  <c r="D104" i="26"/>
  <c r="P34" i="22" l="1"/>
  <c r="Q34" i="37"/>
  <c r="P32" i="22"/>
  <c r="Q32" i="37"/>
  <c r="L33" i="22"/>
  <c r="M33" i="37"/>
  <c r="O28" i="22"/>
  <c r="P28" i="37"/>
  <c r="M29" i="22"/>
  <c r="N29" i="37"/>
  <c r="P30" i="22"/>
  <c r="Q30" i="37"/>
  <c r="M44" i="22"/>
  <c r="N41" i="22"/>
  <c r="K24" i="23" s="1"/>
  <c r="N6" i="9"/>
  <c r="R101" i="4"/>
  <c r="R97" i="4"/>
  <c r="M35" i="6"/>
  <c r="N34" i="6"/>
  <c r="P16" i="22" s="1"/>
  <c r="M13" i="6"/>
  <c r="O19" i="22" s="1"/>
  <c r="O24" i="22" s="1"/>
  <c r="L85" i="7"/>
  <c r="L86" i="7" s="1"/>
  <c r="P41" i="37" s="1"/>
  <c r="P50" i="37" s="1"/>
  <c r="N68" i="7"/>
  <c r="N38" i="7"/>
  <c r="M23" i="7"/>
  <c r="R107" i="4"/>
  <c r="R108" i="4" s="1"/>
  <c r="S96" i="4"/>
  <c r="Q573" i="9"/>
  <c r="R58" i="9"/>
  <c r="R52" i="9"/>
  <c r="N53" i="7"/>
  <c r="M286" i="9"/>
  <c r="O287" i="9"/>
  <c r="P287" i="9" s="1"/>
  <c r="J59" i="6"/>
  <c r="K32" i="7"/>
  <c r="K56" i="6"/>
  <c r="M18" i="22" s="1"/>
  <c r="J61" i="7"/>
  <c r="J59" i="7"/>
  <c r="J70" i="25" s="1"/>
  <c r="J56" i="7"/>
  <c r="N23" i="6"/>
  <c r="P15" i="22" s="1"/>
  <c r="L26" i="7"/>
  <c r="L29" i="7"/>
  <c r="L56" i="25" s="1"/>
  <c r="L31" i="7"/>
  <c r="M24" i="6"/>
  <c r="Q14" i="22"/>
  <c r="N13" i="6"/>
  <c r="P19" i="22" s="1"/>
  <c r="P24" i="22" s="1"/>
  <c r="M85" i="7"/>
  <c r="M86" i="7" s="1"/>
  <c r="L45" i="6"/>
  <c r="N17" i="22" s="1"/>
  <c r="K46" i="6"/>
  <c r="C36" i="26"/>
  <c r="F91" i="26" s="1"/>
  <c r="C37" i="26"/>
  <c r="D37" i="26" s="1"/>
  <c r="C38" i="26"/>
  <c r="G76" i="26" s="1"/>
  <c r="C45" i="26"/>
  <c r="C49" i="26" s="1"/>
  <c r="C51" i="26" s="1"/>
  <c r="D51" i="26" s="1"/>
  <c r="P28" i="22" l="1"/>
  <c r="Q28" i="37"/>
  <c r="Q30" i="22"/>
  <c r="R30" i="37"/>
  <c r="P41" i="22"/>
  <c r="M24" i="23" s="1"/>
  <c r="Q41" i="37"/>
  <c r="Q50" i="37" s="1"/>
  <c r="N29" i="22"/>
  <c r="O29" i="37"/>
  <c r="Q32" i="22"/>
  <c r="R32" i="37"/>
  <c r="Q34" i="22"/>
  <c r="R34" i="37"/>
  <c r="N44" i="22"/>
  <c r="O41" i="22"/>
  <c r="L24" i="23" s="1"/>
  <c r="S101" i="4"/>
  <c r="S97" i="4"/>
  <c r="O6" i="9"/>
  <c r="N35" i="6"/>
  <c r="O34" i="6"/>
  <c r="Q16" i="22" s="1"/>
  <c r="O68" i="7"/>
  <c r="O38" i="7"/>
  <c r="N23" i="7"/>
  <c r="S107" i="4"/>
  <c r="S108" i="4" s="1"/>
  <c r="T96" i="4"/>
  <c r="R573" i="9"/>
  <c r="S58" i="9"/>
  <c r="S52" i="9"/>
  <c r="O53" i="7"/>
  <c r="N286" i="9"/>
  <c r="Q287" i="9"/>
  <c r="J62" i="7"/>
  <c r="L32" i="7"/>
  <c r="M45" i="6"/>
  <c r="O17" i="22" s="1"/>
  <c r="L46" i="6"/>
  <c r="M29" i="7"/>
  <c r="M56" i="25" s="1"/>
  <c r="M26" i="7"/>
  <c r="O23" i="6"/>
  <c r="Q15" i="22" s="1"/>
  <c r="M31" i="7"/>
  <c r="N24" i="6"/>
  <c r="N85" i="7"/>
  <c r="N86" i="7" s="1"/>
  <c r="R14" i="22"/>
  <c r="O13" i="6"/>
  <c r="Q19" i="22" s="1"/>
  <c r="Q24" i="22" s="1"/>
  <c r="K57" i="6"/>
  <c r="K59" i="6" s="1"/>
  <c r="H107" i="26"/>
  <c r="E60" i="26"/>
  <c r="G91" i="26"/>
  <c r="D36" i="26"/>
  <c r="C53" i="26"/>
  <c r="D53" i="26" s="1"/>
  <c r="F60" i="26"/>
  <c r="C52" i="26"/>
  <c r="D52" i="26" s="1"/>
  <c r="F76" i="26"/>
  <c r="G107" i="26"/>
  <c r="G60" i="26"/>
  <c r="F107" i="26"/>
  <c r="D38" i="26"/>
  <c r="E91" i="26"/>
  <c r="E76" i="26"/>
  <c r="M33" i="22" l="1"/>
  <c r="N33" i="37"/>
  <c r="Q28" i="22"/>
  <c r="R28" i="37"/>
  <c r="R30" i="22"/>
  <c r="S30" i="37"/>
  <c r="Q41" i="22"/>
  <c r="N24" i="23" s="1"/>
  <c r="R41" i="37"/>
  <c r="R50" i="37" s="1"/>
  <c r="O29" i="22"/>
  <c r="P29" i="37"/>
  <c r="R32" i="22"/>
  <c r="S32" i="37"/>
  <c r="R34" i="22"/>
  <c r="S34" i="37"/>
  <c r="O44" i="22"/>
  <c r="P6" i="9"/>
  <c r="T101" i="4"/>
  <c r="T97" i="4"/>
  <c r="J79" i="7"/>
  <c r="O35" i="6"/>
  <c r="P34" i="6"/>
  <c r="R16" i="22" s="1"/>
  <c r="P44" i="22"/>
  <c r="P68" i="7"/>
  <c r="P38" i="7"/>
  <c r="O23" i="7"/>
  <c r="T107" i="4"/>
  <c r="T108" i="4" s="1"/>
  <c r="U96" i="4"/>
  <c r="S573" i="9"/>
  <c r="T58" i="9"/>
  <c r="T52" i="9"/>
  <c r="P53" i="7"/>
  <c r="O286" i="9"/>
  <c r="R287" i="9"/>
  <c r="M32" i="7"/>
  <c r="L56" i="6"/>
  <c r="N18" i="22" s="1"/>
  <c r="K56" i="7"/>
  <c r="K61" i="7"/>
  <c r="K59" i="7"/>
  <c r="K70" i="25" s="1"/>
  <c r="O24" i="6"/>
  <c r="N29" i="7"/>
  <c r="N56" i="25" s="1"/>
  <c r="N26" i="7"/>
  <c r="N31" i="7"/>
  <c r="P23" i="6"/>
  <c r="R15" i="22" s="1"/>
  <c r="N45" i="6"/>
  <c r="P17" i="22" s="1"/>
  <c r="M46" i="6"/>
  <c r="S14" i="22"/>
  <c r="O85" i="7"/>
  <c r="O86" i="7" s="1"/>
  <c r="P13" i="6"/>
  <c r="R19" i="22" s="1"/>
  <c r="R24" i="22" s="1"/>
  <c r="K46" i="25"/>
  <c r="J46" i="25"/>
  <c r="I46" i="25"/>
  <c r="H46" i="25"/>
  <c r="G46" i="25"/>
  <c r="F46" i="25"/>
  <c r="E46" i="25"/>
  <c r="D46" i="25"/>
  <c r="K9" i="25"/>
  <c r="J9" i="25"/>
  <c r="I9" i="25"/>
  <c r="H9" i="25"/>
  <c r="G9" i="25"/>
  <c r="F9" i="25"/>
  <c r="E9" i="25"/>
  <c r="D9" i="25"/>
  <c r="D11" i="25"/>
  <c r="K83" i="25"/>
  <c r="J83" i="25"/>
  <c r="I83" i="25"/>
  <c r="H83" i="25"/>
  <c r="G83" i="25"/>
  <c r="F83" i="25"/>
  <c r="E83" i="25"/>
  <c r="D83" i="25"/>
  <c r="D81" i="25"/>
  <c r="E81" i="25" s="1"/>
  <c r="F81" i="25" s="1"/>
  <c r="G81" i="25" s="1"/>
  <c r="H81" i="25" s="1"/>
  <c r="I81" i="25" s="1"/>
  <c r="J81" i="25" s="1"/>
  <c r="K81" i="25" s="1"/>
  <c r="L81" i="25" s="1"/>
  <c r="M81" i="25" s="1"/>
  <c r="N81" i="25" s="1"/>
  <c r="O81" i="25" s="1"/>
  <c r="P81" i="25" s="1"/>
  <c r="Q81" i="25" s="1"/>
  <c r="R81" i="25" s="1"/>
  <c r="S81" i="25" s="1"/>
  <c r="T81" i="25" s="1"/>
  <c r="U81" i="25" s="1"/>
  <c r="V81" i="25" s="1"/>
  <c r="W81" i="25" s="1"/>
  <c r="X81" i="25" s="1"/>
  <c r="Y81" i="25" s="1"/>
  <c r="Z81" i="25" s="1"/>
  <c r="AA81" i="25" s="1"/>
  <c r="D44" i="25"/>
  <c r="E44" i="25" s="1"/>
  <c r="F44" i="25" s="1"/>
  <c r="G44" i="25" s="1"/>
  <c r="H44" i="25" s="1"/>
  <c r="I44" i="25" s="1"/>
  <c r="J44" i="25" s="1"/>
  <c r="K44" i="25" s="1"/>
  <c r="L44" i="25" s="1"/>
  <c r="M44" i="25" s="1"/>
  <c r="N44" i="25" s="1"/>
  <c r="O44" i="25" s="1"/>
  <c r="P44" i="25" s="1"/>
  <c r="Q44" i="25" s="1"/>
  <c r="R44" i="25" s="1"/>
  <c r="S44" i="25" s="1"/>
  <c r="T44" i="25" s="1"/>
  <c r="U44" i="25" s="1"/>
  <c r="V44" i="25" s="1"/>
  <c r="W44" i="25" s="1"/>
  <c r="X44" i="25" s="1"/>
  <c r="Y44" i="25" s="1"/>
  <c r="Z44" i="25" s="1"/>
  <c r="AA44" i="25" s="1"/>
  <c r="D7" i="25"/>
  <c r="E7" i="25" s="1"/>
  <c r="F7" i="25" s="1"/>
  <c r="G7" i="25" s="1"/>
  <c r="H7" i="25" s="1"/>
  <c r="I7" i="25" s="1"/>
  <c r="J7" i="25" s="1"/>
  <c r="K7" i="25" s="1"/>
  <c r="L7" i="25" s="1"/>
  <c r="M7" i="25" s="1"/>
  <c r="N7" i="25" s="1"/>
  <c r="O7" i="25" s="1"/>
  <c r="P7" i="25" s="1"/>
  <c r="Q7" i="25" s="1"/>
  <c r="R7" i="25" s="1"/>
  <c r="S7" i="25" s="1"/>
  <c r="T7" i="25" s="1"/>
  <c r="U7" i="25" s="1"/>
  <c r="V7" i="25" s="1"/>
  <c r="W7" i="25" s="1"/>
  <c r="X7" i="25" s="1"/>
  <c r="Y7" i="25" s="1"/>
  <c r="Z7" i="25" s="1"/>
  <c r="AA7" i="25" s="1"/>
  <c r="R41" i="22" l="1"/>
  <c r="O24" i="23" s="1"/>
  <c r="S41" i="37"/>
  <c r="S50" i="37" s="1"/>
  <c r="S34" i="22"/>
  <c r="T34" i="37"/>
  <c r="P29" i="22"/>
  <c r="Q29" i="37"/>
  <c r="S32" i="22"/>
  <c r="T32" i="37"/>
  <c r="R28" i="22"/>
  <c r="S28" i="37"/>
  <c r="S30" i="22"/>
  <c r="T30" i="37"/>
  <c r="D48" i="25"/>
  <c r="D12" i="25"/>
  <c r="D42" i="25" s="1"/>
  <c r="D9" i="23" s="1"/>
  <c r="D7" i="36" s="1"/>
  <c r="U101" i="4"/>
  <c r="U97" i="4"/>
  <c r="Q6" i="9"/>
  <c r="Q34" i="6"/>
  <c r="S16" i="22" s="1"/>
  <c r="P35" i="6"/>
  <c r="Q44" i="22"/>
  <c r="Q68" i="7"/>
  <c r="Q38" i="7"/>
  <c r="P23" i="7"/>
  <c r="U107" i="4"/>
  <c r="U108" i="4" s="1"/>
  <c r="V96" i="4"/>
  <c r="T573" i="9"/>
  <c r="U58" i="9"/>
  <c r="U52" i="9"/>
  <c r="Q53" i="7"/>
  <c r="P286" i="9"/>
  <c r="S287" i="9"/>
  <c r="D85" i="25"/>
  <c r="K62" i="7"/>
  <c r="O45" i="6"/>
  <c r="Q17" i="22" s="1"/>
  <c r="N46" i="6"/>
  <c r="Q23" i="6"/>
  <c r="S15" i="22" s="1"/>
  <c r="O31" i="7"/>
  <c r="O29" i="7"/>
  <c r="O56" i="25" s="1"/>
  <c r="O26" i="7"/>
  <c r="P24" i="6"/>
  <c r="L57" i="6"/>
  <c r="L59" i="6" s="1"/>
  <c r="P85" i="7"/>
  <c r="P86" i="7" s="1"/>
  <c r="Q13" i="6"/>
  <c r="S19" i="22" s="1"/>
  <c r="S24" i="22" s="1"/>
  <c r="T14" i="22"/>
  <c r="N32" i="7"/>
  <c r="C13" i="26"/>
  <c r="C22" i="26" s="1"/>
  <c r="E11" i="25"/>
  <c r="C3" i="9"/>
  <c r="S28" i="22" l="1"/>
  <c r="T28" i="37"/>
  <c r="S41" i="22"/>
  <c r="P24" i="23" s="1"/>
  <c r="T41" i="37"/>
  <c r="T50" i="37" s="1"/>
  <c r="T30" i="22"/>
  <c r="U30" i="37"/>
  <c r="N33" i="22"/>
  <c r="O33" i="37"/>
  <c r="T34" i="22"/>
  <c r="U34" i="37"/>
  <c r="Q29" i="22"/>
  <c r="R29" i="37"/>
  <c r="T32" i="22"/>
  <c r="U32" i="37"/>
  <c r="D3" i="9"/>
  <c r="C12" i="36"/>
  <c r="C14" i="36" s="1"/>
  <c r="E48" i="25"/>
  <c r="E85" i="25" s="1"/>
  <c r="E12" i="25"/>
  <c r="E42" i="25" s="1"/>
  <c r="E9" i="23" s="1"/>
  <c r="E7" i="36" s="1"/>
  <c r="V101" i="4"/>
  <c r="V97" i="4"/>
  <c r="R6" i="9"/>
  <c r="K79" i="7"/>
  <c r="R34" i="6"/>
  <c r="T16" i="22" s="1"/>
  <c r="Q35" i="6"/>
  <c r="R44" i="22"/>
  <c r="R68" i="7"/>
  <c r="R38" i="7"/>
  <c r="Q23" i="7"/>
  <c r="V107" i="4"/>
  <c r="V108" i="4" s="1"/>
  <c r="W96" i="4"/>
  <c r="U573" i="9"/>
  <c r="V58" i="9"/>
  <c r="V52" i="9"/>
  <c r="R53" i="7"/>
  <c r="Q286" i="9"/>
  <c r="T287" i="9"/>
  <c r="O32" i="7"/>
  <c r="S34" i="6"/>
  <c r="U16" i="22" s="1"/>
  <c r="Q85" i="7"/>
  <c r="Q86" i="7" s="1"/>
  <c r="U14" i="22"/>
  <c r="R13" i="6"/>
  <c r="T19" i="22" s="1"/>
  <c r="T24" i="22" s="1"/>
  <c r="R23" i="6"/>
  <c r="T15" i="22" s="1"/>
  <c r="P31" i="7"/>
  <c r="P29" i="7"/>
  <c r="P56" i="25" s="1"/>
  <c r="P26" i="7"/>
  <c r="Q24" i="6"/>
  <c r="O46" i="6"/>
  <c r="P45" i="6"/>
  <c r="R17" i="22" s="1"/>
  <c r="M56" i="6"/>
  <c r="O18" i="22" s="1"/>
  <c r="L56" i="7"/>
  <c r="L59" i="7"/>
  <c r="L70" i="25" s="1"/>
  <c r="L61" i="7"/>
  <c r="F11" i="25"/>
  <c r="F12" i="25" s="1"/>
  <c r="K7" i="23"/>
  <c r="J7" i="23"/>
  <c r="C4" i="23"/>
  <c r="D4" i="23" s="1"/>
  <c r="E4" i="23" s="1"/>
  <c r="F4" i="23" s="1"/>
  <c r="G4" i="23" s="1"/>
  <c r="H4" i="23" s="1"/>
  <c r="I4" i="23" s="1"/>
  <c r="J4" i="23" s="1"/>
  <c r="K4" i="23" s="1"/>
  <c r="L4" i="23" s="1"/>
  <c r="M4" i="23" s="1"/>
  <c r="N4" i="23" s="1"/>
  <c r="O4" i="23" s="1"/>
  <c r="P4" i="23" s="1"/>
  <c r="Q4" i="23" s="1"/>
  <c r="R4" i="23" s="1"/>
  <c r="S4" i="23" s="1"/>
  <c r="T4" i="23" s="1"/>
  <c r="U4" i="23" s="1"/>
  <c r="V4" i="23" s="1"/>
  <c r="W4" i="23" s="1"/>
  <c r="X4" i="23" s="1"/>
  <c r="Y4" i="23" s="1"/>
  <c r="Z4" i="23" s="1"/>
  <c r="AA4" i="23" s="1"/>
  <c r="R29" i="22" l="1"/>
  <c r="S29" i="37"/>
  <c r="T28" i="22"/>
  <c r="U28" i="37"/>
  <c r="T41" i="22"/>
  <c r="Q24" i="23" s="1"/>
  <c r="U41" i="37"/>
  <c r="U50" i="37" s="1"/>
  <c r="U30" i="22"/>
  <c r="V30" i="37"/>
  <c r="U32" i="22"/>
  <c r="V32" i="37"/>
  <c r="U34" i="22"/>
  <c r="V34" i="37"/>
  <c r="E3" i="9"/>
  <c r="D12" i="36"/>
  <c r="W101" i="4"/>
  <c r="W97" i="4"/>
  <c r="S6" i="9"/>
  <c r="L7" i="23"/>
  <c r="R35" i="6"/>
  <c r="S44" i="22"/>
  <c r="S68" i="7"/>
  <c r="S38" i="7"/>
  <c r="R23" i="7"/>
  <c r="W107" i="4"/>
  <c r="W108" i="4" s="1"/>
  <c r="X96" i="4"/>
  <c r="V573" i="9"/>
  <c r="W58" i="9"/>
  <c r="W52" i="9"/>
  <c r="S53" i="7"/>
  <c r="R286" i="9"/>
  <c r="U287" i="9"/>
  <c r="F48" i="25"/>
  <c r="F85" i="25" s="1"/>
  <c r="F42" i="25"/>
  <c r="F9" i="23" s="1"/>
  <c r="F7" i="36" s="1"/>
  <c r="G11" i="25"/>
  <c r="G12" i="25" s="1"/>
  <c r="P32" i="7"/>
  <c r="S23" i="6"/>
  <c r="U15" i="22" s="1"/>
  <c r="Q31" i="7"/>
  <c r="Q29" i="7"/>
  <c r="Q56" i="25" s="1"/>
  <c r="Q26" i="7"/>
  <c r="R24" i="6"/>
  <c r="M57" i="6"/>
  <c r="M59" i="6" s="1"/>
  <c r="L62" i="7"/>
  <c r="Q45" i="6"/>
  <c r="S17" i="22" s="1"/>
  <c r="P46" i="6"/>
  <c r="R85" i="7"/>
  <c r="R86" i="7" s="1"/>
  <c r="V14" i="22"/>
  <c r="S13" i="6"/>
  <c r="U19" i="22" s="1"/>
  <c r="U24" i="22" s="1"/>
  <c r="S35" i="6"/>
  <c r="T34" i="6"/>
  <c r="V16" i="22" s="1"/>
  <c r="D12" i="26"/>
  <c r="D21" i="26" s="1"/>
  <c r="Q136" i="22"/>
  <c r="Q137" i="22" s="1"/>
  <c r="Q138" i="22" s="1"/>
  <c r="E108" i="22"/>
  <c r="E109" i="22" s="1"/>
  <c r="E110" i="22" s="1"/>
  <c r="E111" i="22" s="1"/>
  <c r="E112" i="22" s="1"/>
  <c r="E113" i="22" s="1"/>
  <c r="E114" i="22" s="1"/>
  <c r="E115" i="22" s="1"/>
  <c r="E116" i="22" s="1"/>
  <c r="E117" i="22" s="1"/>
  <c r="E118" i="22" s="1"/>
  <c r="E119" i="22" s="1"/>
  <c r="E120" i="22" s="1"/>
  <c r="E121" i="22" s="1"/>
  <c r="E122" i="22" s="1"/>
  <c r="E123" i="22" s="1"/>
  <c r="E124" i="22" s="1"/>
  <c r="E125" i="22" s="1"/>
  <c r="E126" i="22" s="1"/>
  <c r="E127" i="22" s="1"/>
  <c r="E128" i="22" s="1"/>
  <c r="E129" i="22" s="1"/>
  <c r="E130" i="22" s="1"/>
  <c r="C94" i="22"/>
  <c r="B8" i="16" s="1"/>
  <c r="C78" i="22"/>
  <c r="B30" i="23" s="1"/>
  <c r="C7" i="26"/>
  <c r="F74" i="22"/>
  <c r="C6" i="26" s="1"/>
  <c r="H7" i="26"/>
  <c r="G7" i="26"/>
  <c r="F7" i="26"/>
  <c r="E7" i="26"/>
  <c r="D7" i="26"/>
  <c r="C7" i="23"/>
  <c r="D3" i="22"/>
  <c r="D48" i="22" s="1"/>
  <c r="D76" i="22"/>
  <c r="U28" i="22" l="1"/>
  <c r="V28" i="37"/>
  <c r="O33" i="22"/>
  <c r="P33" i="37"/>
  <c r="V30" i="22"/>
  <c r="W30" i="37"/>
  <c r="U41" i="22"/>
  <c r="R24" i="23" s="1"/>
  <c r="V41" i="37"/>
  <c r="V50" i="37" s="1"/>
  <c r="V32" i="22"/>
  <c r="W32" i="37"/>
  <c r="V34" i="22"/>
  <c r="W34" i="37"/>
  <c r="S29" i="22"/>
  <c r="T29" i="37"/>
  <c r="F3" i="9"/>
  <c r="E12" i="36"/>
  <c r="X101" i="4"/>
  <c r="X97" i="4"/>
  <c r="T6" i="9"/>
  <c r="L79" i="7"/>
  <c r="T44" i="22"/>
  <c r="T68" i="7"/>
  <c r="T38" i="7"/>
  <c r="S23" i="7"/>
  <c r="G89" i="22"/>
  <c r="X107" i="4"/>
  <c r="X108" i="4" s="1"/>
  <c r="W573" i="9"/>
  <c r="X58" i="9"/>
  <c r="X52" i="9"/>
  <c r="T53" i="7"/>
  <c r="S286" i="9"/>
  <c r="V287" i="9"/>
  <c r="H11" i="25"/>
  <c r="G42" i="25"/>
  <c r="G9" i="23" s="1"/>
  <c r="G7" i="36" s="1"/>
  <c r="G48" i="25"/>
  <c r="U34" i="6"/>
  <c r="W16" i="22" s="1"/>
  <c r="T35" i="6"/>
  <c r="S85" i="7"/>
  <c r="S86" i="7" s="1"/>
  <c r="W14" i="22"/>
  <c r="T13" i="6"/>
  <c r="V19" i="22" s="1"/>
  <c r="V24" i="22" s="1"/>
  <c r="Q32" i="7"/>
  <c r="N56" i="6"/>
  <c r="P18" i="22" s="1"/>
  <c r="M56" i="7"/>
  <c r="M59" i="7"/>
  <c r="M70" i="25" s="1"/>
  <c r="M61" i="7"/>
  <c r="R45" i="6"/>
  <c r="T17" i="22" s="1"/>
  <c r="Q46" i="6"/>
  <c r="R26" i="7"/>
  <c r="R31" i="7"/>
  <c r="R29" i="7"/>
  <c r="R56" i="25" s="1"/>
  <c r="T23" i="6"/>
  <c r="V15" i="22" s="1"/>
  <c r="S24" i="6"/>
  <c r="E12" i="26"/>
  <c r="E21" i="26" s="1"/>
  <c r="Q139" i="22"/>
  <c r="Q140" i="22" s="1"/>
  <c r="Q141" i="22" s="1"/>
  <c r="Q142" i="22" s="1"/>
  <c r="W30" i="22" l="1"/>
  <c r="X30" i="37"/>
  <c r="W32" i="22"/>
  <c r="X32" i="37"/>
  <c r="T29" i="22"/>
  <c r="U29" i="37"/>
  <c r="V41" i="22"/>
  <c r="S24" i="23" s="1"/>
  <c r="W41" i="37"/>
  <c r="W50" i="37" s="1"/>
  <c r="W34" i="22"/>
  <c r="X34" i="37"/>
  <c r="V28" i="22"/>
  <c r="W28" i="37"/>
  <c r="G3" i="9"/>
  <c r="F12" i="36"/>
  <c r="H12" i="25"/>
  <c r="H42" i="25" s="1"/>
  <c r="H9" i="23" s="1"/>
  <c r="H7" i="36" s="1"/>
  <c r="H48" i="25"/>
  <c r="H85" i="25" s="1"/>
  <c r="I11" i="25"/>
  <c r="U6" i="9"/>
  <c r="M7" i="23"/>
  <c r="U44" i="22"/>
  <c r="U68" i="7"/>
  <c r="U38" i="7"/>
  <c r="T23" i="7"/>
  <c r="X573" i="9"/>
  <c r="Y58" i="9"/>
  <c r="Y52" i="9"/>
  <c r="U53" i="7"/>
  <c r="T286" i="9"/>
  <c r="W287" i="9"/>
  <c r="G85" i="25"/>
  <c r="M62" i="7"/>
  <c r="R32" i="7"/>
  <c r="S26" i="7"/>
  <c r="S31" i="7"/>
  <c r="S29" i="7"/>
  <c r="S56" i="25" s="1"/>
  <c r="U23" i="6"/>
  <c r="W15" i="22" s="1"/>
  <c r="T24" i="6"/>
  <c r="T85" i="7"/>
  <c r="T86" i="7" s="1"/>
  <c r="X14" i="22"/>
  <c r="U13" i="6"/>
  <c r="W19" i="22" s="1"/>
  <c r="W24" i="22" s="1"/>
  <c r="N57" i="6"/>
  <c r="N59" i="6" s="1"/>
  <c r="S45" i="6"/>
  <c r="U17" i="22" s="1"/>
  <c r="R46" i="6"/>
  <c r="U35" i="6"/>
  <c r="V34" i="6"/>
  <c r="X16" i="22" s="1"/>
  <c r="J11" i="25"/>
  <c r="F12" i="26"/>
  <c r="F21" i="26" s="1"/>
  <c r="Q143" i="22"/>
  <c r="G8" i="22"/>
  <c r="P33" i="22" l="1"/>
  <c r="Q33" i="37"/>
  <c r="W41" i="22"/>
  <c r="T24" i="23" s="1"/>
  <c r="X41" i="37"/>
  <c r="X50" i="37" s="1"/>
  <c r="X32" i="22"/>
  <c r="Y32" i="37"/>
  <c r="X30" i="22"/>
  <c r="Y30" i="37"/>
  <c r="X34" i="22"/>
  <c r="Y34" i="37"/>
  <c r="W28" i="22"/>
  <c r="X28" i="37"/>
  <c r="U29" i="22"/>
  <c r="V29" i="37"/>
  <c r="H3" i="9"/>
  <c r="G12" i="36"/>
  <c r="J12" i="25"/>
  <c r="J42" i="25" s="1"/>
  <c r="J9" i="23" s="1"/>
  <c r="J7" i="36" s="1"/>
  <c r="I12" i="25"/>
  <c r="I42" i="25" s="1"/>
  <c r="I9" i="23" s="1"/>
  <c r="I7" i="36" s="1"/>
  <c r="I48" i="25"/>
  <c r="I85" i="25" s="1"/>
  <c r="V6" i="9"/>
  <c r="M79" i="7"/>
  <c r="V44" i="22"/>
  <c r="V68" i="7"/>
  <c r="V38" i="7"/>
  <c r="U23" i="7"/>
  <c r="Y573" i="9"/>
  <c r="Z58" i="9"/>
  <c r="Z52" i="9"/>
  <c r="V53" i="7"/>
  <c r="U286" i="9"/>
  <c r="X287" i="9"/>
  <c r="U85" i="7"/>
  <c r="U86" i="7" s="1"/>
  <c r="Y14" i="22"/>
  <c r="V13" i="6"/>
  <c r="X19" i="22" s="1"/>
  <c r="X24" i="22" s="1"/>
  <c r="W34" i="6"/>
  <c r="Y16" i="22" s="1"/>
  <c r="V35" i="6"/>
  <c r="T26" i="7"/>
  <c r="T29" i="7"/>
  <c r="T56" i="25" s="1"/>
  <c r="T31" i="7"/>
  <c r="V23" i="6"/>
  <c r="X15" i="22" s="1"/>
  <c r="U24" i="6"/>
  <c r="S32" i="7"/>
  <c r="T45" i="6"/>
  <c r="V17" i="22" s="1"/>
  <c r="S46" i="6"/>
  <c r="O56" i="6"/>
  <c r="Q18" i="22" s="1"/>
  <c r="N59" i="7"/>
  <c r="N70" i="25" s="1"/>
  <c r="N56" i="7"/>
  <c r="N61" i="7"/>
  <c r="F49" i="25"/>
  <c r="K11" i="25"/>
  <c r="K12" i="25" s="1"/>
  <c r="J48" i="25"/>
  <c r="J49" i="25" s="1"/>
  <c r="G12" i="26"/>
  <c r="G21" i="26" s="1"/>
  <c r="D14" i="7"/>
  <c r="Q144" i="22"/>
  <c r="A3" i="4"/>
  <c r="A4" i="4" s="1"/>
  <c r="A5" i="4" s="1"/>
  <c r="A6" i="4" s="1"/>
  <c r="A7" i="4" s="1"/>
  <c r="A8" i="4" s="1"/>
  <c r="A9" i="4" s="1"/>
  <c r="A10" i="4" s="1"/>
  <c r="Y34" i="22" l="1"/>
  <c r="Z34" i="37"/>
  <c r="V29" i="22"/>
  <c r="W29" i="37"/>
  <c r="Y32" i="22"/>
  <c r="Z32" i="37"/>
  <c r="X28" i="22"/>
  <c r="Y28" i="37"/>
  <c r="X41" i="22"/>
  <c r="U24" i="23" s="1"/>
  <c r="Y41" i="37"/>
  <c r="Y50" i="37" s="1"/>
  <c r="Y30" i="22"/>
  <c r="Z30" i="37"/>
  <c r="D49" i="25"/>
  <c r="I3" i="9"/>
  <c r="H12" i="36"/>
  <c r="W6" i="9"/>
  <c r="N7" i="23"/>
  <c r="W44" i="22"/>
  <c r="W68" i="7"/>
  <c r="W38" i="7"/>
  <c r="V23" i="7"/>
  <c r="Z573" i="9"/>
  <c r="AA58" i="9"/>
  <c r="AA573" i="9" s="1"/>
  <c r="AA52" i="9"/>
  <c r="W53" i="7"/>
  <c r="V286" i="9"/>
  <c r="L11" i="25"/>
  <c r="T32" i="7"/>
  <c r="O57" i="6"/>
  <c r="O59" i="6" s="1"/>
  <c r="U45" i="6"/>
  <c r="W17" i="22" s="1"/>
  <c r="T46" i="6"/>
  <c r="W13" i="6"/>
  <c r="Y19" i="22" s="1"/>
  <c r="Y24" i="22" s="1"/>
  <c r="Z14" i="22"/>
  <c r="V85" i="7"/>
  <c r="V86" i="7" s="1"/>
  <c r="W35" i="6"/>
  <c r="X34" i="6"/>
  <c r="Z16" i="22" s="1"/>
  <c r="N62" i="7"/>
  <c r="U29" i="7"/>
  <c r="U56" i="25" s="1"/>
  <c r="U26" i="7"/>
  <c r="U31" i="7"/>
  <c r="V24" i="6"/>
  <c r="W23" i="6"/>
  <c r="Y15" i="22" s="1"/>
  <c r="J85" i="25"/>
  <c r="K48" i="25"/>
  <c r="K49" i="25" s="1"/>
  <c r="H12" i="26"/>
  <c r="H21" i="26" s="1"/>
  <c r="Q145" i="22"/>
  <c r="Z34" i="22" l="1"/>
  <c r="AA34" i="37"/>
  <c r="Y41" i="22"/>
  <c r="V24" i="23" s="1"/>
  <c r="Z41" i="37"/>
  <c r="Z50" i="37" s="1"/>
  <c r="Q33" i="22"/>
  <c r="R33" i="37"/>
  <c r="Z32" i="22"/>
  <c r="AA32" i="37"/>
  <c r="Y28" i="22"/>
  <c r="Z28" i="37"/>
  <c r="W29" i="22"/>
  <c r="X29" i="37"/>
  <c r="Z30" i="22"/>
  <c r="AA30" i="37"/>
  <c r="J3" i="9"/>
  <c r="I12" i="36"/>
  <c r="L12" i="25"/>
  <c r="L42" i="25" s="1"/>
  <c r="L9" i="23" s="1"/>
  <c r="L7" i="36" s="1"/>
  <c r="X6" i="9"/>
  <c r="L48" i="25"/>
  <c r="M11" i="25"/>
  <c r="N79" i="7"/>
  <c r="X44" i="22"/>
  <c r="X68" i="7"/>
  <c r="X38" i="7"/>
  <c r="W23" i="7"/>
  <c r="X53" i="7"/>
  <c r="W286" i="9"/>
  <c r="K42" i="25"/>
  <c r="K9" i="23" s="1"/>
  <c r="K7" i="36" s="1"/>
  <c r="P56" i="6"/>
  <c r="R18" i="22" s="1"/>
  <c r="O59" i="7"/>
  <c r="O70" i="25" s="1"/>
  <c r="O61" i="7"/>
  <c r="O56" i="7"/>
  <c r="W24" i="6"/>
  <c r="V29" i="7"/>
  <c r="V56" i="25" s="1"/>
  <c r="V26" i="7"/>
  <c r="X23" i="6"/>
  <c r="Z15" i="22" s="1"/>
  <c r="V31" i="7"/>
  <c r="Y34" i="6"/>
  <c r="AA16" i="22" s="1"/>
  <c r="X35" i="6"/>
  <c r="AA14" i="22"/>
  <c r="X13" i="6"/>
  <c r="Z19" i="22" s="1"/>
  <c r="Z24" i="22" s="1"/>
  <c r="W85" i="7"/>
  <c r="W86" i="7" s="1"/>
  <c r="U46" i="6"/>
  <c r="V45" i="6"/>
  <c r="X17" i="22" s="1"/>
  <c r="U32" i="7"/>
  <c r="K85" i="25"/>
  <c r="I12" i="26"/>
  <c r="I21" i="26" s="1"/>
  <c r="Q146" i="22"/>
  <c r="X29" i="22" l="1"/>
  <c r="Y29" i="37"/>
  <c r="Z28" i="22"/>
  <c r="AA28" i="37"/>
  <c r="AA30" i="22"/>
  <c r="AB30" i="37"/>
  <c r="AA34" i="22"/>
  <c r="AB34" i="37"/>
  <c r="Z41" i="22"/>
  <c r="W24" i="23" s="1"/>
  <c r="AA41" i="37"/>
  <c r="AA50" i="37" s="1"/>
  <c r="AA32" i="22"/>
  <c r="AB32" i="37"/>
  <c r="J12" i="36"/>
  <c r="K3" i="9"/>
  <c r="L85" i="25"/>
  <c r="L49" i="25"/>
  <c r="M12" i="25"/>
  <c r="M42" i="25" s="1"/>
  <c r="M9" i="23" s="1"/>
  <c r="M7" i="36" s="1"/>
  <c r="M48" i="25"/>
  <c r="M49" i="25" s="1"/>
  <c r="N11" i="25"/>
  <c r="K10" i="23"/>
  <c r="L10" i="23"/>
  <c r="Y6" i="9"/>
  <c r="O7" i="23"/>
  <c r="Y44" i="22"/>
  <c r="Y68" i="7"/>
  <c r="Y38" i="7"/>
  <c r="X23" i="7"/>
  <c r="Y53" i="7"/>
  <c r="X286" i="9"/>
  <c r="O11" i="25"/>
  <c r="N48" i="25"/>
  <c r="N49" i="25" s="1"/>
  <c r="O62" i="7"/>
  <c r="W31" i="7"/>
  <c r="W29" i="7"/>
  <c r="W56" i="25" s="1"/>
  <c r="W26" i="7"/>
  <c r="Y23" i="6"/>
  <c r="AA15" i="22" s="1"/>
  <c r="X24" i="6"/>
  <c r="P57" i="6"/>
  <c r="P59" i="6" s="1"/>
  <c r="V32" i="7"/>
  <c r="W45" i="6"/>
  <c r="Y17" i="22" s="1"/>
  <c r="V46" i="6"/>
  <c r="AB14" i="22"/>
  <c r="X85" i="7"/>
  <c r="X86" i="7" s="1"/>
  <c r="Y13" i="6"/>
  <c r="AA19" i="22" s="1"/>
  <c r="AA24" i="22" s="1"/>
  <c r="Z34" i="6"/>
  <c r="AB16" i="22" s="1"/>
  <c r="Y35" i="6"/>
  <c r="J12" i="26"/>
  <c r="J21" i="26" s="1"/>
  <c r="Q147" i="22"/>
  <c r="Q148" i="22" s="1"/>
  <c r="Q149" i="22" s="1"/>
  <c r="Q150" i="22" s="1"/>
  <c r="Q151" i="22" s="1"/>
  <c r="AA41" i="22" l="1"/>
  <c r="X24" i="23" s="1"/>
  <c r="AB41" i="37"/>
  <c r="AB50" i="37" s="1"/>
  <c r="AB30" i="22"/>
  <c r="AC30" i="37"/>
  <c r="AB34" i="22"/>
  <c r="AC34" i="37"/>
  <c r="Y29" i="22"/>
  <c r="Z29" i="37"/>
  <c r="AA28" i="22"/>
  <c r="AB28" i="37"/>
  <c r="R33" i="22"/>
  <c r="S33" i="37"/>
  <c r="AB32" i="22"/>
  <c r="AC32" i="37"/>
  <c r="K12" i="36"/>
  <c r="L3" i="9"/>
  <c r="M10" i="23"/>
  <c r="O12" i="25"/>
  <c r="O42" i="25" s="1"/>
  <c r="O9" i="23" s="1"/>
  <c r="O7" i="36" s="1"/>
  <c r="M85" i="25"/>
  <c r="N12" i="25"/>
  <c r="N42" i="25" s="1"/>
  <c r="N9" i="23" s="1"/>
  <c r="N7" i="36" s="1"/>
  <c r="Z6" i="9"/>
  <c r="O79" i="7"/>
  <c r="Z44" i="22"/>
  <c r="Z68" i="7"/>
  <c r="Z38" i="7"/>
  <c r="Y23" i="7"/>
  <c r="Z53" i="7"/>
  <c r="N85" i="25"/>
  <c r="O48" i="25"/>
  <c r="O49" i="25" s="1"/>
  <c r="P11" i="25"/>
  <c r="AA34" i="6"/>
  <c r="AC16" i="22" s="1"/>
  <c r="Z35" i="6"/>
  <c r="Q56" i="6"/>
  <c r="S18" i="22" s="1"/>
  <c r="P61" i="7"/>
  <c r="P59" i="7"/>
  <c r="P70" i="25" s="1"/>
  <c r="P56" i="7"/>
  <c r="Z23" i="6"/>
  <c r="AB15" i="22" s="1"/>
  <c r="X26" i="7"/>
  <c r="X31" i="7"/>
  <c r="X29" i="7"/>
  <c r="X56" i="25" s="1"/>
  <c r="Y24" i="6"/>
  <c r="AC14" i="22"/>
  <c r="Z13" i="6"/>
  <c r="AB19" i="22" s="1"/>
  <c r="AB24" i="22" s="1"/>
  <c r="Y85" i="7"/>
  <c r="Y86" i="7" s="1"/>
  <c r="W32" i="7"/>
  <c r="W46" i="6"/>
  <c r="X45" i="6"/>
  <c r="Z17" i="22" s="1"/>
  <c r="K12" i="26"/>
  <c r="K21" i="26" s="1"/>
  <c r="AB28" i="22" l="1"/>
  <c r="AC28" i="37"/>
  <c r="Z29" i="22"/>
  <c r="AA29" i="37"/>
  <c r="AC30" i="22"/>
  <c r="AD30" i="37"/>
  <c r="AC32" i="22"/>
  <c r="AD32" i="37"/>
  <c r="AB41" i="22"/>
  <c r="Y24" i="23" s="1"/>
  <c r="AC41" i="37"/>
  <c r="AC50" i="37" s="1"/>
  <c r="AC34" i="22"/>
  <c r="AD34" i="37"/>
  <c r="L12" i="36"/>
  <c r="M3" i="9"/>
  <c r="O10" i="23"/>
  <c r="N10" i="23"/>
  <c r="P12" i="25"/>
  <c r="P42" i="25" s="1"/>
  <c r="P9" i="23" s="1"/>
  <c r="P7" i="36" s="1"/>
  <c r="M15" i="23"/>
  <c r="AA6" i="9"/>
  <c r="P7" i="23"/>
  <c r="AA44" i="22"/>
  <c r="AA68" i="7"/>
  <c r="AA38" i="7"/>
  <c r="Z23" i="7"/>
  <c r="AA53" i="7"/>
  <c r="O85" i="25"/>
  <c r="P48" i="25"/>
  <c r="P49" i="25" s="1"/>
  <c r="Q11" i="25"/>
  <c r="AA23" i="6"/>
  <c r="AC15" i="22" s="1"/>
  <c r="Y29" i="7"/>
  <c r="Y56" i="25" s="1"/>
  <c r="Y26" i="7"/>
  <c r="Y31" i="7"/>
  <c r="Z24" i="6"/>
  <c r="P62" i="7"/>
  <c r="AA35" i="6"/>
  <c r="AB34" i="6"/>
  <c r="X46" i="6"/>
  <c r="Y45" i="6"/>
  <c r="AA17" i="22" s="1"/>
  <c r="X32" i="7"/>
  <c r="Z85" i="7"/>
  <c r="Z86" i="7" s="1"/>
  <c r="AD14" i="22"/>
  <c r="AA13" i="6"/>
  <c r="AC19" i="22" s="1"/>
  <c r="AC24" i="22" s="1"/>
  <c r="Q57" i="6"/>
  <c r="Q59" i="6" s="1"/>
  <c r="AD30" i="22" l="1"/>
  <c r="AE30" i="37"/>
  <c r="S33" i="22"/>
  <c r="T33" i="37"/>
  <c r="AD34" i="22"/>
  <c r="AE34" i="37"/>
  <c r="AD32" i="22"/>
  <c r="AE32" i="37"/>
  <c r="AA29" i="22"/>
  <c r="AB29" i="37"/>
  <c r="AC41" i="22"/>
  <c r="Z24" i="23" s="1"/>
  <c r="AD41" i="37"/>
  <c r="AD50" i="37" s="1"/>
  <c r="AC28" i="22"/>
  <c r="AD28" i="37"/>
  <c r="M12" i="36"/>
  <c r="N3" i="9"/>
  <c r="Q12" i="25"/>
  <c r="Q42" i="25" s="1"/>
  <c r="Q9" i="23" s="1"/>
  <c r="Q7" i="36" s="1"/>
  <c r="P79" i="7"/>
  <c r="P10" i="23"/>
  <c r="AB35" i="6"/>
  <c r="AD16" i="22"/>
  <c r="AB44" i="22"/>
  <c r="AA23" i="7"/>
  <c r="P85" i="25"/>
  <c r="Q48" i="25"/>
  <c r="Q49" i="25" s="1"/>
  <c r="R11" i="25"/>
  <c r="AB13" i="6"/>
  <c r="AD19" i="22" s="1"/>
  <c r="AD24" i="22" s="1"/>
  <c r="AA85" i="7"/>
  <c r="AA86" i="7" s="1"/>
  <c r="Y32" i="7"/>
  <c r="R56" i="6"/>
  <c r="T18" i="22" s="1"/>
  <c r="Q61" i="7"/>
  <c r="Q59" i="7"/>
  <c r="Q70" i="25" s="1"/>
  <c r="Q56" i="7"/>
  <c r="Z45" i="6"/>
  <c r="AB17" i="22" s="1"/>
  <c r="Y46" i="6"/>
  <c r="Z29" i="7"/>
  <c r="Z56" i="25" s="1"/>
  <c r="Z26" i="7"/>
  <c r="Z31" i="7"/>
  <c r="AB23" i="6"/>
  <c r="AD15" i="22" s="1"/>
  <c r="AA24" i="6"/>
  <c r="E7" i="23"/>
  <c r="AD28" i="22" l="1"/>
  <c r="AE28" i="37"/>
  <c r="AB29" i="22"/>
  <c r="AC29" i="37"/>
  <c r="AD41" i="22"/>
  <c r="AA24" i="23" s="1"/>
  <c r="AE41" i="37"/>
  <c r="AE50" i="37" s="1"/>
  <c r="N12" i="36"/>
  <c r="O3" i="9"/>
  <c r="R12" i="25"/>
  <c r="R42" i="25" s="1"/>
  <c r="R9" i="23" s="1"/>
  <c r="R7" i="36" s="1"/>
  <c r="Q7" i="23"/>
  <c r="AC44" i="22"/>
  <c r="E10" i="23"/>
  <c r="Q85" i="25"/>
  <c r="S11" i="25"/>
  <c r="R48" i="25"/>
  <c r="R49" i="25" s="1"/>
  <c r="Z32" i="7"/>
  <c r="Q62" i="7"/>
  <c r="AA45" i="6"/>
  <c r="AC17" i="22" s="1"/>
  <c r="Z46" i="6"/>
  <c r="R57" i="6"/>
  <c r="R59" i="6" s="1"/>
  <c r="AB24" i="6"/>
  <c r="AA29" i="7"/>
  <c r="AA56" i="25" s="1"/>
  <c r="AA26" i="7"/>
  <c r="AA31" i="7"/>
  <c r="AD44" i="22" l="1"/>
  <c r="T33" i="22"/>
  <c r="U33" i="37"/>
  <c r="AC29" i="22"/>
  <c r="AD29" i="37"/>
  <c r="O12" i="36"/>
  <c r="P3" i="9"/>
  <c r="S12" i="25"/>
  <c r="S42" i="25" s="1"/>
  <c r="S9" i="23" s="1"/>
  <c r="S7" i="36" s="1"/>
  <c r="Q79" i="7"/>
  <c r="Q10" i="23"/>
  <c r="R85" i="25"/>
  <c r="S48" i="25"/>
  <c r="S49" i="25" s="1"/>
  <c r="T11" i="25"/>
  <c r="AA32" i="7"/>
  <c r="S56" i="6"/>
  <c r="U18" i="22" s="1"/>
  <c r="R59" i="7"/>
  <c r="R70" i="25" s="1"/>
  <c r="R61" i="7"/>
  <c r="R56" i="7"/>
  <c r="AB45" i="6"/>
  <c r="AA46" i="6"/>
  <c r="B347" i="9"/>
  <c r="A314" i="9"/>
  <c r="C49" i="9"/>
  <c r="D49" i="9" s="1"/>
  <c r="E49" i="9" s="1"/>
  <c r="F49" i="9" s="1"/>
  <c r="G49" i="9" s="1"/>
  <c r="H49" i="9" s="1"/>
  <c r="I49" i="9" s="1"/>
  <c r="J49" i="9" s="1"/>
  <c r="K49" i="9" s="1"/>
  <c r="L49" i="9" s="1"/>
  <c r="M49" i="9" s="1"/>
  <c r="N49" i="9" s="1"/>
  <c r="O49" i="9" s="1"/>
  <c r="P49" i="9" s="1"/>
  <c r="Q49" i="9" s="1"/>
  <c r="R49" i="9" s="1"/>
  <c r="S49" i="9" s="1"/>
  <c r="T49" i="9" s="1"/>
  <c r="U49" i="9" s="1"/>
  <c r="V49" i="9" s="1"/>
  <c r="W49" i="9" s="1"/>
  <c r="X49" i="9" s="1"/>
  <c r="Y49" i="9" s="1"/>
  <c r="Z49" i="9" s="1"/>
  <c r="AA49" i="9" s="1"/>
  <c r="D46" i="9"/>
  <c r="E46" i="9" s="1"/>
  <c r="A46" i="9"/>
  <c r="AD29" i="22" l="1"/>
  <c r="AE29" i="37"/>
  <c r="P12" i="36"/>
  <c r="Q3" i="9"/>
  <c r="T12" i="25"/>
  <c r="T42" i="25" s="1"/>
  <c r="T9" i="23" s="1"/>
  <c r="T7" i="36" s="1"/>
  <c r="R7" i="23"/>
  <c r="AB46" i="6"/>
  <c r="AD17" i="22"/>
  <c r="F46" i="9"/>
  <c r="E377" i="9"/>
  <c r="S85" i="25"/>
  <c r="U11" i="25"/>
  <c r="T48" i="25"/>
  <c r="T49" i="25" s="1"/>
  <c r="R62" i="7"/>
  <c r="S57" i="6"/>
  <c r="S59" i="6" s="1"/>
  <c r="D344" i="9"/>
  <c r="D345" i="9" s="1"/>
  <c r="D40" i="4"/>
  <c r="U33" i="22" l="1"/>
  <c r="V33" i="37"/>
  <c r="Q12" i="36"/>
  <c r="R3" i="9"/>
  <c r="U12" i="25"/>
  <c r="U42" i="25" s="1"/>
  <c r="U9" i="23" s="1"/>
  <c r="U7" i="36" s="1"/>
  <c r="R10" i="23"/>
  <c r="R79" i="7"/>
  <c r="E379" i="9"/>
  <c r="F479" i="9"/>
  <c r="F576" i="9"/>
  <c r="E478" i="9"/>
  <c r="E575" i="9"/>
  <c r="F380" i="9"/>
  <c r="E409" i="9"/>
  <c r="G46" i="9"/>
  <c r="F377" i="9"/>
  <c r="T85" i="25"/>
  <c r="V11" i="25"/>
  <c r="U48" i="25"/>
  <c r="U49" i="25" s="1"/>
  <c r="T56" i="6"/>
  <c r="V18" i="22" s="1"/>
  <c r="S61" i="7"/>
  <c r="S56" i="7"/>
  <c r="S59" i="7"/>
  <c r="S70" i="25" s="1"/>
  <c r="E85" i="4"/>
  <c r="F85" i="4" s="1"/>
  <c r="F86" i="4" s="1"/>
  <c r="E75" i="4"/>
  <c r="F75" i="4" s="1"/>
  <c r="F76" i="4" s="1"/>
  <c r="E65" i="4"/>
  <c r="F65" i="4" s="1"/>
  <c r="F66" i="4" s="1"/>
  <c r="E56" i="4"/>
  <c r="F56" i="4" s="1"/>
  <c r="F57" i="4" s="1"/>
  <c r="R12" i="36" l="1"/>
  <c r="S3" i="9"/>
  <c r="V12" i="25"/>
  <c r="V42" i="25" s="1"/>
  <c r="V9" i="23" s="1"/>
  <c r="V7" i="36" s="1"/>
  <c r="S7" i="23"/>
  <c r="F575" i="9"/>
  <c r="G576" i="9" s="1"/>
  <c r="F379" i="9"/>
  <c r="G380" i="9" s="1"/>
  <c r="F478" i="9"/>
  <c r="G479" i="9" s="1"/>
  <c r="H46" i="9"/>
  <c r="G377" i="9"/>
  <c r="F383" i="9"/>
  <c r="F579" i="9"/>
  <c r="F482" i="9"/>
  <c r="F580" i="9"/>
  <c r="F483" i="9"/>
  <c r="F384" i="9"/>
  <c r="U85" i="25"/>
  <c r="V48" i="25"/>
  <c r="V49" i="25" s="1"/>
  <c r="W11" i="25"/>
  <c r="S62" i="7"/>
  <c r="T57" i="6"/>
  <c r="T59" i="6" s="1"/>
  <c r="G56" i="4"/>
  <c r="G57" i="4" s="1"/>
  <c r="G75" i="4"/>
  <c r="G76" i="4" s="1"/>
  <c r="G65" i="4"/>
  <c r="G66" i="4" s="1"/>
  <c r="G85" i="4"/>
  <c r="G86" i="4" s="1"/>
  <c r="V33" i="22" l="1"/>
  <c r="W33" i="37"/>
  <c r="S12" i="36"/>
  <c r="T3" i="9"/>
  <c r="W12" i="25"/>
  <c r="W42" i="25" s="1"/>
  <c r="W9" i="23" s="1"/>
  <c r="W7" i="36" s="1"/>
  <c r="S79" i="7"/>
  <c r="S10" i="23"/>
  <c r="F407" i="9"/>
  <c r="F506" i="9"/>
  <c r="G383" i="9"/>
  <c r="G384" i="9"/>
  <c r="G579" i="9"/>
  <c r="G482" i="9"/>
  <c r="G580" i="9"/>
  <c r="G483" i="9"/>
  <c r="F603" i="9"/>
  <c r="G575" i="9"/>
  <c r="H576" i="9" s="1"/>
  <c r="G379" i="9"/>
  <c r="G478" i="9"/>
  <c r="H479" i="9" s="1"/>
  <c r="H380" i="9"/>
  <c r="I46" i="9"/>
  <c r="H377" i="9"/>
  <c r="V85" i="25"/>
  <c r="W48" i="25"/>
  <c r="W49" i="25" s="1"/>
  <c r="X11" i="25"/>
  <c r="U56" i="6"/>
  <c r="W18" i="22" s="1"/>
  <c r="T56" i="7"/>
  <c r="T61" i="7"/>
  <c r="T59" i="7"/>
  <c r="T70" i="25" s="1"/>
  <c r="H56" i="4"/>
  <c r="H57" i="4" s="1"/>
  <c r="H85" i="4"/>
  <c r="H86" i="4" s="1"/>
  <c r="H75" i="4"/>
  <c r="H76" i="4" s="1"/>
  <c r="H65" i="4"/>
  <c r="H66" i="4" s="1"/>
  <c r="T12" i="36" l="1"/>
  <c r="U3" i="9"/>
  <c r="X12" i="25"/>
  <c r="X42" i="25" s="1"/>
  <c r="X9" i="23" s="1"/>
  <c r="X7" i="36" s="1"/>
  <c r="F408" i="9"/>
  <c r="T7" i="23"/>
  <c r="F409" i="9"/>
  <c r="F604" i="9"/>
  <c r="F605" i="9"/>
  <c r="J46" i="9"/>
  <c r="I377" i="9"/>
  <c r="H379" i="9"/>
  <c r="I380" i="9" s="1"/>
  <c r="H478" i="9"/>
  <c r="I479" i="9" s="1"/>
  <c r="H575" i="9"/>
  <c r="I576" i="9" s="1"/>
  <c r="H482" i="9"/>
  <c r="H483" i="9"/>
  <c r="H383" i="9"/>
  <c r="H579" i="9"/>
  <c r="H384" i="9"/>
  <c r="H580" i="9"/>
  <c r="F507" i="9"/>
  <c r="F508" i="9"/>
  <c r="W85" i="25"/>
  <c r="Y11" i="25"/>
  <c r="X48" i="25"/>
  <c r="X49" i="25" s="1"/>
  <c r="T62" i="7"/>
  <c r="U57" i="6"/>
  <c r="U59" i="6" s="1"/>
  <c r="I75" i="4"/>
  <c r="I76" i="4" s="1"/>
  <c r="I65" i="4"/>
  <c r="I66" i="4" s="1"/>
  <c r="I56" i="4"/>
  <c r="I57" i="4" s="1"/>
  <c r="I85" i="4"/>
  <c r="I86" i="4" s="1"/>
  <c r="W33" i="22" l="1"/>
  <c r="X33" i="37"/>
  <c r="U12" i="36"/>
  <c r="V3" i="9"/>
  <c r="Y12" i="25"/>
  <c r="Y42" i="25" s="1"/>
  <c r="Y9" i="23" s="1"/>
  <c r="Y7" i="36" s="1"/>
  <c r="T10" i="23"/>
  <c r="T79" i="7"/>
  <c r="I575" i="9"/>
  <c r="J576" i="9" s="1"/>
  <c r="I478" i="9"/>
  <c r="J479" i="9" s="1"/>
  <c r="I379" i="9"/>
  <c r="J380" i="9" s="1"/>
  <c r="K46" i="9"/>
  <c r="J377" i="9"/>
  <c r="I580" i="9"/>
  <c r="I482" i="9"/>
  <c r="I383" i="9"/>
  <c r="I384" i="9"/>
  <c r="I483" i="9"/>
  <c r="I579" i="9"/>
  <c r="X85" i="25"/>
  <c r="Y48" i="25"/>
  <c r="Y49" i="25" s="1"/>
  <c r="Z11" i="25"/>
  <c r="V56" i="6"/>
  <c r="X18" i="22" s="1"/>
  <c r="U56" i="7"/>
  <c r="U59" i="7"/>
  <c r="U70" i="25" s="1"/>
  <c r="U61" i="7"/>
  <c r="J56" i="4"/>
  <c r="J57" i="4" s="1"/>
  <c r="J65" i="4"/>
  <c r="J66" i="4" s="1"/>
  <c r="J75" i="4"/>
  <c r="J76" i="4" s="1"/>
  <c r="J85" i="4"/>
  <c r="J86" i="4" s="1"/>
  <c r="V12" i="36" l="1"/>
  <c r="W3" i="9"/>
  <c r="Z12" i="25"/>
  <c r="Z42" i="25" s="1"/>
  <c r="Z9" i="23" s="1"/>
  <c r="Z7" i="36" s="1"/>
  <c r="U7" i="23"/>
  <c r="J580" i="9"/>
  <c r="J579" i="9"/>
  <c r="J483" i="9"/>
  <c r="J482" i="9"/>
  <c r="J383" i="9"/>
  <c r="J384" i="9"/>
  <c r="L46" i="9"/>
  <c r="K377" i="9"/>
  <c r="J575" i="9"/>
  <c r="K479" i="9"/>
  <c r="J379" i="9"/>
  <c r="K380" i="9"/>
  <c r="J478" i="9"/>
  <c r="K576" i="9"/>
  <c r="Y85" i="25"/>
  <c r="AA11" i="25"/>
  <c r="AA12" i="25" s="1"/>
  <c r="Z48" i="25"/>
  <c r="Z49" i="25" s="1"/>
  <c r="U62" i="7"/>
  <c r="V57" i="6"/>
  <c r="V59" i="6" s="1"/>
  <c r="K85" i="4"/>
  <c r="K86" i="4" s="1"/>
  <c r="K75" i="4"/>
  <c r="K76" i="4" s="1"/>
  <c r="K56" i="4"/>
  <c r="K57" i="4" s="1"/>
  <c r="K65" i="4"/>
  <c r="K66" i="4" s="1"/>
  <c r="X33" i="22" l="1"/>
  <c r="Y33" i="37"/>
  <c r="W12" i="36"/>
  <c r="X3" i="9"/>
  <c r="U79" i="7"/>
  <c r="U10" i="23"/>
  <c r="L380" i="9"/>
  <c r="K478" i="9"/>
  <c r="L479" i="9" s="1"/>
  <c r="K379" i="9"/>
  <c r="L576" i="9"/>
  <c r="K575" i="9"/>
  <c r="M46" i="9"/>
  <c r="L377" i="9"/>
  <c r="K482" i="9"/>
  <c r="K383" i="9"/>
  <c r="K384" i="9"/>
  <c r="K580" i="9"/>
  <c r="K483" i="9"/>
  <c r="K579" i="9"/>
  <c r="AA48" i="25"/>
  <c r="AA42" i="25"/>
  <c r="AA9" i="23" s="1"/>
  <c r="AA7" i="36" s="1"/>
  <c r="Z85" i="25"/>
  <c r="W56" i="6"/>
  <c r="Y18" i="22" s="1"/>
  <c r="V59" i="7"/>
  <c r="V70" i="25" s="1"/>
  <c r="V61" i="7"/>
  <c r="V56" i="7"/>
  <c r="L56" i="4"/>
  <c r="L57" i="4" s="1"/>
  <c r="L75" i="4"/>
  <c r="L76" i="4" s="1"/>
  <c r="L65" i="4"/>
  <c r="L66" i="4" s="1"/>
  <c r="L85" i="4"/>
  <c r="L86" i="4" s="1"/>
  <c r="X12" i="36" l="1"/>
  <c r="Y3" i="9"/>
  <c r="AA85" i="25"/>
  <c r="AA49" i="25"/>
  <c r="V7" i="23"/>
  <c r="L482" i="9"/>
  <c r="L383" i="9"/>
  <c r="L483" i="9"/>
  <c r="L579" i="9"/>
  <c r="L580" i="9"/>
  <c r="L384" i="9"/>
  <c r="L379" i="9"/>
  <c r="L575" i="9"/>
  <c r="M380" i="9"/>
  <c r="M576" i="9"/>
  <c r="L478" i="9"/>
  <c r="M479" i="9" s="1"/>
  <c r="N46" i="9"/>
  <c r="M377" i="9"/>
  <c r="V62" i="7"/>
  <c r="W57" i="6"/>
  <c r="W59" i="6" s="1"/>
  <c r="M56" i="4"/>
  <c r="M57" i="4" s="1"/>
  <c r="M75" i="4"/>
  <c r="M76" i="4" s="1"/>
  <c r="M65" i="4"/>
  <c r="M66" i="4" s="1"/>
  <c r="M85" i="4"/>
  <c r="M86" i="4" s="1"/>
  <c r="Y33" i="22" l="1"/>
  <c r="Z33" i="37"/>
  <c r="Y12" i="36"/>
  <c r="Z3" i="9"/>
  <c r="V79" i="7"/>
  <c r="V10" i="23"/>
  <c r="M383" i="9"/>
  <c r="M579" i="9"/>
  <c r="M580" i="9"/>
  <c r="M384" i="9"/>
  <c r="M483" i="9"/>
  <c r="M482" i="9"/>
  <c r="M575" i="9"/>
  <c r="N576" i="9" s="1"/>
  <c r="N380" i="9"/>
  <c r="M478" i="9"/>
  <c r="N479" i="9" s="1"/>
  <c r="M379" i="9"/>
  <c r="O46" i="9"/>
  <c r="N377" i="9"/>
  <c r="W59" i="7"/>
  <c r="W70" i="25" s="1"/>
  <c r="W56" i="7"/>
  <c r="X56" i="6"/>
  <c r="Z18" i="22" s="1"/>
  <c r="W61" i="7"/>
  <c r="N65" i="4"/>
  <c r="N66" i="4" s="1"/>
  <c r="N85" i="4"/>
  <c r="N86" i="4" s="1"/>
  <c r="N56" i="4"/>
  <c r="N57" i="4" s="1"/>
  <c r="N75" i="4"/>
  <c r="N76" i="4" s="1"/>
  <c r="Z12" i="36" l="1"/>
  <c r="AA3" i="9"/>
  <c r="AA12" i="36" s="1"/>
  <c r="W7" i="23"/>
  <c r="P46" i="9"/>
  <c r="O377" i="9"/>
  <c r="N379" i="9"/>
  <c r="O380" i="9" s="1"/>
  <c r="N575" i="9"/>
  <c r="O576" i="9" s="1"/>
  <c r="N478" i="9"/>
  <c r="O479" i="9" s="1"/>
  <c r="N482" i="9"/>
  <c r="N384" i="9"/>
  <c r="N383" i="9"/>
  <c r="N579" i="9"/>
  <c r="N580" i="9"/>
  <c r="N483" i="9"/>
  <c r="X57" i="6"/>
  <c r="X59" i="6" s="1"/>
  <c r="W62" i="7"/>
  <c r="O56" i="4"/>
  <c r="O57" i="4" s="1"/>
  <c r="O75" i="4"/>
  <c r="O76" i="4" s="1"/>
  <c r="O85" i="4"/>
  <c r="O86" i="4" s="1"/>
  <c r="O65" i="4"/>
  <c r="O66" i="4" s="1"/>
  <c r="Z33" i="22" l="1"/>
  <c r="AA33" i="37"/>
  <c r="W79" i="7"/>
  <c r="W10" i="23"/>
  <c r="O579" i="9"/>
  <c r="O383" i="9"/>
  <c r="O384" i="9"/>
  <c r="O482" i="9"/>
  <c r="O483" i="9"/>
  <c r="O580" i="9"/>
  <c r="O379" i="9"/>
  <c r="P380" i="9"/>
  <c r="P479" i="9"/>
  <c r="O478" i="9"/>
  <c r="O575" i="9"/>
  <c r="P576" i="9" s="1"/>
  <c r="Q46" i="9"/>
  <c r="P377" i="9"/>
  <c r="Y56" i="6"/>
  <c r="AA18" i="22" s="1"/>
  <c r="X61" i="7"/>
  <c r="X59" i="7"/>
  <c r="X70" i="25" s="1"/>
  <c r="X56" i="7"/>
  <c r="P65" i="4"/>
  <c r="P66" i="4" s="1"/>
  <c r="P56" i="4"/>
  <c r="P57" i="4" s="1"/>
  <c r="P85" i="4"/>
  <c r="P86" i="4" s="1"/>
  <c r="P75" i="4"/>
  <c r="P76" i="4" s="1"/>
  <c r="X7" i="23" l="1"/>
  <c r="P384" i="9"/>
  <c r="P579" i="9"/>
  <c r="P580" i="9"/>
  <c r="P483" i="9"/>
  <c r="P383" i="9"/>
  <c r="P482" i="9"/>
  <c r="P575" i="9"/>
  <c r="Q576" i="9" s="1"/>
  <c r="P379" i="9"/>
  <c r="Q380" i="9" s="1"/>
  <c r="P478" i="9"/>
  <c r="Q479" i="9" s="1"/>
  <c r="R46" i="9"/>
  <c r="Q377" i="9"/>
  <c r="X62" i="7"/>
  <c r="Y57" i="6"/>
  <c r="Y59" i="6" s="1"/>
  <c r="Q75" i="4"/>
  <c r="Q76" i="4" s="1"/>
  <c r="Q65" i="4"/>
  <c r="Q66" i="4" s="1"/>
  <c r="Q85" i="4"/>
  <c r="Q86" i="4" s="1"/>
  <c r="Q56" i="4"/>
  <c r="Q57" i="4" s="1"/>
  <c r="AA33" i="22" l="1"/>
  <c r="AB33" i="37"/>
  <c r="X79" i="7"/>
  <c r="X10" i="23"/>
  <c r="S46" i="9"/>
  <c r="R377" i="9"/>
  <c r="Q482" i="9"/>
  <c r="Q483" i="9"/>
  <c r="Q579" i="9"/>
  <c r="Q383" i="9"/>
  <c r="Q580" i="9"/>
  <c r="Q384" i="9"/>
  <c r="R380" i="9"/>
  <c r="Q478" i="9"/>
  <c r="Q379" i="9"/>
  <c r="Q575" i="9"/>
  <c r="R576" i="9" s="1"/>
  <c r="R479" i="9"/>
  <c r="Z56" i="6"/>
  <c r="AB18" i="22" s="1"/>
  <c r="Y56" i="7"/>
  <c r="Y61" i="7"/>
  <c r="Y59" i="7"/>
  <c r="Y70" i="25" s="1"/>
  <c r="R85" i="4"/>
  <c r="R86" i="4" s="1"/>
  <c r="R65" i="4"/>
  <c r="R66" i="4" s="1"/>
  <c r="R56" i="4"/>
  <c r="R57" i="4" s="1"/>
  <c r="R75" i="4"/>
  <c r="R76" i="4" s="1"/>
  <c r="Y7" i="23" l="1"/>
  <c r="R478" i="9"/>
  <c r="S479" i="9" s="1"/>
  <c r="R575" i="9"/>
  <c r="R379" i="9"/>
  <c r="S380" i="9" s="1"/>
  <c r="S576" i="9"/>
  <c r="T46" i="9"/>
  <c r="S377" i="9"/>
  <c r="R384" i="9"/>
  <c r="R580" i="9"/>
  <c r="R483" i="9"/>
  <c r="R579" i="9"/>
  <c r="R482" i="9"/>
  <c r="R383" i="9"/>
  <c r="Y62" i="7"/>
  <c r="Z57" i="6"/>
  <c r="Z59" i="6" s="1"/>
  <c r="S75" i="4"/>
  <c r="S76" i="4" s="1"/>
  <c r="S56" i="4"/>
  <c r="S57" i="4" s="1"/>
  <c r="S85" i="4"/>
  <c r="S86" i="4" s="1"/>
  <c r="S65" i="4"/>
  <c r="S66" i="4" s="1"/>
  <c r="AB33" i="22" l="1"/>
  <c r="AC33" i="37"/>
  <c r="Y79" i="7"/>
  <c r="Y10" i="23"/>
  <c r="S379" i="9"/>
  <c r="T380" i="9" s="1"/>
  <c r="S478" i="9"/>
  <c r="T479" i="9" s="1"/>
  <c r="T576" i="9"/>
  <c r="S575" i="9"/>
  <c r="U46" i="9"/>
  <c r="T377" i="9"/>
  <c r="S482" i="9"/>
  <c r="S483" i="9"/>
  <c r="S383" i="9"/>
  <c r="S580" i="9"/>
  <c r="S579" i="9"/>
  <c r="S384" i="9"/>
  <c r="AA56" i="6"/>
  <c r="AC18" i="22" s="1"/>
  <c r="Z56" i="7"/>
  <c r="Z61" i="7"/>
  <c r="Z59" i="7"/>
  <c r="Z70" i="25" s="1"/>
  <c r="T56" i="4"/>
  <c r="T57" i="4" s="1"/>
  <c r="T65" i="4"/>
  <c r="T66" i="4" s="1"/>
  <c r="T85" i="4"/>
  <c r="T86" i="4" s="1"/>
  <c r="T75" i="4"/>
  <c r="T76" i="4" s="1"/>
  <c r="Z7" i="23" l="1"/>
  <c r="V46" i="9"/>
  <c r="U377" i="9"/>
  <c r="T383" i="9"/>
  <c r="T579" i="9"/>
  <c r="T580" i="9"/>
  <c r="T384" i="9"/>
  <c r="T483" i="9"/>
  <c r="T482" i="9"/>
  <c r="U380" i="9"/>
  <c r="T379" i="9"/>
  <c r="T575" i="9"/>
  <c r="U576" i="9"/>
  <c r="T478" i="9"/>
  <c r="U479" i="9" s="1"/>
  <c r="Z62" i="7"/>
  <c r="AA57" i="6"/>
  <c r="AA59" i="6" s="1"/>
  <c r="U65" i="4"/>
  <c r="U66" i="4" s="1"/>
  <c r="U75" i="4"/>
  <c r="U76" i="4" s="1"/>
  <c r="U85" i="4"/>
  <c r="U86" i="4" s="1"/>
  <c r="U56" i="4"/>
  <c r="U57" i="4" s="1"/>
  <c r="AC33" i="22" l="1"/>
  <c r="AD33" i="37"/>
  <c r="Z10" i="23"/>
  <c r="Z79" i="7"/>
  <c r="W46" i="9"/>
  <c r="V377" i="9"/>
  <c r="U483" i="9"/>
  <c r="U579" i="9"/>
  <c r="U482" i="9"/>
  <c r="U383" i="9"/>
  <c r="U580" i="9"/>
  <c r="U384" i="9"/>
  <c r="U478" i="9"/>
  <c r="U575" i="9"/>
  <c r="U379" i="9"/>
  <c r="V380" i="9" s="1"/>
  <c r="V479" i="9"/>
  <c r="V576" i="9"/>
  <c r="AB56" i="6"/>
  <c r="AA56" i="7"/>
  <c r="AA61" i="7"/>
  <c r="AA59" i="7"/>
  <c r="AA70" i="25" s="1"/>
  <c r="V65" i="4"/>
  <c r="V66" i="4" s="1"/>
  <c r="V85" i="4"/>
  <c r="V86" i="4" s="1"/>
  <c r="V56" i="4"/>
  <c r="V57" i="4" s="1"/>
  <c r="V75" i="4"/>
  <c r="V76" i="4" s="1"/>
  <c r="AB57" i="6" l="1"/>
  <c r="AB59" i="6" s="1"/>
  <c r="AD18" i="22"/>
  <c r="W576" i="9"/>
  <c r="V575" i="9"/>
  <c r="V478" i="9"/>
  <c r="W479" i="9" s="1"/>
  <c r="V379" i="9"/>
  <c r="W380" i="9" s="1"/>
  <c r="X46" i="9"/>
  <c r="W377" i="9"/>
  <c r="V580" i="9"/>
  <c r="V482" i="9"/>
  <c r="V384" i="9"/>
  <c r="V483" i="9"/>
  <c r="V579" i="9"/>
  <c r="V383" i="9"/>
  <c r="AA62" i="7"/>
  <c r="W75" i="4"/>
  <c r="W76" i="4" s="1"/>
  <c r="W85" i="4"/>
  <c r="W86" i="4" s="1"/>
  <c r="W56" i="4"/>
  <c r="W57" i="4" s="1"/>
  <c r="W65" i="4"/>
  <c r="W66" i="4" s="1"/>
  <c r="AD33" i="22" l="1"/>
  <c r="AE33" i="37"/>
  <c r="AA7" i="23"/>
  <c r="AA79" i="7"/>
  <c r="W483" i="9"/>
  <c r="W383" i="9"/>
  <c r="W579" i="9"/>
  <c r="W384" i="9"/>
  <c r="W580" i="9"/>
  <c r="W482" i="9"/>
  <c r="W478" i="9"/>
  <c r="W575" i="9"/>
  <c r="X576" i="9" s="1"/>
  <c r="W379" i="9"/>
  <c r="X380" i="9"/>
  <c r="X479" i="9"/>
  <c r="Y46" i="9"/>
  <c r="X377" i="9"/>
  <c r="X56" i="4"/>
  <c r="X57" i="4" s="1"/>
  <c r="X65" i="4"/>
  <c r="X66" i="4" s="1"/>
  <c r="X75" i="4"/>
  <c r="X76" i="4" s="1"/>
  <c r="X85" i="4"/>
  <c r="X86" i="4" s="1"/>
  <c r="AA10" i="23" l="1"/>
  <c r="Z46" i="9"/>
  <c r="Y377" i="9"/>
  <c r="X379" i="9"/>
  <c r="Y380" i="9" s="1"/>
  <c r="X575" i="9"/>
  <c r="Y576" i="9" s="1"/>
  <c r="X478" i="9"/>
  <c r="Y479" i="9" s="1"/>
  <c r="E17" i="4"/>
  <c r="E1" i="6"/>
  <c r="E95" i="6" l="1"/>
  <c r="E86" i="6"/>
  <c r="E88" i="6"/>
  <c r="E93" i="6"/>
  <c r="E84" i="6"/>
  <c r="E91" i="6"/>
  <c r="Z380" i="9"/>
  <c r="Y575" i="9"/>
  <c r="Z576" i="9" s="1"/>
  <c r="Y379" i="9"/>
  <c r="Y478" i="9"/>
  <c r="Z479" i="9"/>
  <c r="AA46" i="9"/>
  <c r="AA377" i="9" s="1"/>
  <c r="Z377" i="9"/>
  <c r="E81" i="6"/>
  <c r="E67" i="6"/>
  <c r="E65" i="6"/>
  <c r="E79" i="6"/>
  <c r="E77" i="6"/>
  <c r="E74" i="6"/>
  <c r="E72" i="6"/>
  <c r="E70" i="6"/>
  <c r="I11" i="7"/>
  <c r="I14" i="7"/>
  <c r="I49" i="25" s="1"/>
  <c r="I16" i="7"/>
  <c r="E63" i="6"/>
  <c r="D2" i="26"/>
  <c r="D18" i="26" s="1"/>
  <c r="F1" i="6"/>
  <c r="E47" i="4"/>
  <c r="E38" i="4"/>
  <c r="F38" i="4" s="1"/>
  <c r="G38" i="4" s="1"/>
  <c r="H38" i="4" s="1"/>
  <c r="I38" i="4" s="1"/>
  <c r="J38" i="4" s="1"/>
  <c r="K38" i="4" s="1"/>
  <c r="L38" i="4" s="1"/>
  <c r="M38" i="4" s="1"/>
  <c r="N38" i="4" s="1"/>
  <c r="O38" i="4" s="1"/>
  <c r="P38" i="4" s="1"/>
  <c r="Q38" i="4" s="1"/>
  <c r="R38" i="4" s="1"/>
  <c r="S38" i="4" s="1"/>
  <c r="T38" i="4" s="1"/>
  <c r="U38" i="4" s="1"/>
  <c r="V38" i="4" s="1"/>
  <c r="W38" i="4" s="1"/>
  <c r="X38" i="4" s="1"/>
  <c r="E29" i="4"/>
  <c r="F29" i="4" s="1"/>
  <c r="G29" i="4" s="1"/>
  <c r="H29" i="4" s="1"/>
  <c r="I29" i="4" s="1"/>
  <c r="J29" i="4" s="1"/>
  <c r="F93" i="6" l="1"/>
  <c r="F84" i="6"/>
  <c r="F95" i="6"/>
  <c r="F91" i="6"/>
  <c r="F88" i="6"/>
  <c r="F86" i="6"/>
  <c r="Z379" i="9"/>
  <c r="AA380" i="9"/>
  <c r="Z478" i="9"/>
  <c r="AA479" i="9" s="1"/>
  <c r="Z575" i="9"/>
  <c r="AA576" i="9" s="1"/>
  <c r="AA478" i="9"/>
  <c r="AA379" i="9"/>
  <c r="AA575" i="9"/>
  <c r="E96" i="6"/>
  <c r="E2" i="26"/>
  <c r="E18" i="26" s="1"/>
  <c r="F79" i="6"/>
  <c r="F77" i="6"/>
  <c r="F67" i="6"/>
  <c r="F65" i="6"/>
  <c r="F74" i="6"/>
  <c r="F72" i="6"/>
  <c r="F81" i="6"/>
  <c r="F70" i="6"/>
  <c r="I17" i="7"/>
  <c r="G1" i="6"/>
  <c r="F63" i="6"/>
  <c r="F47" i="4"/>
  <c r="E49" i="4"/>
  <c r="E50" i="4" s="1"/>
  <c r="J31" i="4"/>
  <c r="K29" i="4"/>
  <c r="L27" i="22" l="1"/>
  <c r="M27" i="37"/>
  <c r="D13" i="23"/>
  <c r="G91" i="6"/>
  <c r="G95" i="6"/>
  <c r="G86" i="6"/>
  <c r="G88" i="6"/>
  <c r="G93" i="6"/>
  <c r="G84" i="6"/>
  <c r="I79" i="7"/>
  <c r="F96" i="6"/>
  <c r="F2" i="26"/>
  <c r="F18" i="26" s="1"/>
  <c r="G77" i="6"/>
  <c r="G70" i="6"/>
  <c r="G74" i="6"/>
  <c r="G72" i="6"/>
  <c r="G67" i="6"/>
  <c r="G65" i="6"/>
  <c r="G81" i="6"/>
  <c r="G79" i="6"/>
  <c r="H1" i="6"/>
  <c r="G63" i="6"/>
  <c r="G47" i="4"/>
  <c r="K31" i="4"/>
  <c r="L29" i="4"/>
  <c r="E13" i="23" l="1"/>
  <c r="H88" i="6"/>
  <c r="H84" i="6"/>
  <c r="H95" i="6"/>
  <c r="H86" i="6"/>
  <c r="H93" i="6"/>
  <c r="H91" i="6"/>
  <c r="G96" i="6"/>
  <c r="F13" i="23" s="1"/>
  <c r="G2" i="26"/>
  <c r="G18" i="26" s="1"/>
  <c r="H74" i="6"/>
  <c r="H72" i="6"/>
  <c r="H70" i="6"/>
  <c r="H67" i="6"/>
  <c r="H65" i="6"/>
  <c r="H81" i="6"/>
  <c r="H79" i="6"/>
  <c r="H77" i="6"/>
  <c r="I1" i="6"/>
  <c r="H63" i="6"/>
  <c r="H47" i="4"/>
  <c r="M29" i="4"/>
  <c r="L31" i="4"/>
  <c r="I95" i="6" l="1"/>
  <c r="I86" i="6"/>
  <c r="I91" i="6"/>
  <c r="I93" i="6"/>
  <c r="I84" i="6"/>
  <c r="I88" i="6"/>
  <c r="H96" i="6"/>
  <c r="G13" i="23" s="1"/>
  <c r="H2" i="26"/>
  <c r="H18" i="26" s="1"/>
  <c r="I72" i="6"/>
  <c r="I70" i="6"/>
  <c r="I81" i="6"/>
  <c r="I67" i="6"/>
  <c r="I65" i="6"/>
  <c r="I79" i="6"/>
  <c r="I77" i="6"/>
  <c r="I74" i="6"/>
  <c r="I63" i="6"/>
  <c r="J1" i="6"/>
  <c r="I47" i="4"/>
  <c r="N29" i="4"/>
  <c r="M31" i="4"/>
  <c r="J93" i="6" l="1"/>
  <c r="J84" i="6"/>
  <c r="J95" i="6"/>
  <c r="J91" i="6"/>
  <c r="J88" i="6"/>
  <c r="J86" i="6"/>
  <c r="I96" i="6"/>
  <c r="H13" i="23" s="1"/>
  <c r="K1" i="6"/>
  <c r="K63" i="6" s="1"/>
  <c r="J81" i="6"/>
  <c r="J70" i="6"/>
  <c r="J79" i="6"/>
  <c r="J77" i="6"/>
  <c r="J65" i="6"/>
  <c r="J74" i="6"/>
  <c r="J72" i="6"/>
  <c r="J67" i="6"/>
  <c r="I2" i="26"/>
  <c r="I18" i="26" s="1"/>
  <c r="J63" i="6"/>
  <c r="J47" i="4"/>
  <c r="N31" i="4"/>
  <c r="O29" i="4"/>
  <c r="K91" i="6" l="1"/>
  <c r="K95" i="6"/>
  <c r="K86" i="6"/>
  <c r="K93" i="6"/>
  <c r="K84" i="6"/>
  <c r="K88" i="6"/>
  <c r="L1" i="6"/>
  <c r="J96" i="6"/>
  <c r="I13" i="23" s="1"/>
  <c r="L77" i="6"/>
  <c r="L74" i="6"/>
  <c r="L67" i="6"/>
  <c r="L65" i="6"/>
  <c r="K81" i="6"/>
  <c r="K79" i="6"/>
  <c r="K77" i="6"/>
  <c r="K70" i="6"/>
  <c r="K74" i="6"/>
  <c r="K67" i="6"/>
  <c r="K72" i="6"/>
  <c r="K65" i="6"/>
  <c r="L63" i="6"/>
  <c r="J2" i="26"/>
  <c r="J18" i="26" s="1"/>
  <c r="K47" i="4"/>
  <c r="O31" i="4"/>
  <c r="P29" i="4"/>
  <c r="L88" i="6" l="1"/>
  <c r="L93" i="6"/>
  <c r="L84" i="6"/>
  <c r="L91" i="6"/>
  <c r="L95" i="6"/>
  <c r="L86" i="6"/>
  <c r="L70" i="6"/>
  <c r="L79" i="6"/>
  <c r="M1" i="6"/>
  <c r="L72" i="6"/>
  <c r="L81" i="6"/>
  <c r="K96" i="6"/>
  <c r="M81" i="6"/>
  <c r="M65" i="6"/>
  <c r="M79" i="6"/>
  <c r="M77" i="6"/>
  <c r="M74" i="6"/>
  <c r="M72" i="6"/>
  <c r="M70" i="6"/>
  <c r="M67" i="6"/>
  <c r="O1" i="6"/>
  <c r="M63" i="6"/>
  <c r="K2" i="26"/>
  <c r="K18" i="26" s="1"/>
  <c r="C39" i="26" s="1"/>
  <c r="L47" i="4"/>
  <c r="Q29" i="4"/>
  <c r="P31" i="4"/>
  <c r="L96" i="6" l="1"/>
  <c r="O91" i="6"/>
  <c r="O93" i="6"/>
  <c r="O88" i="6"/>
  <c r="O95" i="6"/>
  <c r="O86" i="6"/>
  <c r="O84" i="6"/>
  <c r="J13" i="23"/>
  <c r="M95" i="6"/>
  <c r="M86" i="6"/>
  <c r="M88" i="6"/>
  <c r="M93" i="6"/>
  <c r="M84" i="6"/>
  <c r="M91" i="6"/>
  <c r="O77" i="6"/>
  <c r="O70" i="6"/>
  <c r="O74" i="6"/>
  <c r="O67" i="6"/>
  <c r="O72" i="6"/>
  <c r="O65" i="6"/>
  <c r="O81" i="6"/>
  <c r="O79" i="6"/>
  <c r="P1" i="6"/>
  <c r="O63" i="6"/>
  <c r="H60" i="26"/>
  <c r="I107" i="26"/>
  <c r="H91" i="26"/>
  <c r="H76" i="26"/>
  <c r="M47" i="4"/>
  <c r="R29" i="4"/>
  <c r="Q31" i="4"/>
  <c r="K13" i="23" l="1"/>
  <c r="K15" i="23" s="1"/>
  <c r="M96" i="6"/>
  <c r="L13" i="23" s="1"/>
  <c r="P88" i="6"/>
  <c r="P93" i="6"/>
  <c r="P91" i="6"/>
  <c r="P95" i="6"/>
  <c r="P86" i="6"/>
  <c r="P84" i="6"/>
  <c r="O96" i="6"/>
  <c r="P74" i="6"/>
  <c r="P72" i="6"/>
  <c r="P70" i="6"/>
  <c r="P67" i="6"/>
  <c r="P65" i="6"/>
  <c r="P81" i="6"/>
  <c r="P79" i="6"/>
  <c r="P77" i="6"/>
  <c r="Q1" i="6"/>
  <c r="P63" i="6"/>
  <c r="N47" i="4"/>
  <c r="M49" i="4"/>
  <c r="R31" i="4"/>
  <c r="S29" i="4"/>
  <c r="Q95" i="6" l="1"/>
  <c r="Q86" i="6"/>
  <c r="Q91" i="6"/>
  <c r="Q93" i="6"/>
  <c r="Q84" i="6"/>
  <c r="Q88" i="6"/>
  <c r="L15" i="23"/>
  <c r="N13" i="23"/>
  <c r="P96" i="6"/>
  <c r="Q72" i="6"/>
  <c r="Q70" i="6"/>
  <c r="Q67" i="6"/>
  <c r="Q81" i="6"/>
  <c r="Q65" i="6"/>
  <c r="Q79" i="6"/>
  <c r="Q77" i="6"/>
  <c r="Q74" i="6"/>
  <c r="Q63" i="6"/>
  <c r="R1" i="6"/>
  <c r="M50" i="4"/>
  <c r="M48" i="4" s="1"/>
  <c r="O47" i="4"/>
  <c r="S31" i="4"/>
  <c r="T29" i="4"/>
  <c r="O13" i="23" l="1"/>
  <c r="R93" i="6"/>
  <c r="R84" i="6"/>
  <c r="R95" i="6"/>
  <c r="R86" i="6"/>
  <c r="R91" i="6"/>
  <c r="R88" i="6"/>
  <c r="N15" i="23"/>
  <c r="Q96" i="6"/>
  <c r="R81" i="6"/>
  <c r="R70" i="6"/>
  <c r="R79" i="6"/>
  <c r="R67" i="6"/>
  <c r="R77" i="6"/>
  <c r="R65" i="6"/>
  <c r="R74" i="6"/>
  <c r="R72" i="6"/>
  <c r="S1" i="6"/>
  <c r="R63" i="6"/>
  <c r="P47" i="4"/>
  <c r="O49" i="4"/>
  <c r="O51" i="4"/>
  <c r="T31" i="4"/>
  <c r="U29" i="4"/>
  <c r="P13" i="23" l="1"/>
  <c r="S91" i="6"/>
  <c r="S95" i="6"/>
  <c r="S86" i="6"/>
  <c r="S84" i="6"/>
  <c r="S88" i="6"/>
  <c r="S93" i="6"/>
  <c r="O15" i="23"/>
  <c r="R96" i="6"/>
  <c r="S81" i="6"/>
  <c r="S79" i="6"/>
  <c r="S77" i="6"/>
  <c r="S70" i="6"/>
  <c r="S74" i="6"/>
  <c r="S67" i="6"/>
  <c r="S72" i="6"/>
  <c r="S65" i="6"/>
  <c r="T1" i="6"/>
  <c r="S63" i="6"/>
  <c r="O50" i="4"/>
  <c r="O48" i="4" s="1"/>
  <c r="Q47" i="4"/>
  <c r="P51" i="4"/>
  <c r="P49" i="4"/>
  <c r="V29" i="4"/>
  <c r="U31" i="4"/>
  <c r="Q13" i="23" l="1"/>
  <c r="T88" i="6"/>
  <c r="T84" i="6"/>
  <c r="T95" i="6"/>
  <c r="T86" i="6"/>
  <c r="T93" i="6"/>
  <c r="T91" i="6"/>
  <c r="P15" i="23"/>
  <c r="S96" i="6"/>
  <c r="T81" i="6"/>
  <c r="T79" i="6"/>
  <c r="T77" i="6"/>
  <c r="T74" i="6"/>
  <c r="T72" i="6"/>
  <c r="T70" i="6"/>
  <c r="T67" i="6"/>
  <c r="T65" i="6"/>
  <c r="U1" i="6"/>
  <c r="T63" i="6"/>
  <c r="R47" i="4"/>
  <c r="Q49" i="4"/>
  <c r="Q51" i="4"/>
  <c r="P50" i="4"/>
  <c r="P48" i="4" s="1"/>
  <c r="V31" i="4"/>
  <c r="W29" i="4"/>
  <c r="R13" i="23" l="1"/>
  <c r="U95" i="6"/>
  <c r="U86" i="6"/>
  <c r="U88" i="6"/>
  <c r="U93" i="6"/>
  <c r="U84" i="6"/>
  <c r="U91" i="6"/>
  <c r="Q15" i="23"/>
  <c r="T96" i="6"/>
  <c r="U81" i="6"/>
  <c r="U65" i="6"/>
  <c r="U79" i="6"/>
  <c r="U77" i="6"/>
  <c r="U74" i="6"/>
  <c r="U72" i="6"/>
  <c r="U70" i="6"/>
  <c r="U67" i="6"/>
  <c r="V1" i="6"/>
  <c r="U63" i="6"/>
  <c r="Q50" i="4"/>
  <c r="Q48" i="4" s="1"/>
  <c r="S47" i="4"/>
  <c r="R49" i="4"/>
  <c r="R51" i="4"/>
  <c r="W31" i="4"/>
  <c r="X29" i="4"/>
  <c r="V93" i="6" l="1"/>
  <c r="V84" i="6"/>
  <c r="V88" i="6"/>
  <c r="V91" i="6"/>
  <c r="V95" i="6"/>
  <c r="V86" i="6"/>
  <c r="R15" i="23"/>
  <c r="S13" i="23"/>
  <c r="U96" i="6"/>
  <c r="V79" i="6"/>
  <c r="V67" i="6"/>
  <c r="V77" i="6"/>
  <c r="V65" i="6"/>
  <c r="V74" i="6"/>
  <c r="V72" i="6"/>
  <c r="V81" i="6"/>
  <c r="V70" i="6"/>
  <c r="V63" i="6"/>
  <c r="W1" i="6"/>
  <c r="R50" i="4"/>
  <c r="R48" i="4" s="1"/>
  <c r="T47" i="4"/>
  <c r="S49" i="4"/>
  <c r="S51" i="4"/>
  <c r="X31" i="4"/>
  <c r="T13" i="23" l="1"/>
  <c r="W91" i="6"/>
  <c r="W93" i="6"/>
  <c r="W88" i="6"/>
  <c r="W95" i="6"/>
  <c r="W86" i="6"/>
  <c r="W84" i="6"/>
  <c r="S15" i="23"/>
  <c r="V96" i="6"/>
  <c r="W77" i="6"/>
  <c r="W70" i="6"/>
  <c r="W74" i="6"/>
  <c r="W67" i="6"/>
  <c r="W72" i="6"/>
  <c r="W65" i="6"/>
  <c r="W81" i="6"/>
  <c r="W79" i="6"/>
  <c r="X1" i="6"/>
  <c r="W63" i="6"/>
  <c r="S50" i="4"/>
  <c r="S48" i="4" s="1"/>
  <c r="U47" i="4"/>
  <c r="T51" i="4"/>
  <c r="T49" i="4"/>
  <c r="X88" i="6" l="1"/>
  <c r="X93" i="6"/>
  <c r="X84" i="6"/>
  <c r="X91" i="6"/>
  <c r="X95" i="6"/>
  <c r="X86" i="6"/>
  <c r="U13" i="23"/>
  <c r="T15" i="23"/>
  <c r="W96" i="6"/>
  <c r="X74" i="6"/>
  <c r="X72" i="6"/>
  <c r="X70" i="6"/>
  <c r="X67" i="6"/>
  <c r="X65" i="6"/>
  <c r="X81" i="6"/>
  <c r="X79" i="6"/>
  <c r="X77" i="6"/>
  <c r="Y1" i="6"/>
  <c r="X63" i="6"/>
  <c r="C13" i="23"/>
  <c r="C15" i="23" s="1"/>
  <c r="T50" i="4"/>
  <c r="T48" i="4" s="1"/>
  <c r="V47" i="4"/>
  <c r="U49" i="4"/>
  <c r="U51" i="4"/>
  <c r="Y95" i="6" l="1"/>
  <c r="Y86" i="6"/>
  <c r="Y93" i="6"/>
  <c r="Y84" i="6"/>
  <c r="Y91" i="6"/>
  <c r="Y88" i="6"/>
  <c r="V13" i="23"/>
  <c r="U15" i="23"/>
  <c r="F66" i="22"/>
  <c r="F72" i="22" s="1"/>
  <c r="F90" i="22" s="1"/>
  <c r="X96" i="6"/>
  <c r="Y72" i="6"/>
  <c r="Y70" i="6"/>
  <c r="Y67" i="6"/>
  <c r="Y81" i="6"/>
  <c r="Y65" i="6"/>
  <c r="Y79" i="6"/>
  <c r="Y77" i="6"/>
  <c r="Y74" i="6"/>
  <c r="Z1" i="6"/>
  <c r="Y63" i="6"/>
  <c r="U50" i="4"/>
  <c r="U48" i="4" s="1"/>
  <c r="W47" i="4"/>
  <c r="V49" i="4"/>
  <c r="V51" i="4"/>
  <c r="F17" i="4"/>
  <c r="C39" i="36" l="1"/>
  <c r="C42" i="36" s="1"/>
  <c r="C44" i="36" s="1"/>
  <c r="F97" i="22"/>
  <c r="V15" i="23"/>
  <c r="Z93" i="6"/>
  <c r="Z84" i="6"/>
  <c r="Z88" i="6"/>
  <c r="Z86" i="6"/>
  <c r="Z91" i="6"/>
  <c r="Z95" i="6"/>
  <c r="W13" i="23"/>
  <c r="Y96" i="6"/>
  <c r="Z81" i="6"/>
  <c r="Z70" i="6"/>
  <c r="Z79" i="6"/>
  <c r="Z67" i="6"/>
  <c r="Z77" i="6"/>
  <c r="Z65" i="6"/>
  <c r="Z74" i="6"/>
  <c r="Z72" i="6"/>
  <c r="AA1" i="6"/>
  <c r="Z63" i="6"/>
  <c r="C5" i="26"/>
  <c r="G17" i="4"/>
  <c r="V50" i="4"/>
  <c r="V48" i="4" s="1"/>
  <c r="X47" i="4"/>
  <c r="W49" i="4"/>
  <c r="W51" i="4"/>
  <c r="W15" i="23" l="1"/>
  <c r="AA91" i="6"/>
  <c r="AA95" i="6"/>
  <c r="AA86" i="6"/>
  <c r="AA84" i="6"/>
  <c r="AA88" i="6"/>
  <c r="AA93" i="6"/>
  <c r="X13" i="23"/>
  <c r="Z96" i="6"/>
  <c r="AA81" i="6"/>
  <c r="AA79" i="6"/>
  <c r="AA77" i="6"/>
  <c r="AA70" i="6"/>
  <c r="AA74" i="6"/>
  <c r="AA67" i="6"/>
  <c r="AA72" i="6"/>
  <c r="AA65" i="6"/>
  <c r="AB1" i="6"/>
  <c r="AA63" i="6"/>
  <c r="H17" i="4"/>
  <c r="W50" i="4"/>
  <c r="W48" i="4" s="1"/>
  <c r="X51" i="4"/>
  <c r="X49" i="4"/>
  <c r="M160" i="9"/>
  <c r="N163" i="9" s="1"/>
  <c r="L160" i="9"/>
  <c r="K160" i="9"/>
  <c r="L163" i="9" s="1"/>
  <c r="J160" i="9"/>
  <c r="K163" i="9" s="1"/>
  <c r="I160" i="9"/>
  <c r="J163" i="9" s="1"/>
  <c r="H131" i="9"/>
  <c r="I163" i="9" s="1"/>
  <c r="G131" i="9"/>
  <c r="F131" i="9"/>
  <c r="G134" i="9" s="1"/>
  <c r="E131" i="9"/>
  <c r="M162" i="9"/>
  <c r="L162" i="9"/>
  <c r="K162" i="9"/>
  <c r="J162" i="9"/>
  <c r="I162" i="9"/>
  <c r="H133" i="9"/>
  <c r="G133" i="9"/>
  <c r="F133" i="9"/>
  <c r="E133" i="9"/>
  <c r="D133" i="9"/>
  <c r="C133" i="9"/>
  <c r="D134" i="9" l="1"/>
  <c r="AB88" i="6"/>
  <c r="AB91" i="6"/>
  <c r="AB95" i="6"/>
  <c r="AB86" i="6"/>
  <c r="AB93" i="6"/>
  <c r="AB84" i="6"/>
  <c r="Y13" i="23"/>
  <c r="X15" i="23"/>
  <c r="AA96" i="6"/>
  <c r="AB81" i="6"/>
  <c r="AB79" i="6"/>
  <c r="AB77" i="6"/>
  <c r="AB74" i="6"/>
  <c r="AB72" i="6"/>
  <c r="AB70" i="6"/>
  <c r="AB67" i="6"/>
  <c r="AB65" i="6"/>
  <c r="AB63" i="6"/>
  <c r="H134" i="9"/>
  <c r="I17" i="4"/>
  <c r="E134" i="9"/>
  <c r="X50" i="4"/>
  <c r="X48" i="4" s="1"/>
  <c r="F134" i="9"/>
  <c r="M163" i="9"/>
  <c r="Z13" i="23" l="1"/>
  <c r="Y15" i="23"/>
  <c r="AB96" i="6"/>
  <c r="J17" i="4"/>
  <c r="AA13" i="23" l="1"/>
  <c r="Z15" i="23"/>
  <c r="K17" i="4"/>
  <c r="G26" i="22"/>
  <c r="AA15" i="23" l="1"/>
  <c r="D79" i="25"/>
  <c r="D78" i="7"/>
  <c r="E8" i="7"/>
  <c r="L17" i="4"/>
  <c r="H26" i="22" l="1"/>
  <c r="I26" i="37"/>
  <c r="D20" i="23"/>
  <c r="D23" i="36" s="1"/>
  <c r="E78" i="7"/>
  <c r="F8" i="7"/>
  <c r="M17" i="4"/>
  <c r="I26" i="22" l="1"/>
  <c r="J26" i="37"/>
  <c r="H89" i="22"/>
  <c r="F79" i="25"/>
  <c r="F78" i="7"/>
  <c r="G8" i="7"/>
  <c r="N17" i="4"/>
  <c r="J26" i="22" l="1"/>
  <c r="K26" i="37"/>
  <c r="F20" i="23"/>
  <c r="F23" i="36" s="1"/>
  <c r="I89" i="22"/>
  <c r="G78" i="7"/>
  <c r="H8" i="7"/>
  <c r="O17" i="4"/>
  <c r="K26" i="22" l="1"/>
  <c r="L26" i="37"/>
  <c r="J89" i="22"/>
  <c r="H78" i="7"/>
  <c r="I8" i="7"/>
  <c r="M26" i="37" s="1"/>
  <c r="M37" i="37" s="1"/>
  <c r="M39" i="37" s="1"/>
  <c r="P17" i="4"/>
  <c r="L26" i="22" l="1"/>
  <c r="L37" i="22" s="1"/>
  <c r="K89" i="22"/>
  <c r="I79" i="25"/>
  <c r="J8" i="7"/>
  <c r="N26" i="37" s="1"/>
  <c r="N37" i="37" s="1"/>
  <c r="N39" i="37" s="1"/>
  <c r="N52" i="37" s="1"/>
  <c r="N66" i="37" s="1"/>
  <c r="N72" i="37" s="1"/>
  <c r="N75" i="37" s="1"/>
  <c r="N78" i="37" s="1"/>
  <c r="N100" i="37" s="1"/>
  <c r="I78" i="7"/>
  <c r="Q17" i="4"/>
  <c r="C13" i="9"/>
  <c r="D13" i="9" s="1"/>
  <c r="A13" i="9"/>
  <c r="I19" i="23" l="1"/>
  <c r="L39" i="22"/>
  <c r="M26" i="22"/>
  <c r="M37" i="22" s="1"/>
  <c r="I20" i="23"/>
  <c r="I23" i="36" s="1"/>
  <c r="L89" i="22"/>
  <c r="K8" i="7"/>
  <c r="O26" i="37" s="1"/>
  <c r="O37" i="37" s="1"/>
  <c r="O39" i="37" s="1"/>
  <c r="O52" i="37" s="1"/>
  <c r="O66" i="37" s="1"/>
  <c r="O72" i="37" s="1"/>
  <c r="O75" i="37" s="1"/>
  <c r="O78" i="37" s="1"/>
  <c r="O100" i="37" s="1"/>
  <c r="J79" i="25"/>
  <c r="J20" i="23" s="1"/>
  <c r="J23" i="36" s="1"/>
  <c r="J78" i="7"/>
  <c r="J94" i="7" s="1"/>
  <c r="R17" i="4"/>
  <c r="E13" i="9"/>
  <c r="J19" i="23" l="1"/>
  <c r="J21" i="23" s="1"/>
  <c r="M39" i="22"/>
  <c r="M46" i="22" s="1"/>
  <c r="J19" i="26" s="1"/>
  <c r="N26" i="22"/>
  <c r="N37" i="22" s="1"/>
  <c r="K79" i="25"/>
  <c r="K20" i="23" s="1"/>
  <c r="K23" i="36" s="1"/>
  <c r="L8" i="7"/>
  <c r="P26" i="37" s="1"/>
  <c r="P37" i="37" s="1"/>
  <c r="P39" i="37" s="1"/>
  <c r="P52" i="37" s="1"/>
  <c r="P66" i="37" s="1"/>
  <c r="P72" i="37" s="1"/>
  <c r="P75" i="37" s="1"/>
  <c r="P78" i="37" s="1"/>
  <c r="P100" i="37" s="1"/>
  <c r="K78" i="7"/>
  <c r="K94" i="7" s="1"/>
  <c r="F13" i="9"/>
  <c r="S17" i="4"/>
  <c r="A69" i="9"/>
  <c r="A99" i="9" s="1"/>
  <c r="A17" i="9"/>
  <c r="E222" i="9"/>
  <c r="A220" i="9"/>
  <c r="A285" i="9" s="1"/>
  <c r="C199" i="9"/>
  <c r="A199" i="9"/>
  <c r="A230" i="9" s="1"/>
  <c r="C198" i="9"/>
  <c r="A198" i="9"/>
  <c r="A229" i="9" s="1"/>
  <c r="C197" i="9"/>
  <c r="A197" i="9"/>
  <c r="A228" i="9" s="1"/>
  <c r="C196" i="9"/>
  <c r="A196" i="9"/>
  <c r="A227" i="9" s="1"/>
  <c r="C195" i="9"/>
  <c r="A195" i="9"/>
  <c r="A226" i="9" s="1"/>
  <c r="C194" i="9"/>
  <c r="A194" i="9"/>
  <c r="A225" i="9" s="1"/>
  <c r="C193" i="9"/>
  <c r="A193" i="9"/>
  <c r="A224" i="9" s="1"/>
  <c r="C192" i="9"/>
  <c r="F192" i="9" s="1"/>
  <c r="A192" i="9"/>
  <c r="A223" i="9" s="1"/>
  <c r="C191" i="9"/>
  <c r="A191" i="9"/>
  <c r="A222" i="9" s="1"/>
  <c r="A190" i="9"/>
  <c r="A221" i="9" s="1"/>
  <c r="A186" i="9"/>
  <c r="C27" i="9"/>
  <c r="D27" i="9" s="1"/>
  <c r="E27" i="9" s="1"/>
  <c r="F27" i="9" s="1"/>
  <c r="G27" i="9" s="1"/>
  <c r="H27" i="9" s="1"/>
  <c r="I27" i="9" s="1"/>
  <c r="J27" i="9" s="1"/>
  <c r="K27" i="9" s="1"/>
  <c r="L27" i="9" s="1"/>
  <c r="M27" i="9" s="1"/>
  <c r="N27" i="9" s="1"/>
  <c r="C24" i="9"/>
  <c r="D24" i="9" s="1"/>
  <c r="E24" i="9" s="1"/>
  <c r="F24" i="9" s="1"/>
  <c r="G24" i="9" s="1"/>
  <c r="H24" i="9" s="1"/>
  <c r="I24" i="9" s="1"/>
  <c r="J24" i="9" s="1"/>
  <c r="K24" i="9" s="1"/>
  <c r="L24" i="9" s="1"/>
  <c r="M24" i="9" s="1"/>
  <c r="N24" i="9" s="1"/>
  <c r="A78" i="9"/>
  <c r="A108" i="9" s="1"/>
  <c r="A77" i="9"/>
  <c r="A107" i="9" s="1"/>
  <c r="A76" i="9"/>
  <c r="A106" i="9" s="1"/>
  <c r="A75" i="9"/>
  <c r="A105" i="9" s="1"/>
  <c r="A74" i="9"/>
  <c r="A104" i="9" s="1"/>
  <c r="A73" i="9"/>
  <c r="A103" i="9" s="1"/>
  <c r="A72" i="9"/>
  <c r="A102" i="9" s="1"/>
  <c r="A71" i="9"/>
  <c r="A101" i="9" s="1"/>
  <c r="A70" i="9"/>
  <c r="A100" i="9" s="1"/>
  <c r="L98" i="9"/>
  <c r="L99" i="9" s="1"/>
  <c r="M98" i="9"/>
  <c r="M99" i="9" s="1"/>
  <c r="C78" i="9"/>
  <c r="A65" i="9"/>
  <c r="K98" i="9"/>
  <c r="K99" i="9" s="1"/>
  <c r="J98" i="9"/>
  <c r="J99" i="9" s="1"/>
  <c r="I98" i="9"/>
  <c r="I99" i="9" s="1"/>
  <c r="H98" i="9"/>
  <c r="H99" i="9" s="1"/>
  <c r="G98" i="9"/>
  <c r="G99" i="9" s="1"/>
  <c r="F98" i="9"/>
  <c r="F99" i="9" s="1"/>
  <c r="E98" i="9"/>
  <c r="E99" i="9" s="1"/>
  <c r="D98" i="9"/>
  <c r="A98" i="9"/>
  <c r="C77" i="9"/>
  <c r="C76" i="9"/>
  <c r="C75" i="9"/>
  <c r="M75" i="9" s="1"/>
  <c r="C74" i="9"/>
  <c r="C73" i="9"/>
  <c r="C72" i="9"/>
  <c r="C71" i="9"/>
  <c r="H71" i="9" s="1"/>
  <c r="C70" i="9"/>
  <c r="C20" i="9"/>
  <c r="D20" i="9" s="1"/>
  <c r="E20" i="9" s="1"/>
  <c r="F20" i="9" s="1"/>
  <c r="G20" i="9" s="1"/>
  <c r="H20" i="9" s="1"/>
  <c r="I20" i="9" s="1"/>
  <c r="J20" i="9" s="1"/>
  <c r="K20" i="9" s="1"/>
  <c r="L20" i="9" s="1"/>
  <c r="M20" i="9" s="1"/>
  <c r="N20" i="9" s="1"/>
  <c r="O20" i="9" s="1"/>
  <c r="P20" i="9" s="1"/>
  <c r="Q20" i="9" s="1"/>
  <c r="R20" i="9" s="1"/>
  <c r="S20" i="9" s="1"/>
  <c r="T20" i="9" s="1"/>
  <c r="U20" i="9" s="1"/>
  <c r="V20" i="9" s="1"/>
  <c r="W20" i="9" s="1"/>
  <c r="X20" i="9" s="1"/>
  <c r="Y20" i="9" s="1"/>
  <c r="Z20" i="9" s="1"/>
  <c r="AA20" i="9" s="1"/>
  <c r="C17" i="9"/>
  <c r="D17" i="9" s="1"/>
  <c r="E17" i="9" s="1"/>
  <c r="D51" i="4"/>
  <c r="E51" i="4" s="1"/>
  <c r="D42" i="4"/>
  <c r="E42" i="4" s="1"/>
  <c r="D33" i="4"/>
  <c r="I31" i="4" s="1"/>
  <c r="D21" i="4"/>
  <c r="C92" i="7"/>
  <c r="C8" i="7"/>
  <c r="D27" i="2"/>
  <c r="D26" i="2"/>
  <c r="D25" i="2"/>
  <c r="D24" i="2"/>
  <c r="D23" i="2"/>
  <c r="D27" i="1"/>
  <c r="D26" i="1"/>
  <c r="D25" i="1"/>
  <c r="D24" i="1"/>
  <c r="D23" i="1"/>
  <c r="A144" i="9" l="1"/>
  <c r="A166" i="9" s="1"/>
  <c r="A259" i="9"/>
  <c r="H255" i="9"/>
  <c r="H256" i="9"/>
  <c r="H254" i="9"/>
  <c r="H253" i="9"/>
  <c r="A137" i="9"/>
  <c r="A159" i="9" s="1"/>
  <c r="A252" i="9"/>
  <c r="A141" i="9"/>
  <c r="A163" i="9" s="1"/>
  <c r="A256" i="9"/>
  <c r="A145" i="9"/>
  <c r="A167" i="9" s="1"/>
  <c r="A260" i="9"/>
  <c r="A140" i="9"/>
  <c r="A162" i="9" s="1"/>
  <c r="A255" i="9"/>
  <c r="E253" i="9"/>
  <c r="E276" i="9" s="1"/>
  <c r="A138" i="9"/>
  <c r="A160" i="9" s="1"/>
  <c r="A253" i="9"/>
  <c r="A142" i="9"/>
  <c r="A164" i="9" s="1"/>
  <c r="A257" i="9"/>
  <c r="G255" i="9"/>
  <c r="G253" i="9"/>
  <c r="G254" i="9"/>
  <c r="F254" i="9"/>
  <c r="F253" i="9"/>
  <c r="A139" i="9"/>
  <c r="A161" i="9" s="1"/>
  <c r="A254" i="9"/>
  <c r="A143" i="9"/>
  <c r="A165" i="9" s="1"/>
  <c r="A258" i="9"/>
  <c r="A136" i="9"/>
  <c r="A158" i="9" s="1"/>
  <c r="A251" i="9"/>
  <c r="K19" i="23"/>
  <c r="K21" i="23" s="1"/>
  <c r="N39" i="22"/>
  <c r="N46" i="22" s="1"/>
  <c r="K19" i="26" s="1"/>
  <c r="O26" i="22"/>
  <c r="O37" i="22" s="1"/>
  <c r="E108" i="4"/>
  <c r="L18" i="4"/>
  <c r="E18" i="4"/>
  <c r="H18" i="4"/>
  <c r="M18" i="4"/>
  <c r="I18" i="4"/>
  <c r="J18" i="4"/>
  <c r="G18" i="4"/>
  <c r="K18" i="4"/>
  <c r="N18" i="4"/>
  <c r="F18" i="4"/>
  <c r="F108" i="4"/>
  <c r="G108" i="4"/>
  <c r="H108" i="4"/>
  <c r="I108" i="4"/>
  <c r="Z70" i="9"/>
  <c r="AA70" i="9"/>
  <c r="Y70" i="9"/>
  <c r="F223" i="9"/>
  <c r="F222" i="9"/>
  <c r="G223" i="9"/>
  <c r="E191" i="9"/>
  <c r="E214" i="9" s="1"/>
  <c r="F191" i="9"/>
  <c r="G191" i="9"/>
  <c r="H223" i="9"/>
  <c r="K11" i="26"/>
  <c r="K20" i="26" s="1"/>
  <c r="I290" i="9"/>
  <c r="J290" i="9" s="1"/>
  <c r="I387" i="9"/>
  <c r="J387" i="9" s="1"/>
  <c r="I486" i="9"/>
  <c r="J486" i="9" s="1"/>
  <c r="K486" i="9" s="1"/>
  <c r="L486" i="9" s="1"/>
  <c r="I583" i="9"/>
  <c r="J583" i="9" s="1"/>
  <c r="J487" i="9"/>
  <c r="K487" i="9" s="1"/>
  <c r="J388" i="9"/>
  <c r="K388" i="9" s="1"/>
  <c r="L388" i="9" s="1"/>
  <c r="J584" i="9"/>
  <c r="K488" i="9"/>
  <c r="L488" i="9" s="1"/>
  <c r="M488" i="9" s="1"/>
  <c r="N488" i="9" s="1"/>
  <c r="K389" i="9"/>
  <c r="L389" i="9" s="1"/>
  <c r="Y490" i="9"/>
  <c r="Z490" i="9" s="1"/>
  <c r="AA490" i="9" s="1"/>
  <c r="Y391" i="9"/>
  <c r="Z391" i="9" s="1"/>
  <c r="AA391" i="9" s="1"/>
  <c r="Y587" i="9"/>
  <c r="Z587" i="9" s="1"/>
  <c r="AA587" i="9" s="1"/>
  <c r="P490" i="9"/>
  <c r="Q490" i="9" s="1"/>
  <c r="R391" i="9"/>
  <c r="S391" i="9" s="1"/>
  <c r="T490" i="9"/>
  <c r="U490" i="9" s="1"/>
  <c r="R490" i="9"/>
  <c r="S490" i="9" s="1"/>
  <c r="P391" i="9"/>
  <c r="Q391" i="9" s="1"/>
  <c r="N391" i="9"/>
  <c r="O391" i="9" s="1"/>
  <c r="T587" i="9"/>
  <c r="U587" i="9" s="1"/>
  <c r="V587" i="9"/>
  <c r="W587" i="9" s="1"/>
  <c r="X587" i="9" s="1"/>
  <c r="R587" i="9"/>
  <c r="S587" i="9" s="1"/>
  <c r="V391" i="9"/>
  <c r="W391" i="9" s="1"/>
  <c r="X391" i="9" s="1"/>
  <c r="P587" i="9"/>
  <c r="Q587" i="9" s="1"/>
  <c r="N587" i="9"/>
  <c r="O587" i="9" s="1"/>
  <c r="V490" i="9"/>
  <c r="W490" i="9" s="1"/>
  <c r="X490" i="9" s="1"/>
  <c r="N490" i="9"/>
  <c r="O490" i="9" s="1"/>
  <c r="T391" i="9"/>
  <c r="U391" i="9" s="1"/>
  <c r="K585" i="9"/>
  <c r="L585" i="9" s="1"/>
  <c r="M585" i="9" s="1"/>
  <c r="N585" i="9" s="1"/>
  <c r="H386" i="9"/>
  <c r="I386" i="9" s="1"/>
  <c r="J386" i="9" s="1"/>
  <c r="H582" i="9"/>
  <c r="I582" i="9" s="1"/>
  <c r="H485" i="9"/>
  <c r="I485" i="9" s="1"/>
  <c r="AA385" i="9"/>
  <c r="AA484" i="9"/>
  <c r="AA581" i="9"/>
  <c r="Z581" i="9"/>
  <c r="Z385" i="9"/>
  <c r="Z484" i="9"/>
  <c r="AA485" i="9"/>
  <c r="AA386" i="9"/>
  <c r="AA582" i="9"/>
  <c r="M490" i="9"/>
  <c r="M587" i="9"/>
  <c r="M391" i="9"/>
  <c r="G581" i="9"/>
  <c r="G603" i="9" s="1"/>
  <c r="G484" i="9"/>
  <c r="G385" i="9"/>
  <c r="G407" i="9" s="1"/>
  <c r="L390" i="9"/>
  <c r="Z392" i="9"/>
  <c r="Z491" i="9"/>
  <c r="Z588" i="9"/>
  <c r="X392" i="9"/>
  <c r="AA588" i="9"/>
  <c r="X588" i="9"/>
  <c r="X491" i="9"/>
  <c r="AA392" i="9"/>
  <c r="AA491" i="9"/>
  <c r="Q588" i="9"/>
  <c r="Q392" i="9"/>
  <c r="W392" i="9"/>
  <c r="Q491" i="9"/>
  <c r="W491" i="9"/>
  <c r="W588" i="9"/>
  <c r="O491" i="9"/>
  <c r="O392" i="9"/>
  <c r="U588" i="9"/>
  <c r="S588" i="9"/>
  <c r="U491" i="9"/>
  <c r="S392" i="9"/>
  <c r="O588" i="9"/>
  <c r="S491" i="9"/>
  <c r="L489" i="9"/>
  <c r="L586" i="9"/>
  <c r="U392" i="9"/>
  <c r="M8" i="7"/>
  <c r="Q26" i="37" s="1"/>
  <c r="Q37" i="37" s="1"/>
  <c r="Q39" i="37" s="1"/>
  <c r="Q52" i="37" s="1"/>
  <c r="Q66" i="37" s="1"/>
  <c r="Q72" i="37" s="1"/>
  <c r="Q75" i="37" s="1"/>
  <c r="Q78" i="37" s="1"/>
  <c r="Q100" i="37" s="1"/>
  <c r="L79" i="25"/>
  <c r="L20" i="23" s="1"/>
  <c r="L23" i="36" s="1"/>
  <c r="L78" i="7"/>
  <c r="L94" i="7" s="1"/>
  <c r="C78" i="7"/>
  <c r="X70" i="9"/>
  <c r="E70" i="9"/>
  <c r="E93" i="9" s="1"/>
  <c r="K256" i="9"/>
  <c r="K257" i="9"/>
  <c r="K254" i="9"/>
  <c r="K258" i="9"/>
  <c r="K255" i="9"/>
  <c r="K259" i="9"/>
  <c r="K252" i="9"/>
  <c r="K253" i="9"/>
  <c r="U254" i="9"/>
  <c r="E221" i="9"/>
  <c r="P254" i="9"/>
  <c r="V254" i="9"/>
  <c r="X254" i="9"/>
  <c r="Y254" i="9"/>
  <c r="O254" i="9"/>
  <c r="W254" i="9"/>
  <c r="R254" i="9"/>
  <c r="Z254" i="9"/>
  <c r="T254" i="9"/>
  <c r="S254" i="9"/>
  <c r="AA254" i="9"/>
  <c r="Q254" i="9"/>
  <c r="N254" i="9"/>
  <c r="M254" i="9"/>
  <c r="M255" i="9"/>
  <c r="M261" i="9"/>
  <c r="M257" i="9"/>
  <c r="M252" i="9"/>
  <c r="M256" i="9"/>
  <c r="M260" i="9"/>
  <c r="M253" i="9"/>
  <c r="M259" i="9"/>
  <c r="M258" i="9"/>
  <c r="K292" i="9"/>
  <c r="F221" i="9"/>
  <c r="G222" i="9"/>
  <c r="G224" i="9"/>
  <c r="G221" i="9"/>
  <c r="L257" i="9"/>
  <c r="L252" i="9"/>
  <c r="L256" i="9"/>
  <c r="L253" i="9"/>
  <c r="L259" i="9"/>
  <c r="L254" i="9"/>
  <c r="L255" i="9"/>
  <c r="L260" i="9"/>
  <c r="L258" i="9"/>
  <c r="M294" i="9"/>
  <c r="H225" i="9"/>
  <c r="H221" i="9"/>
  <c r="H222" i="9"/>
  <c r="H224" i="9"/>
  <c r="J291" i="9"/>
  <c r="I256" i="9"/>
  <c r="I254" i="9"/>
  <c r="I255" i="9"/>
  <c r="I257" i="9"/>
  <c r="I253" i="9"/>
  <c r="I252" i="9"/>
  <c r="O253" i="9"/>
  <c r="W253" i="9"/>
  <c r="R253" i="9"/>
  <c r="P253" i="9"/>
  <c r="X253" i="9"/>
  <c r="D245" i="9"/>
  <c r="Z253" i="9"/>
  <c r="S253" i="9"/>
  <c r="Q253" i="9"/>
  <c r="Y253" i="9"/>
  <c r="T253" i="9"/>
  <c r="V253" i="9"/>
  <c r="U253" i="9"/>
  <c r="AA253" i="9"/>
  <c r="N253" i="9"/>
  <c r="G288" i="9"/>
  <c r="L293" i="9"/>
  <c r="H289" i="9"/>
  <c r="J257" i="9"/>
  <c r="J256" i="9"/>
  <c r="J253" i="9"/>
  <c r="J254" i="9"/>
  <c r="J255" i="9"/>
  <c r="J258" i="9"/>
  <c r="J252" i="9"/>
  <c r="H192" i="9"/>
  <c r="I222" i="9"/>
  <c r="J222" i="9"/>
  <c r="K222" i="9"/>
  <c r="L222" i="9"/>
  <c r="G192" i="9"/>
  <c r="M222" i="9"/>
  <c r="N222" i="9"/>
  <c r="N227" i="9"/>
  <c r="L227" i="9"/>
  <c r="K227" i="9"/>
  <c r="M227" i="9"/>
  <c r="M223" i="9"/>
  <c r="L223" i="9"/>
  <c r="N223" i="9"/>
  <c r="G193" i="9"/>
  <c r="I223" i="9"/>
  <c r="H193" i="9"/>
  <c r="J223" i="9"/>
  <c r="K223" i="9"/>
  <c r="H194" i="9"/>
  <c r="J224" i="9"/>
  <c r="K224" i="9"/>
  <c r="L224" i="9"/>
  <c r="I224" i="9"/>
  <c r="M224" i="9"/>
  <c r="N224" i="9"/>
  <c r="L228" i="9"/>
  <c r="M228" i="9"/>
  <c r="N228" i="9"/>
  <c r="J221" i="9"/>
  <c r="K221" i="9"/>
  <c r="L221" i="9"/>
  <c r="M221" i="9"/>
  <c r="N221" i="9"/>
  <c r="I221" i="9"/>
  <c r="H191" i="9"/>
  <c r="I225" i="9"/>
  <c r="L225" i="9"/>
  <c r="J225" i="9"/>
  <c r="M225" i="9"/>
  <c r="N225" i="9"/>
  <c r="K225" i="9"/>
  <c r="M229" i="9"/>
  <c r="N229" i="9"/>
  <c r="N226" i="9"/>
  <c r="M226" i="9"/>
  <c r="J226" i="9"/>
  <c r="L226" i="9"/>
  <c r="K226" i="9"/>
  <c r="P77" i="9"/>
  <c r="X77" i="9"/>
  <c r="Q77" i="9"/>
  <c r="Y77" i="9"/>
  <c r="T77" i="9"/>
  <c r="R77" i="9"/>
  <c r="Z77" i="9"/>
  <c r="S77" i="9"/>
  <c r="AA77" i="9"/>
  <c r="L77" i="9"/>
  <c r="M77" i="9"/>
  <c r="U77" i="9"/>
  <c r="N77" i="9"/>
  <c r="V77" i="9"/>
  <c r="O77" i="9"/>
  <c r="W77" i="9"/>
  <c r="M108" i="9"/>
  <c r="Y109" i="9"/>
  <c r="Z109" i="9"/>
  <c r="X109" i="9"/>
  <c r="AA109" i="9"/>
  <c r="V109" i="9"/>
  <c r="T109" i="9"/>
  <c r="Q109" i="9"/>
  <c r="U109" i="9"/>
  <c r="W109" i="9"/>
  <c r="S109" i="9"/>
  <c r="P109" i="9"/>
  <c r="O109" i="9"/>
  <c r="N109" i="9"/>
  <c r="R109" i="9"/>
  <c r="X108" i="9"/>
  <c r="Z108" i="9"/>
  <c r="AA108" i="9"/>
  <c r="Y108" i="9"/>
  <c r="V108" i="9"/>
  <c r="U108" i="9"/>
  <c r="W108" i="9"/>
  <c r="T108" i="9"/>
  <c r="Q108" i="9"/>
  <c r="O108" i="9"/>
  <c r="S108" i="9"/>
  <c r="R108" i="9"/>
  <c r="P108" i="9"/>
  <c r="N108" i="9"/>
  <c r="P78" i="9"/>
  <c r="X78" i="9"/>
  <c r="T78" i="9"/>
  <c r="Q78" i="9"/>
  <c r="Y78" i="9"/>
  <c r="R78" i="9"/>
  <c r="Z78" i="9"/>
  <c r="M78" i="9"/>
  <c r="S78" i="9"/>
  <c r="AA78" i="9"/>
  <c r="U78" i="9"/>
  <c r="O78" i="9"/>
  <c r="W78" i="9"/>
  <c r="N78" i="9"/>
  <c r="V78" i="9"/>
  <c r="K76" i="9"/>
  <c r="M76" i="9"/>
  <c r="Z105" i="9"/>
  <c r="AA105" i="9"/>
  <c r="Y105" i="9"/>
  <c r="X105" i="9"/>
  <c r="V105" i="9"/>
  <c r="U105" i="9"/>
  <c r="N105" i="9"/>
  <c r="R105" i="9"/>
  <c r="T105" i="9"/>
  <c r="W105" i="9"/>
  <c r="P105" i="9"/>
  <c r="O105" i="9"/>
  <c r="Q105" i="9"/>
  <c r="S105" i="9"/>
  <c r="Y107" i="9"/>
  <c r="Z107" i="9"/>
  <c r="X107" i="9"/>
  <c r="AA107" i="9"/>
  <c r="U107" i="9"/>
  <c r="P107" i="9"/>
  <c r="S107" i="9"/>
  <c r="T107" i="9"/>
  <c r="V107" i="9"/>
  <c r="W107" i="9"/>
  <c r="O107" i="9"/>
  <c r="R107" i="9"/>
  <c r="Q107" i="9"/>
  <c r="N107" i="9"/>
  <c r="Y173" i="9"/>
  <c r="Z173" i="9" s="1"/>
  <c r="AA173" i="9" s="1"/>
  <c r="R173" i="9"/>
  <c r="S173" i="9" s="1"/>
  <c r="P173" i="9"/>
  <c r="Q173" i="9" s="1"/>
  <c r="V173" i="9"/>
  <c r="W173" i="9" s="1"/>
  <c r="X173" i="9" s="1"/>
  <c r="N173" i="9"/>
  <c r="O173" i="9" s="1"/>
  <c r="T173" i="9"/>
  <c r="U173" i="9" s="1"/>
  <c r="Y101" i="9"/>
  <c r="Z101" i="9"/>
  <c r="Z167" i="9"/>
  <c r="Z288" i="9"/>
  <c r="AA288" i="9"/>
  <c r="AA167" i="9"/>
  <c r="AA101" i="9"/>
  <c r="X101" i="9"/>
  <c r="V101" i="9"/>
  <c r="N101" i="9"/>
  <c r="U101" i="9"/>
  <c r="Q101" i="9"/>
  <c r="W101" i="9"/>
  <c r="R101" i="9"/>
  <c r="P101" i="9"/>
  <c r="S101" i="9"/>
  <c r="O101" i="9"/>
  <c r="T101" i="9"/>
  <c r="E137" i="9"/>
  <c r="F137" i="9" s="1"/>
  <c r="G137" i="9" s="1"/>
  <c r="Y100" i="9"/>
  <c r="Y166" i="9"/>
  <c r="Z166" i="9"/>
  <c r="Z100" i="9"/>
  <c r="AA166" i="9"/>
  <c r="AA100" i="9"/>
  <c r="X100" i="9"/>
  <c r="U100" i="9"/>
  <c r="O100" i="9"/>
  <c r="W100" i="9"/>
  <c r="R100" i="9"/>
  <c r="N100" i="9"/>
  <c r="V100" i="9"/>
  <c r="T100" i="9"/>
  <c r="S100" i="9"/>
  <c r="P100" i="9"/>
  <c r="Q100" i="9"/>
  <c r="Z102" i="9"/>
  <c r="X102" i="9"/>
  <c r="AA102" i="9"/>
  <c r="AA289" i="9"/>
  <c r="AA168" i="9"/>
  <c r="Y102" i="9"/>
  <c r="U102" i="9"/>
  <c r="Q102" i="9"/>
  <c r="S102" i="9"/>
  <c r="N102" i="9"/>
  <c r="V102" i="9"/>
  <c r="R102" i="9"/>
  <c r="O102" i="9"/>
  <c r="W102" i="9"/>
  <c r="P102" i="9"/>
  <c r="T102" i="9"/>
  <c r="Z106" i="9"/>
  <c r="Y106" i="9"/>
  <c r="AA106" i="9"/>
  <c r="X106" i="9"/>
  <c r="T106" i="9"/>
  <c r="U106" i="9"/>
  <c r="Q106" i="9"/>
  <c r="N106" i="9"/>
  <c r="V106" i="9"/>
  <c r="O106" i="9"/>
  <c r="W106" i="9"/>
  <c r="S106" i="9"/>
  <c r="P106" i="9"/>
  <c r="R106" i="9"/>
  <c r="Z103" i="9"/>
  <c r="X103" i="9"/>
  <c r="AA103" i="9"/>
  <c r="Y103" i="9"/>
  <c r="U103" i="9"/>
  <c r="V103" i="9"/>
  <c r="O103" i="9"/>
  <c r="W103" i="9"/>
  <c r="T103" i="9"/>
  <c r="P103" i="9"/>
  <c r="S103" i="9"/>
  <c r="N103" i="9"/>
  <c r="Q103" i="9"/>
  <c r="R103" i="9"/>
  <c r="W174" i="9"/>
  <c r="AA174" i="9"/>
  <c r="Q174" i="9"/>
  <c r="Z174" i="9"/>
  <c r="X174" i="9"/>
  <c r="O174" i="9"/>
  <c r="U174" i="9"/>
  <c r="S174" i="9"/>
  <c r="AA104" i="9"/>
  <c r="Z104" i="9"/>
  <c r="X104" i="9"/>
  <c r="Y104" i="9"/>
  <c r="W104" i="9"/>
  <c r="U104" i="9"/>
  <c r="O104" i="9"/>
  <c r="P104" i="9"/>
  <c r="R104" i="9"/>
  <c r="N104" i="9"/>
  <c r="V104" i="9"/>
  <c r="T104" i="9"/>
  <c r="Q104" i="9"/>
  <c r="S104" i="9"/>
  <c r="L75" i="9"/>
  <c r="G13" i="9"/>
  <c r="X71" i="9"/>
  <c r="Y71" i="9"/>
  <c r="Z73" i="9"/>
  <c r="AA73" i="9"/>
  <c r="X73" i="9"/>
  <c r="Y73" i="9"/>
  <c r="X72" i="9"/>
  <c r="Y72" i="9"/>
  <c r="Z72" i="9"/>
  <c r="X76" i="9"/>
  <c r="Y76" i="9"/>
  <c r="Z76" i="9"/>
  <c r="AA76" i="9"/>
  <c r="Y74" i="9"/>
  <c r="Z74" i="9"/>
  <c r="AA74" i="9"/>
  <c r="X74" i="9"/>
  <c r="Z75" i="9"/>
  <c r="AA75" i="9"/>
  <c r="X75" i="9"/>
  <c r="Y75" i="9"/>
  <c r="C94" i="7"/>
  <c r="I85" i="7"/>
  <c r="I86" i="7" s="1"/>
  <c r="M41" i="37" s="1"/>
  <c r="M50" i="37" s="1"/>
  <c r="M52" i="37" s="1"/>
  <c r="M66" i="37" s="1"/>
  <c r="M72" i="37" s="1"/>
  <c r="M75" i="37" s="1"/>
  <c r="M78" i="37" s="1"/>
  <c r="M100" i="37" s="1"/>
  <c r="U76" i="9"/>
  <c r="V76" i="9"/>
  <c r="W76" i="9"/>
  <c r="T75" i="9"/>
  <c r="U75" i="9"/>
  <c r="V75" i="9"/>
  <c r="W75" i="9"/>
  <c r="W74" i="9"/>
  <c r="S74" i="9"/>
  <c r="V74" i="9"/>
  <c r="T74" i="9"/>
  <c r="U74" i="9"/>
  <c r="V73" i="9"/>
  <c r="U73" i="9"/>
  <c r="W73" i="9"/>
  <c r="R73" i="9"/>
  <c r="T73" i="9"/>
  <c r="S73" i="9"/>
  <c r="U72" i="9"/>
  <c r="V72" i="9"/>
  <c r="W72" i="9"/>
  <c r="Q72" i="9"/>
  <c r="R72" i="9"/>
  <c r="S72" i="9"/>
  <c r="T72" i="9"/>
  <c r="T71" i="9"/>
  <c r="U71" i="9"/>
  <c r="V71" i="9"/>
  <c r="W71" i="9"/>
  <c r="P71" i="9"/>
  <c r="Q71" i="9"/>
  <c r="R71" i="9"/>
  <c r="S71" i="9"/>
  <c r="S70" i="9"/>
  <c r="T70" i="9"/>
  <c r="U70" i="9"/>
  <c r="V70" i="9"/>
  <c r="O70" i="9"/>
  <c r="W70" i="9"/>
  <c r="P70" i="9"/>
  <c r="Q70" i="9"/>
  <c r="R70" i="9"/>
  <c r="J75" i="9"/>
  <c r="P75" i="9"/>
  <c r="R75" i="9"/>
  <c r="Q75" i="9"/>
  <c r="S75" i="9"/>
  <c r="N75" i="9"/>
  <c r="O75" i="9"/>
  <c r="H73" i="9"/>
  <c r="N73" i="9"/>
  <c r="O73" i="9"/>
  <c r="P73" i="9"/>
  <c r="Q73" i="9"/>
  <c r="I74" i="9"/>
  <c r="R74" i="9"/>
  <c r="N74" i="9"/>
  <c r="O74" i="9"/>
  <c r="Q74" i="9"/>
  <c r="P74" i="9"/>
  <c r="N76" i="9"/>
  <c r="O76" i="9"/>
  <c r="P76" i="9"/>
  <c r="Q76" i="9"/>
  <c r="R76" i="9"/>
  <c r="S76" i="9"/>
  <c r="T76" i="9"/>
  <c r="M70" i="9"/>
  <c r="N70" i="9"/>
  <c r="N71" i="9"/>
  <c r="O71" i="9"/>
  <c r="G72" i="9"/>
  <c r="N72" i="9"/>
  <c r="P72" i="9"/>
  <c r="O72" i="9"/>
  <c r="M73" i="9"/>
  <c r="J73" i="9"/>
  <c r="K73" i="9"/>
  <c r="L73" i="9"/>
  <c r="E14" i="7"/>
  <c r="E49" i="25" s="1"/>
  <c r="E79" i="25" s="1"/>
  <c r="E20" i="23" s="1"/>
  <c r="E23" i="36" s="1"/>
  <c r="E16" i="7"/>
  <c r="T17" i="4"/>
  <c r="H16" i="7"/>
  <c r="H14" i="7"/>
  <c r="H49" i="25" s="1"/>
  <c r="H79" i="25" s="1"/>
  <c r="H20" i="23" s="1"/>
  <c r="H23" i="36" s="1"/>
  <c r="G14" i="7"/>
  <c r="G49" i="25" s="1"/>
  <c r="G79" i="25" s="1"/>
  <c r="G20" i="23" s="1"/>
  <c r="G23" i="36" s="1"/>
  <c r="G16" i="7"/>
  <c r="F16" i="7"/>
  <c r="D89" i="4"/>
  <c r="E88" i="4" s="1"/>
  <c r="E87" i="4" s="1"/>
  <c r="E89" i="4" s="1"/>
  <c r="D79" i="4"/>
  <c r="E78" i="4" s="1"/>
  <c r="E77" i="4" s="1"/>
  <c r="E79" i="4" s="1"/>
  <c r="F78" i="4" s="1"/>
  <c r="F77" i="4" s="1"/>
  <c r="F79" i="4" s="1"/>
  <c r="G78" i="4" s="1"/>
  <c r="G77" i="4" s="1"/>
  <c r="G79" i="4" s="1"/>
  <c r="D69" i="4"/>
  <c r="E68" i="4" s="1"/>
  <c r="D60" i="4"/>
  <c r="G85" i="7"/>
  <c r="G86" i="7" s="1"/>
  <c r="E85" i="7"/>
  <c r="E86" i="7" s="1"/>
  <c r="H85" i="7"/>
  <c r="H86" i="7" s="1"/>
  <c r="F85" i="7"/>
  <c r="F86" i="7" s="1"/>
  <c r="J70" i="9"/>
  <c r="K70" i="9"/>
  <c r="L70" i="9"/>
  <c r="E20" i="4"/>
  <c r="F31" i="4"/>
  <c r="G31" i="4"/>
  <c r="F51" i="4"/>
  <c r="G49" i="4" s="1"/>
  <c r="F49" i="4"/>
  <c r="H135" i="9"/>
  <c r="H157" i="9" s="1"/>
  <c r="H182" i="9" s="1"/>
  <c r="H184" i="9" s="1"/>
  <c r="H140" i="9"/>
  <c r="I164" i="9"/>
  <c r="I186" i="9" s="1"/>
  <c r="I170" i="9"/>
  <c r="F135" i="9"/>
  <c r="F157" i="9" s="1"/>
  <c r="F138" i="9"/>
  <c r="J164" i="9"/>
  <c r="J186" i="9" s="1"/>
  <c r="J171" i="9"/>
  <c r="M164" i="9"/>
  <c r="M186" i="9" s="1"/>
  <c r="M174" i="9"/>
  <c r="D123" i="9"/>
  <c r="D135" i="9"/>
  <c r="D136" i="9" s="1"/>
  <c r="E135" i="9"/>
  <c r="E157" i="9" s="1"/>
  <c r="G135" i="9"/>
  <c r="G157" i="9" s="1"/>
  <c r="G139" i="9"/>
  <c r="K164" i="9"/>
  <c r="K186" i="9" s="1"/>
  <c r="K172" i="9"/>
  <c r="L164" i="9"/>
  <c r="L186" i="9" s="1"/>
  <c r="L173" i="9"/>
  <c r="M173" i="9" s="1"/>
  <c r="G70" i="9"/>
  <c r="I70" i="9"/>
  <c r="H70" i="9"/>
  <c r="E32" i="4"/>
  <c r="H31" i="4"/>
  <c r="K71" i="9"/>
  <c r="L71" i="9"/>
  <c r="M71" i="9"/>
  <c r="E31" i="4"/>
  <c r="J71" i="9"/>
  <c r="F71" i="9"/>
  <c r="I71" i="9"/>
  <c r="G71" i="9"/>
  <c r="E41" i="4"/>
  <c r="E39" i="4" s="1"/>
  <c r="F70" i="9"/>
  <c r="M74" i="9"/>
  <c r="K74" i="9"/>
  <c r="L74" i="9"/>
  <c r="M72" i="9"/>
  <c r="K72" i="9"/>
  <c r="I72" i="9"/>
  <c r="L72" i="9"/>
  <c r="J72" i="9"/>
  <c r="M107" i="9"/>
  <c r="F101" i="9"/>
  <c r="J105" i="9"/>
  <c r="L107" i="9"/>
  <c r="G102" i="9"/>
  <c r="I103" i="9"/>
  <c r="K106" i="9"/>
  <c r="H102" i="9"/>
  <c r="L106" i="9"/>
  <c r="I73" i="9"/>
  <c r="K75" i="9"/>
  <c r="L76" i="9"/>
  <c r="H72" i="9"/>
  <c r="J74" i="9"/>
  <c r="E100" i="9"/>
  <c r="L100" i="9"/>
  <c r="J100" i="9"/>
  <c r="H100" i="9"/>
  <c r="F100" i="9"/>
  <c r="M101" i="9"/>
  <c r="K101" i="9"/>
  <c r="I101" i="9"/>
  <c r="G101" i="9"/>
  <c r="M102" i="9"/>
  <c r="K102" i="9"/>
  <c r="I102" i="9"/>
  <c r="H103" i="9"/>
  <c r="L103" i="9"/>
  <c r="J103" i="9"/>
  <c r="I104" i="9"/>
  <c r="L104" i="9"/>
  <c r="J104" i="9"/>
  <c r="M105" i="9"/>
  <c r="K105" i="9"/>
  <c r="M106" i="9"/>
  <c r="M100" i="9"/>
  <c r="K100" i="9"/>
  <c r="I100" i="9"/>
  <c r="G100" i="9"/>
  <c r="L101" i="9"/>
  <c r="J101" i="9"/>
  <c r="H101" i="9"/>
  <c r="L102" i="9"/>
  <c r="J102" i="9"/>
  <c r="M103" i="9"/>
  <c r="K103" i="9"/>
  <c r="M104" i="9"/>
  <c r="K104" i="9"/>
  <c r="L105" i="9"/>
  <c r="F17" i="9"/>
  <c r="F42" i="4"/>
  <c r="F41" i="4"/>
  <c r="F39" i="4" s="1"/>
  <c r="H41" i="22" l="1"/>
  <c r="E24" i="23" s="1"/>
  <c r="I41" i="37"/>
  <c r="J41" i="22"/>
  <c r="G24" i="23" s="1"/>
  <c r="K41" i="37"/>
  <c r="I41" i="22"/>
  <c r="F24" i="23" s="1"/>
  <c r="J41" i="37"/>
  <c r="K41" i="22"/>
  <c r="H24" i="23" s="1"/>
  <c r="L41" i="37"/>
  <c r="G49" i="22"/>
  <c r="H55" i="37"/>
  <c r="G50" i="22"/>
  <c r="H56" i="37"/>
  <c r="H63" i="37" s="1"/>
  <c r="H52" i="22"/>
  <c r="I58" i="37"/>
  <c r="F276" i="9"/>
  <c r="G276" i="9"/>
  <c r="H276" i="9"/>
  <c r="E277" i="9"/>
  <c r="E278" i="9"/>
  <c r="F278" i="9" s="1"/>
  <c r="L19" i="23"/>
  <c r="L21" i="23" s="1"/>
  <c r="O39" i="22"/>
  <c r="O46" i="22" s="1"/>
  <c r="P26" i="22"/>
  <c r="P37" i="22" s="1"/>
  <c r="L41" i="22"/>
  <c r="I24" i="23" s="1"/>
  <c r="I94" i="7"/>
  <c r="E67" i="4"/>
  <c r="D26" i="23"/>
  <c r="K584" i="9"/>
  <c r="L584" i="9" s="1"/>
  <c r="M584" i="9" s="1"/>
  <c r="N584" i="9" s="1"/>
  <c r="X276" i="9"/>
  <c r="L487" i="9"/>
  <c r="M487" i="9" s="1"/>
  <c r="N487" i="9" s="1"/>
  <c r="N276" i="9"/>
  <c r="T276" i="9"/>
  <c r="M388" i="9"/>
  <c r="N388" i="9" s="1"/>
  <c r="M389" i="9"/>
  <c r="N389" i="9" s="1"/>
  <c r="O389" i="9" s="1"/>
  <c r="V276" i="9"/>
  <c r="D246" i="9"/>
  <c r="D247" i="9" s="1"/>
  <c r="M486" i="9"/>
  <c r="N486" i="9" s="1"/>
  <c r="O585" i="9"/>
  <c r="P585" i="9" s="1"/>
  <c r="Q585" i="9" s="1"/>
  <c r="R585" i="9" s="1"/>
  <c r="K387" i="9"/>
  <c r="L387" i="9" s="1"/>
  <c r="C20" i="23"/>
  <c r="K583" i="9"/>
  <c r="L583" i="9" s="1"/>
  <c r="M583" i="9" s="1"/>
  <c r="J582" i="9"/>
  <c r="K582" i="9" s="1"/>
  <c r="P276" i="9"/>
  <c r="H385" i="9"/>
  <c r="I385" i="9" s="1"/>
  <c r="J385" i="9" s="1"/>
  <c r="K385" i="9" s="1"/>
  <c r="L385" i="9" s="1"/>
  <c r="H484" i="9"/>
  <c r="I484" i="9" s="1"/>
  <c r="I506" i="9" s="1"/>
  <c r="G506" i="9"/>
  <c r="Y276" i="9"/>
  <c r="G604" i="9"/>
  <c r="G605" i="9"/>
  <c r="M390" i="9"/>
  <c r="N390" i="9" s="1"/>
  <c r="O488" i="9"/>
  <c r="P488" i="9" s="1"/>
  <c r="K386" i="9"/>
  <c r="H581" i="9"/>
  <c r="M489" i="9"/>
  <c r="N489" i="9" s="1"/>
  <c r="J485" i="9"/>
  <c r="K485" i="9" s="1"/>
  <c r="M586" i="9"/>
  <c r="N586" i="9" s="1"/>
  <c r="G408" i="9"/>
  <c r="G409" i="9"/>
  <c r="N8" i="7"/>
  <c r="R26" i="37" s="1"/>
  <c r="R37" i="37" s="1"/>
  <c r="R39" i="37" s="1"/>
  <c r="R52" i="37" s="1"/>
  <c r="R66" i="37" s="1"/>
  <c r="R72" i="37" s="1"/>
  <c r="R75" i="37" s="1"/>
  <c r="R78" i="37" s="1"/>
  <c r="R100" i="37" s="1"/>
  <c r="M79" i="25"/>
  <c r="M20" i="23" s="1"/>
  <c r="M23" i="36" s="1"/>
  <c r="M78" i="7"/>
  <c r="M94" i="7" s="1"/>
  <c r="Z276" i="9"/>
  <c r="R276" i="9"/>
  <c r="AA276" i="9"/>
  <c r="S276" i="9"/>
  <c r="E245" i="9"/>
  <c r="I276" i="9"/>
  <c r="H245" i="9"/>
  <c r="L56" i="37" s="1"/>
  <c r="G245" i="9"/>
  <c r="K56" i="37" s="1"/>
  <c r="L276" i="9"/>
  <c r="K276" i="9"/>
  <c r="U276" i="9"/>
  <c r="F245" i="9"/>
  <c r="J56" i="37" s="1"/>
  <c r="M276" i="9"/>
  <c r="W276" i="9"/>
  <c r="J276" i="9"/>
  <c r="Q276" i="9"/>
  <c r="O276" i="9"/>
  <c r="N244" i="9"/>
  <c r="K244" i="9"/>
  <c r="H214" i="9"/>
  <c r="O244" i="9"/>
  <c r="F214" i="9"/>
  <c r="L244" i="9"/>
  <c r="I244" i="9"/>
  <c r="G214" i="9"/>
  <c r="M244" i="9"/>
  <c r="J244" i="9"/>
  <c r="AA93" i="9"/>
  <c r="X123" i="9"/>
  <c r="AB55" i="37" s="1"/>
  <c r="E136" i="9"/>
  <c r="E148" i="9" s="1"/>
  <c r="D157" i="9"/>
  <c r="H183" i="9"/>
  <c r="T123" i="9"/>
  <c r="X55" i="37" s="1"/>
  <c r="W123" i="9"/>
  <c r="AA55" i="37" s="1"/>
  <c r="V123" i="9"/>
  <c r="Z55" i="37" s="1"/>
  <c r="O123" i="9"/>
  <c r="U123" i="9"/>
  <c r="Y55" i="37" s="1"/>
  <c r="Y123" i="9"/>
  <c r="AC55" i="37" s="1"/>
  <c r="AA123" i="9"/>
  <c r="AE55" i="37" s="1"/>
  <c r="Q123" i="9"/>
  <c r="S123" i="9"/>
  <c r="W55" i="37" s="1"/>
  <c r="P123" i="9"/>
  <c r="N123" i="9"/>
  <c r="Z123" i="9"/>
  <c r="AD55" i="37" s="1"/>
  <c r="R123" i="9"/>
  <c r="V55" i="37" s="1"/>
  <c r="H13" i="9"/>
  <c r="X93" i="9"/>
  <c r="I169" i="9"/>
  <c r="J169" i="9" s="1"/>
  <c r="Z93" i="9"/>
  <c r="J170" i="9"/>
  <c r="K170" i="9" s="1"/>
  <c r="Y93" i="9"/>
  <c r="I7" i="23"/>
  <c r="E30" i="4"/>
  <c r="L172" i="9"/>
  <c r="K171" i="9"/>
  <c r="H139" i="9"/>
  <c r="G138" i="9"/>
  <c r="H138" i="9" s="1"/>
  <c r="V93" i="9"/>
  <c r="W93" i="9"/>
  <c r="T93" i="9"/>
  <c r="P93" i="9"/>
  <c r="U93" i="9"/>
  <c r="R93" i="9"/>
  <c r="S93" i="9"/>
  <c r="O93" i="9"/>
  <c r="Q93" i="9"/>
  <c r="N93" i="9"/>
  <c r="H7" i="23"/>
  <c r="G7" i="23"/>
  <c r="F7" i="23"/>
  <c r="U17" i="4"/>
  <c r="D124" i="9"/>
  <c r="D125" i="9" s="1"/>
  <c r="E19" i="4"/>
  <c r="E59" i="4"/>
  <c r="E58" i="4" s="1"/>
  <c r="E60" i="4" s="1"/>
  <c r="H78" i="4"/>
  <c r="H77" i="4" s="1"/>
  <c r="H79" i="4" s="1"/>
  <c r="I78" i="4" s="1"/>
  <c r="I77" i="4" s="1"/>
  <c r="I79" i="4" s="1"/>
  <c r="J78" i="4" s="1"/>
  <c r="J77" i="4" s="1"/>
  <c r="J79" i="4" s="1"/>
  <c r="K78" i="4" s="1"/>
  <c r="K77" i="4" s="1"/>
  <c r="K79" i="4" s="1"/>
  <c r="L78" i="4" s="1"/>
  <c r="L77" i="4" s="1"/>
  <c r="L79" i="4" s="1"/>
  <c r="M78" i="4" s="1"/>
  <c r="M77" i="4" s="1"/>
  <c r="M79" i="4" s="1"/>
  <c r="N78" i="4" s="1"/>
  <c r="N77" i="4" s="1"/>
  <c r="N79" i="4" s="1"/>
  <c r="O78" i="4" s="1"/>
  <c r="O77" i="4" s="1"/>
  <c r="O79" i="4" s="1"/>
  <c r="P78" i="4" s="1"/>
  <c r="P77" i="4" s="1"/>
  <c r="P79" i="4" s="1"/>
  <c r="Q78" i="4" s="1"/>
  <c r="Q77" i="4" s="1"/>
  <c r="Q79" i="4" s="1"/>
  <c r="R78" i="4" s="1"/>
  <c r="R77" i="4" s="1"/>
  <c r="R79" i="4" s="1"/>
  <c r="S78" i="4" s="1"/>
  <c r="S77" i="4" s="1"/>
  <c r="S79" i="4" s="1"/>
  <c r="T78" i="4" s="1"/>
  <c r="T77" i="4" s="1"/>
  <c r="T79" i="4" s="1"/>
  <c r="U78" i="4" s="1"/>
  <c r="U77" i="4" s="1"/>
  <c r="U79" i="4" s="1"/>
  <c r="V78" i="4" s="1"/>
  <c r="V77" i="4" s="1"/>
  <c r="V79" i="4" s="1"/>
  <c r="W78" i="4" s="1"/>
  <c r="W77" i="4" s="1"/>
  <c r="W79" i="4" s="1"/>
  <c r="F88" i="4"/>
  <c r="F87" i="4" s="1"/>
  <c r="F89" i="4" s="1"/>
  <c r="E123" i="9"/>
  <c r="G51" i="4"/>
  <c r="G50" i="4"/>
  <c r="E33" i="4"/>
  <c r="F32" i="4" s="1"/>
  <c r="D31" i="4"/>
  <c r="D94" i="9"/>
  <c r="D95" i="9" s="1"/>
  <c r="F50" i="4"/>
  <c r="F48" i="4" s="1"/>
  <c r="K49" i="4"/>
  <c r="F93" i="9"/>
  <c r="D215" i="9"/>
  <c r="D216" i="9" s="1"/>
  <c r="M123" i="9"/>
  <c r="L123" i="9"/>
  <c r="G93" i="9"/>
  <c r="M93" i="9"/>
  <c r="L93" i="9"/>
  <c r="K93" i="9"/>
  <c r="J93" i="9"/>
  <c r="H93" i="9"/>
  <c r="I93" i="9"/>
  <c r="G17" i="9"/>
  <c r="F123" i="9"/>
  <c r="J55" i="37" s="1"/>
  <c r="G41" i="4"/>
  <c r="G39" i="4" s="1"/>
  <c r="G42" i="4"/>
  <c r="G278" i="9" l="1"/>
  <c r="H278" i="9" s="1"/>
  <c r="H49" i="22"/>
  <c r="I55" i="37"/>
  <c r="H50" i="22"/>
  <c r="I56" i="37"/>
  <c r="AC50" i="22"/>
  <c r="AD56" i="37"/>
  <c r="AD63" i="37" s="1"/>
  <c r="K52" i="22"/>
  <c r="L58" i="37"/>
  <c r="V50" i="22"/>
  <c r="W56" i="37"/>
  <c r="W63" i="37" s="1"/>
  <c r="AA50" i="22"/>
  <c r="AB56" i="37"/>
  <c r="AB63" i="37" s="1"/>
  <c r="J52" i="22"/>
  <c r="K58" i="37"/>
  <c r="H80" i="37"/>
  <c r="H64" i="37"/>
  <c r="Z50" i="22"/>
  <c r="AA56" i="37"/>
  <c r="AA63" i="37" s="1"/>
  <c r="U50" i="22"/>
  <c r="V56" i="37"/>
  <c r="V63" i="37" s="1"/>
  <c r="AB50" i="22"/>
  <c r="AC56" i="37"/>
  <c r="AC63" i="37" s="1"/>
  <c r="Y50" i="22"/>
  <c r="Z56" i="37"/>
  <c r="Z63" i="37" s="1"/>
  <c r="X50" i="22"/>
  <c r="Y56" i="37"/>
  <c r="Y63" i="37" s="1"/>
  <c r="AD50" i="22"/>
  <c r="AE56" i="37"/>
  <c r="AE63" i="37" s="1"/>
  <c r="W50" i="22"/>
  <c r="X56" i="37"/>
  <c r="X63" i="37" s="1"/>
  <c r="I52" i="22"/>
  <c r="J58" i="37"/>
  <c r="J63" i="37" s="1"/>
  <c r="J80" i="37" s="1"/>
  <c r="F277" i="9"/>
  <c r="G277" i="9" s="1"/>
  <c r="H277" i="9" s="1"/>
  <c r="I50" i="22"/>
  <c r="J50" i="22"/>
  <c r="E125" i="9"/>
  <c r="F125" i="9" s="1"/>
  <c r="K50" i="22"/>
  <c r="X49" i="22"/>
  <c r="I49" i="22"/>
  <c r="P39" i="22"/>
  <c r="P46" i="22" s="1"/>
  <c r="M19" i="23"/>
  <c r="M21" i="23" s="1"/>
  <c r="Q26" i="22"/>
  <c r="Q37" i="22" s="1"/>
  <c r="O388" i="9"/>
  <c r="P388" i="9" s="1"/>
  <c r="D8" i="26"/>
  <c r="E69" i="4"/>
  <c r="F68" i="4" s="1"/>
  <c r="G76" i="22"/>
  <c r="P389" i="9"/>
  <c r="Q389" i="9" s="1"/>
  <c r="R389" i="9" s="1"/>
  <c r="S389" i="9" s="1"/>
  <c r="T389" i="9" s="1"/>
  <c r="U389" i="9" s="1"/>
  <c r="V389" i="9" s="1"/>
  <c r="O584" i="9"/>
  <c r="P584" i="9" s="1"/>
  <c r="Q584" i="9" s="1"/>
  <c r="R584" i="9" s="1"/>
  <c r="S584" i="9" s="1"/>
  <c r="T584" i="9" s="1"/>
  <c r="U584" i="9" s="1"/>
  <c r="V584" i="9" s="1"/>
  <c r="W584" i="9" s="1"/>
  <c r="X584" i="9" s="1"/>
  <c r="Y584" i="9" s="1"/>
  <c r="Z584" i="9" s="1"/>
  <c r="AA584" i="9" s="1"/>
  <c r="O486" i="9"/>
  <c r="P486" i="9" s="1"/>
  <c r="Q486" i="9" s="1"/>
  <c r="S585" i="9"/>
  <c r="T585" i="9" s="1"/>
  <c r="U585" i="9" s="1"/>
  <c r="V585" i="9" s="1"/>
  <c r="W585" i="9" s="1"/>
  <c r="X585" i="9" s="1"/>
  <c r="Y585" i="9" s="1"/>
  <c r="Z585" i="9" s="1"/>
  <c r="AA585" i="9" s="1"/>
  <c r="E247" i="9"/>
  <c r="F247" i="9" s="1"/>
  <c r="G247" i="9" s="1"/>
  <c r="H247" i="9" s="1"/>
  <c r="I278" i="9" s="1"/>
  <c r="J278" i="9" s="1"/>
  <c r="K278" i="9" s="1"/>
  <c r="L278" i="9" s="1"/>
  <c r="M278" i="9" s="1"/>
  <c r="N278" i="9" s="1"/>
  <c r="O278" i="9" s="1"/>
  <c r="P278" i="9" s="1"/>
  <c r="Q278" i="9" s="1"/>
  <c r="R278" i="9" s="1"/>
  <c r="S278" i="9" s="1"/>
  <c r="T278" i="9" s="1"/>
  <c r="U278" i="9" s="1"/>
  <c r="V278" i="9" s="1"/>
  <c r="W278" i="9" s="1"/>
  <c r="X278" i="9" s="1"/>
  <c r="Y278" i="9" s="1"/>
  <c r="Z278" i="9" s="1"/>
  <c r="AA278" i="9" s="1"/>
  <c r="M387" i="9"/>
  <c r="F30" i="4"/>
  <c r="F102" i="22"/>
  <c r="C12" i="26"/>
  <c r="C15" i="26"/>
  <c r="F98" i="22"/>
  <c r="F99" i="4"/>
  <c r="F98" i="4" s="1"/>
  <c r="H603" i="9"/>
  <c r="O489" i="9"/>
  <c r="P489" i="9" s="1"/>
  <c r="Q489" i="9" s="1"/>
  <c r="L485" i="9"/>
  <c r="M485" i="9" s="1"/>
  <c r="N485" i="9" s="1"/>
  <c r="O485" i="9" s="1"/>
  <c r="P485" i="9" s="1"/>
  <c r="Q485" i="9" s="1"/>
  <c r="Q488" i="9"/>
  <c r="R488" i="9" s="1"/>
  <c r="J484" i="9"/>
  <c r="O487" i="9"/>
  <c r="P487" i="9" s="1"/>
  <c r="Q487" i="9" s="1"/>
  <c r="G507" i="9"/>
  <c r="G508" i="9"/>
  <c r="O390" i="9"/>
  <c r="I581" i="9"/>
  <c r="J581" i="9" s="1"/>
  <c r="J603" i="9" s="1"/>
  <c r="H506" i="9"/>
  <c r="L386" i="9"/>
  <c r="L582" i="9"/>
  <c r="O586" i="9"/>
  <c r="N583" i="9"/>
  <c r="M385" i="9"/>
  <c r="O8" i="7"/>
  <c r="S26" i="37" s="1"/>
  <c r="S37" i="37" s="1"/>
  <c r="S39" i="37" s="1"/>
  <c r="S52" i="37" s="1"/>
  <c r="S66" i="37" s="1"/>
  <c r="S72" i="37" s="1"/>
  <c r="S75" i="37" s="1"/>
  <c r="S78" i="37" s="1"/>
  <c r="S100" i="37" s="1"/>
  <c r="N79" i="25"/>
  <c r="N20" i="23" s="1"/>
  <c r="N23" i="36" s="1"/>
  <c r="N78" i="7"/>
  <c r="N94" i="7" s="1"/>
  <c r="E246" i="9"/>
  <c r="F246" i="9" s="1"/>
  <c r="G246" i="9" s="1"/>
  <c r="H246" i="9" s="1"/>
  <c r="I277" i="9" s="1"/>
  <c r="J277" i="9" s="1"/>
  <c r="K277" i="9" s="1"/>
  <c r="L277" i="9" s="1"/>
  <c r="M277" i="9" s="1"/>
  <c r="N277" i="9" s="1"/>
  <c r="O277" i="9" s="1"/>
  <c r="P277" i="9" s="1"/>
  <c r="Q277" i="9" s="1"/>
  <c r="R277" i="9" s="1"/>
  <c r="S277" i="9" s="1"/>
  <c r="T277" i="9" s="1"/>
  <c r="U277" i="9" s="1"/>
  <c r="V277" i="9" s="1"/>
  <c r="W277" i="9" s="1"/>
  <c r="X277" i="9" s="1"/>
  <c r="Y277" i="9" s="1"/>
  <c r="Z277" i="9" s="1"/>
  <c r="AA277" i="9" s="1"/>
  <c r="E215" i="9"/>
  <c r="F215" i="9" s="1"/>
  <c r="G215" i="9" s="1"/>
  <c r="H215" i="9" s="1"/>
  <c r="I245" i="9" s="1"/>
  <c r="J245" i="9" s="1"/>
  <c r="K245" i="9" s="1"/>
  <c r="L245" i="9" s="1"/>
  <c r="M245" i="9" s="1"/>
  <c r="N245" i="9" s="1"/>
  <c r="L170" i="9"/>
  <c r="M170" i="9" s="1"/>
  <c r="D148" i="9"/>
  <c r="G57" i="22" s="1"/>
  <c r="K211" i="9"/>
  <c r="I211" i="9"/>
  <c r="I13" i="9"/>
  <c r="K169" i="9"/>
  <c r="L44" i="22"/>
  <c r="L46" i="22" s="1"/>
  <c r="M172" i="9"/>
  <c r="N172" i="9" s="1"/>
  <c r="O172" i="9" s="1"/>
  <c r="I168" i="9"/>
  <c r="L171" i="9"/>
  <c r="V17" i="4"/>
  <c r="E21" i="4"/>
  <c r="F20" i="4" s="1"/>
  <c r="F136" i="9"/>
  <c r="F59" i="4"/>
  <c r="F58" i="4" s="1"/>
  <c r="F60" i="4" s="1"/>
  <c r="G59" i="4" s="1"/>
  <c r="G58" i="4" s="1"/>
  <c r="G60" i="4" s="1"/>
  <c r="H59" i="4" s="1"/>
  <c r="H58" i="4" s="1"/>
  <c r="H60" i="4" s="1"/>
  <c r="I59" i="4" s="1"/>
  <c r="I58" i="4" s="1"/>
  <c r="I60" i="4" s="1"/>
  <c r="J59" i="4" s="1"/>
  <c r="J58" i="4" s="1"/>
  <c r="J60" i="4" s="1"/>
  <c r="K59" i="4" s="1"/>
  <c r="K58" i="4" s="1"/>
  <c r="K60" i="4" s="1"/>
  <c r="L59" i="4" s="1"/>
  <c r="L58" i="4" s="1"/>
  <c r="L60" i="4" s="1"/>
  <c r="M59" i="4" s="1"/>
  <c r="M58" i="4" s="1"/>
  <c r="M60" i="4" s="1"/>
  <c r="N59" i="4" s="1"/>
  <c r="N58" i="4" s="1"/>
  <c r="N60" i="4" s="1"/>
  <c r="O59" i="4" s="1"/>
  <c r="O58" i="4" s="1"/>
  <c r="O60" i="4" s="1"/>
  <c r="P59" i="4" s="1"/>
  <c r="P58" i="4" s="1"/>
  <c r="P60" i="4" s="1"/>
  <c r="Q59" i="4" s="1"/>
  <c r="Q58" i="4" s="1"/>
  <c r="Q60" i="4" s="1"/>
  <c r="R59" i="4" s="1"/>
  <c r="R58" i="4" s="1"/>
  <c r="R60" i="4" s="1"/>
  <c r="S59" i="4" s="1"/>
  <c r="S58" i="4" s="1"/>
  <c r="S60" i="4" s="1"/>
  <c r="T59" i="4" s="1"/>
  <c r="T58" i="4" s="1"/>
  <c r="T60" i="4" s="1"/>
  <c r="U59" i="4" s="1"/>
  <c r="U58" i="4" s="1"/>
  <c r="U60" i="4" s="1"/>
  <c r="V59" i="4" s="1"/>
  <c r="V58" i="4" s="1"/>
  <c r="V60" i="4" s="1"/>
  <c r="W59" i="4" s="1"/>
  <c r="W58" i="4" s="1"/>
  <c r="W60" i="4" s="1"/>
  <c r="X78" i="4"/>
  <c r="X77" i="4" s="1"/>
  <c r="D77" i="4" s="1"/>
  <c r="G88" i="4"/>
  <c r="G87" i="4" s="1"/>
  <c r="G89" i="4" s="1"/>
  <c r="E124" i="9"/>
  <c r="F124" i="9" s="1"/>
  <c r="H51" i="4"/>
  <c r="I49" i="4" s="1"/>
  <c r="H49" i="4"/>
  <c r="I167" i="9"/>
  <c r="G48" i="4"/>
  <c r="F33" i="4"/>
  <c r="G32" i="4" s="1"/>
  <c r="E94" i="9"/>
  <c r="F94" i="9" s="1"/>
  <c r="G94" i="9" s="1"/>
  <c r="H94" i="9" s="1"/>
  <c r="I94" i="9" s="1"/>
  <c r="J94" i="9" s="1"/>
  <c r="K94" i="9" s="1"/>
  <c r="L94" i="9" s="1"/>
  <c r="M94" i="9" s="1"/>
  <c r="N94" i="9" s="1"/>
  <c r="O94" i="9" s="1"/>
  <c r="P94" i="9" s="1"/>
  <c r="Q94" i="9" s="1"/>
  <c r="R94" i="9" s="1"/>
  <c r="S94" i="9" s="1"/>
  <c r="T94" i="9" s="1"/>
  <c r="U94" i="9" s="1"/>
  <c r="V94" i="9" s="1"/>
  <c r="W94" i="9" s="1"/>
  <c r="X94" i="9" s="1"/>
  <c r="Y94" i="9" s="1"/>
  <c r="Z94" i="9" s="1"/>
  <c r="AA94" i="9" s="1"/>
  <c r="K50" i="4"/>
  <c r="K48" i="4" s="1"/>
  <c r="E216" i="9"/>
  <c r="F216" i="9" s="1"/>
  <c r="G216" i="9" s="1"/>
  <c r="H216" i="9" s="1"/>
  <c r="I246" i="9" s="1"/>
  <c r="J246" i="9" s="1"/>
  <c r="K246" i="9" s="1"/>
  <c r="L246" i="9" s="1"/>
  <c r="M246" i="9" s="1"/>
  <c r="E95" i="9"/>
  <c r="H17" i="9"/>
  <c r="H42" i="4"/>
  <c r="H41" i="4"/>
  <c r="H39" i="4" s="1"/>
  <c r="I63" i="37" l="1"/>
  <c r="I80" i="37" s="1"/>
  <c r="AC80" i="37"/>
  <c r="W80" i="37"/>
  <c r="AE80" i="37"/>
  <c r="V80" i="37"/>
  <c r="AB80" i="37"/>
  <c r="AA80" i="37"/>
  <c r="Y80" i="37"/>
  <c r="Z80" i="37"/>
  <c r="AD80" i="37"/>
  <c r="X80" i="37"/>
  <c r="Q388" i="9"/>
  <c r="R388" i="9" s="1"/>
  <c r="G74" i="22"/>
  <c r="G58" i="22"/>
  <c r="D13" i="36" s="1"/>
  <c r="D14" i="36" s="1"/>
  <c r="N19" i="23"/>
  <c r="N21" i="23" s="1"/>
  <c r="Q39" i="22"/>
  <c r="Q46" i="22" s="1"/>
  <c r="R26" i="22"/>
  <c r="R37" i="22" s="1"/>
  <c r="D27" i="23"/>
  <c r="D25" i="36"/>
  <c r="F67" i="4"/>
  <c r="E26" i="23"/>
  <c r="H57" i="22"/>
  <c r="H50" i="4"/>
  <c r="I50" i="4"/>
  <c r="I48" i="4" s="1"/>
  <c r="H604" i="9"/>
  <c r="S488" i="9"/>
  <c r="T488" i="9" s="1"/>
  <c r="U488" i="9" s="1"/>
  <c r="V488" i="9" s="1"/>
  <c r="W488" i="9" s="1"/>
  <c r="X488" i="9" s="1"/>
  <c r="Y488" i="9" s="1"/>
  <c r="Z488" i="9" s="1"/>
  <c r="AA488" i="9" s="1"/>
  <c r="N387" i="9"/>
  <c r="H507" i="9"/>
  <c r="I507" i="9" s="1"/>
  <c r="H605" i="9"/>
  <c r="G30" i="4"/>
  <c r="F102" i="4"/>
  <c r="F100" i="4"/>
  <c r="D74" i="26"/>
  <c r="C14" i="26"/>
  <c r="C16" i="26" s="1"/>
  <c r="C21" i="26"/>
  <c r="R487" i="9"/>
  <c r="S487" i="9" s="1"/>
  <c r="T487" i="9" s="1"/>
  <c r="U487" i="9" s="1"/>
  <c r="V487" i="9" s="1"/>
  <c r="W487" i="9" s="1"/>
  <c r="X487" i="9" s="1"/>
  <c r="Y487" i="9" s="1"/>
  <c r="Z487" i="9" s="1"/>
  <c r="AA487" i="9" s="1"/>
  <c r="M386" i="9"/>
  <c r="N386" i="9" s="1"/>
  <c r="O386" i="9" s="1"/>
  <c r="P386" i="9" s="1"/>
  <c r="K484" i="9"/>
  <c r="J506" i="9"/>
  <c r="R485" i="9"/>
  <c r="S485" i="9" s="1"/>
  <c r="T485" i="9" s="1"/>
  <c r="U485" i="9" s="1"/>
  <c r="V485" i="9" s="1"/>
  <c r="W485" i="9" s="1"/>
  <c r="X485" i="9" s="1"/>
  <c r="Y485" i="9" s="1"/>
  <c r="Z485" i="9" s="1"/>
  <c r="M582" i="9"/>
  <c r="P390" i="9"/>
  <c r="Q390" i="9" s="1"/>
  <c r="R390" i="9" s="1"/>
  <c r="H508" i="9"/>
  <c r="I508" i="9" s="1"/>
  <c r="W389" i="9"/>
  <c r="X389" i="9" s="1"/>
  <c r="Y389" i="9" s="1"/>
  <c r="Z389" i="9" s="1"/>
  <c r="AA389" i="9" s="1"/>
  <c r="N385" i="9"/>
  <c r="O385" i="9" s="1"/>
  <c r="P385" i="9" s="1"/>
  <c r="Q385" i="9" s="1"/>
  <c r="R385" i="9" s="1"/>
  <c r="S385" i="9" s="1"/>
  <c r="T385" i="9" s="1"/>
  <c r="U385" i="9" s="1"/>
  <c r="V385" i="9" s="1"/>
  <c r="W385" i="9" s="1"/>
  <c r="X385" i="9" s="1"/>
  <c r="Y385" i="9" s="1"/>
  <c r="R486" i="9"/>
  <c r="S486" i="9" s="1"/>
  <c r="T486" i="9" s="1"/>
  <c r="U486" i="9" s="1"/>
  <c r="V486" i="9" s="1"/>
  <c r="W486" i="9" s="1"/>
  <c r="X486" i="9" s="1"/>
  <c r="Y486" i="9" s="1"/>
  <c r="Z486" i="9" s="1"/>
  <c r="AA486" i="9" s="1"/>
  <c r="O583" i="9"/>
  <c r="P583" i="9" s="1"/>
  <c r="Q583" i="9" s="1"/>
  <c r="R583" i="9" s="1"/>
  <c r="S583" i="9" s="1"/>
  <c r="I603" i="9"/>
  <c r="K581" i="9"/>
  <c r="P586" i="9"/>
  <c r="R489" i="9"/>
  <c r="S489" i="9" s="1"/>
  <c r="T489" i="9" s="1"/>
  <c r="U489" i="9" s="1"/>
  <c r="V489" i="9" s="1"/>
  <c r="W489" i="9" s="1"/>
  <c r="X489" i="9" s="1"/>
  <c r="Y489" i="9" s="1"/>
  <c r="P8" i="7"/>
  <c r="T26" i="37" s="1"/>
  <c r="T37" i="37" s="1"/>
  <c r="T39" i="37" s="1"/>
  <c r="T52" i="37" s="1"/>
  <c r="T66" i="37" s="1"/>
  <c r="T72" i="37" s="1"/>
  <c r="T75" i="37" s="1"/>
  <c r="T78" i="37" s="1"/>
  <c r="T100" i="37" s="1"/>
  <c r="O79" i="25"/>
  <c r="O20" i="23" s="1"/>
  <c r="O23" i="36" s="1"/>
  <c r="O78" i="7"/>
  <c r="O94" i="7" s="1"/>
  <c r="N246" i="9"/>
  <c r="O246" i="9" s="1"/>
  <c r="P246" i="9" s="1"/>
  <c r="Q246" i="9" s="1"/>
  <c r="R246" i="9" s="1"/>
  <c r="S246" i="9" s="1"/>
  <c r="T246" i="9" s="1"/>
  <c r="U246" i="9" s="1"/>
  <c r="V246" i="9" s="1"/>
  <c r="W246" i="9" s="1"/>
  <c r="X246" i="9" s="1"/>
  <c r="Y246" i="9" s="1"/>
  <c r="Z246" i="9" s="1"/>
  <c r="AA246" i="9" s="1"/>
  <c r="N170" i="9"/>
  <c r="O170" i="9" s="1"/>
  <c r="P170" i="9" s="1"/>
  <c r="I212" i="9"/>
  <c r="I213" i="9"/>
  <c r="D149" i="9"/>
  <c r="E149" i="9" s="1"/>
  <c r="J211" i="9"/>
  <c r="J13" i="9"/>
  <c r="L169" i="9"/>
  <c r="I19" i="26"/>
  <c r="J11" i="26"/>
  <c r="J10" i="23"/>
  <c r="J168" i="9"/>
  <c r="M171" i="9"/>
  <c r="P172" i="9"/>
  <c r="Q172" i="9" s="1"/>
  <c r="H137" i="9"/>
  <c r="I166" i="9" s="1"/>
  <c r="J167" i="9"/>
  <c r="K167" i="9" s="1"/>
  <c r="L167" i="9" s="1"/>
  <c r="G136" i="9"/>
  <c r="H136" i="9" s="1"/>
  <c r="H10" i="23"/>
  <c r="G10" i="23"/>
  <c r="F10" i="23"/>
  <c r="I10" i="23"/>
  <c r="F19" i="4"/>
  <c r="W17" i="4"/>
  <c r="I51" i="4"/>
  <c r="X79" i="4"/>
  <c r="G33" i="4"/>
  <c r="H33" i="4" s="1"/>
  <c r="I32" i="4" s="1"/>
  <c r="F148" i="9"/>
  <c r="I57" i="22" s="1"/>
  <c r="N51" i="4"/>
  <c r="N49" i="4"/>
  <c r="H48" i="4"/>
  <c r="H88" i="4"/>
  <c r="H87" i="4" s="1"/>
  <c r="H89" i="4" s="1"/>
  <c r="I88" i="4" s="1"/>
  <c r="I87" i="4" s="1"/>
  <c r="I89" i="4" s="1"/>
  <c r="J88" i="4" s="1"/>
  <c r="J87" i="4" s="1"/>
  <c r="J89" i="4" s="1"/>
  <c r="K88" i="4" s="1"/>
  <c r="K87" i="4" s="1"/>
  <c r="K89" i="4" s="1"/>
  <c r="L88" i="4" s="1"/>
  <c r="L87" i="4" s="1"/>
  <c r="L89" i="4" s="1"/>
  <c r="M88" i="4" s="1"/>
  <c r="M87" i="4" s="1"/>
  <c r="M89" i="4" s="1"/>
  <c r="N88" i="4" s="1"/>
  <c r="N87" i="4" s="1"/>
  <c r="N89" i="4" s="1"/>
  <c r="O88" i="4" s="1"/>
  <c r="O87" i="4" s="1"/>
  <c r="O89" i="4" s="1"/>
  <c r="P88" i="4" s="1"/>
  <c r="P87" i="4" s="1"/>
  <c r="P89" i="4" s="1"/>
  <c r="Q88" i="4" s="1"/>
  <c r="Q87" i="4" s="1"/>
  <c r="Q89" i="4" s="1"/>
  <c r="R88" i="4" s="1"/>
  <c r="R87" i="4" s="1"/>
  <c r="R89" i="4" s="1"/>
  <c r="S88" i="4" s="1"/>
  <c r="S87" i="4" s="1"/>
  <c r="S89" i="4" s="1"/>
  <c r="T88" i="4" s="1"/>
  <c r="T87" i="4" s="1"/>
  <c r="T89" i="4" s="1"/>
  <c r="U88" i="4" s="1"/>
  <c r="U87" i="4" s="1"/>
  <c r="U89" i="4" s="1"/>
  <c r="V88" i="4" s="1"/>
  <c r="V87" i="4" s="1"/>
  <c r="V89" i="4" s="1"/>
  <c r="W88" i="4" s="1"/>
  <c r="W87" i="4" s="1"/>
  <c r="W89" i="4" s="1"/>
  <c r="X59" i="4"/>
  <c r="X58" i="4" s="1"/>
  <c r="D58" i="4" s="1"/>
  <c r="F95" i="9"/>
  <c r="G123" i="9"/>
  <c r="I17" i="9"/>
  <c r="H123" i="9"/>
  <c r="I41" i="4"/>
  <c r="I39" i="4" s="1"/>
  <c r="I42" i="4"/>
  <c r="I64" i="37" l="1"/>
  <c r="J64" i="37" s="1"/>
  <c r="J49" i="22"/>
  <c r="K55" i="37"/>
  <c r="K63" i="37" s="1"/>
  <c r="K80" i="37" s="1"/>
  <c r="K49" i="22"/>
  <c r="L55" i="37"/>
  <c r="L63" i="37" s="1"/>
  <c r="L80" i="37" s="1"/>
  <c r="S388" i="9"/>
  <c r="T388" i="9" s="1"/>
  <c r="U388" i="9" s="1"/>
  <c r="V388" i="9" s="1"/>
  <c r="W388" i="9" s="1"/>
  <c r="X388" i="9" s="1"/>
  <c r="Y388" i="9" s="1"/>
  <c r="Z388" i="9" s="1"/>
  <c r="AA388" i="9" s="1"/>
  <c r="G125" i="9"/>
  <c r="H125" i="9" s="1"/>
  <c r="O19" i="23"/>
  <c r="O21" i="23" s="1"/>
  <c r="R39" i="22"/>
  <c r="R46" i="22" s="1"/>
  <c r="S26" i="22"/>
  <c r="S37" i="22" s="1"/>
  <c r="H74" i="22"/>
  <c r="I74" i="22"/>
  <c r="F69" i="4"/>
  <c r="G68" i="4" s="1"/>
  <c r="H76" i="22"/>
  <c r="H58" i="22"/>
  <c r="E13" i="36" s="1"/>
  <c r="E14" i="36" s="1"/>
  <c r="J51" i="4"/>
  <c r="K51" i="4" s="1"/>
  <c r="J49" i="4"/>
  <c r="N50" i="4"/>
  <c r="N48" i="4" s="1"/>
  <c r="I604" i="9"/>
  <c r="J604" i="9" s="1"/>
  <c r="J507" i="9"/>
  <c r="O387" i="9"/>
  <c r="J508" i="9"/>
  <c r="I30" i="4"/>
  <c r="G99" i="4"/>
  <c r="Z489" i="9"/>
  <c r="AA489" i="9" s="1"/>
  <c r="AA506" i="9" s="1"/>
  <c r="I605" i="9"/>
  <c r="J605" i="9" s="1"/>
  <c r="Q386" i="9"/>
  <c r="R386" i="9" s="1"/>
  <c r="S386" i="9" s="1"/>
  <c r="T386" i="9" s="1"/>
  <c r="U386" i="9" s="1"/>
  <c r="V386" i="9" s="1"/>
  <c r="W386" i="9" s="1"/>
  <c r="X386" i="9" s="1"/>
  <c r="Y386" i="9" s="1"/>
  <c r="Z386" i="9" s="1"/>
  <c r="T583" i="9"/>
  <c r="U583" i="9" s="1"/>
  <c r="V583" i="9" s="1"/>
  <c r="W583" i="9" s="1"/>
  <c r="X583" i="9" s="1"/>
  <c r="Y583" i="9" s="1"/>
  <c r="Z583" i="9" s="1"/>
  <c r="AA583" i="9" s="1"/>
  <c r="S390" i="9"/>
  <c r="T390" i="9" s="1"/>
  <c r="U390" i="9" s="1"/>
  <c r="V390" i="9" s="1"/>
  <c r="W390" i="9" s="1"/>
  <c r="X390" i="9" s="1"/>
  <c r="Y390" i="9" s="1"/>
  <c r="Z390" i="9" s="1"/>
  <c r="AA390" i="9" s="1"/>
  <c r="N582" i="9"/>
  <c r="O582" i="9" s="1"/>
  <c r="L581" i="9"/>
  <c r="Q586" i="9"/>
  <c r="R586" i="9" s="1"/>
  <c r="S586" i="9" s="1"/>
  <c r="T586" i="9" s="1"/>
  <c r="U586" i="9" s="1"/>
  <c r="V586" i="9" s="1"/>
  <c r="W586" i="9" s="1"/>
  <c r="X586" i="9" s="1"/>
  <c r="Y586" i="9" s="1"/>
  <c r="K506" i="9"/>
  <c r="L484" i="9"/>
  <c r="K603" i="9"/>
  <c r="Q8" i="7"/>
  <c r="U26" i="37" s="1"/>
  <c r="U37" i="37" s="1"/>
  <c r="U39" i="37" s="1"/>
  <c r="U52" i="37" s="1"/>
  <c r="U66" i="37" s="1"/>
  <c r="U72" i="37" s="1"/>
  <c r="U75" i="37" s="1"/>
  <c r="U78" i="37" s="1"/>
  <c r="U100" i="37" s="1"/>
  <c r="P79" i="25"/>
  <c r="P20" i="23" s="1"/>
  <c r="P23" i="36" s="1"/>
  <c r="P78" i="7"/>
  <c r="P94" i="7" s="1"/>
  <c r="D150" i="9"/>
  <c r="J212" i="9"/>
  <c r="K212" i="9" s="1"/>
  <c r="J213" i="9"/>
  <c r="L211" i="9"/>
  <c r="K13" i="9"/>
  <c r="K168" i="9"/>
  <c r="L168" i="9" s="1"/>
  <c r="M168" i="9" s="1"/>
  <c r="N168" i="9" s="1"/>
  <c r="M169" i="9"/>
  <c r="N169" i="9" s="1"/>
  <c r="N171" i="9"/>
  <c r="O171" i="9" s="1"/>
  <c r="J15" i="23"/>
  <c r="J20" i="26"/>
  <c r="F15" i="23"/>
  <c r="I15" i="23"/>
  <c r="G15" i="23"/>
  <c r="H15" i="23"/>
  <c r="G148" i="9"/>
  <c r="R172" i="9"/>
  <c r="Q170" i="9"/>
  <c r="F21" i="4"/>
  <c r="G20" i="4" s="1"/>
  <c r="E8" i="26"/>
  <c r="L51" i="4"/>
  <c r="M51" i="4" s="1"/>
  <c r="L49" i="4"/>
  <c r="F149" i="9"/>
  <c r="X17" i="4"/>
  <c r="I33" i="4"/>
  <c r="J32" i="4" s="1"/>
  <c r="H32" i="4"/>
  <c r="X60" i="4"/>
  <c r="X88" i="4"/>
  <c r="X87" i="4" s="1"/>
  <c r="D87" i="4" s="1"/>
  <c r="M167" i="9"/>
  <c r="J166" i="9"/>
  <c r="K166" i="9" s="1"/>
  <c r="H148" i="9"/>
  <c r="I165" i="9"/>
  <c r="J42" i="4"/>
  <c r="J41" i="4"/>
  <c r="J39" i="4" s="1"/>
  <c r="G95" i="9"/>
  <c r="G124" i="9"/>
  <c r="H124" i="9" s="1"/>
  <c r="J17" i="9"/>
  <c r="E48" i="4"/>
  <c r="K64" i="37" l="1"/>
  <c r="L64" i="37" s="1"/>
  <c r="M64" i="37" s="1"/>
  <c r="N64" i="37" s="1"/>
  <c r="O64" i="37" s="1"/>
  <c r="P64" i="37" s="1"/>
  <c r="Q64" i="37" s="1"/>
  <c r="R64" i="37" s="1"/>
  <c r="S64" i="37" s="1"/>
  <c r="T64" i="37" s="1"/>
  <c r="U64" i="37" s="1"/>
  <c r="V64" i="37" s="1"/>
  <c r="W64" i="37" s="1"/>
  <c r="X64" i="37" s="1"/>
  <c r="Y64" i="37" s="1"/>
  <c r="Z64" i="37" s="1"/>
  <c r="AA64" i="37" s="1"/>
  <c r="AB64" i="37" s="1"/>
  <c r="AC64" i="37" s="1"/>
  <c r="AD64" i="37" s="1"/>
  <c r="AE64" i="37" s="1"/>
  <c r="P19" i="23"/>
  <c r="P21" i="23" s="1"/>
  <c r="S39" i="22"/>
  <c r="S46" i="22" s="1"/>
  <c r="T26" i="22"/>
  <c r="T37" i="22" s="1"/>
  <c r="E27" i="23"/>
  <c r="E25" i="36"/>
  <c r="G67" i="4"/>
  <c r="F26" i="23"/>
  <c r="I58" i="22"/>
  <c r="F13" i="36" s="1"/>
  <c r="F14" i="36" s="1"/>
  <c r="P582" i="9"/>
  <c r="Q582" i="9" s="1"/>
  <c r="R582" i="9" s="1"/>
  <c r="S582" i="9" s="1"/>
  <c r="T582" i="9" s="1"/>
  <c r="U582" i="9" s="1"/>
  <c r="V582" i="9" s="1"/>
  <c r="W582" i="9" s="1"/>
  <c r="X582" i="9" s="1"/>
  <c r="Y582" i="9" s="1"/>
  <c r="Z582" i="9" s="1"/>
  <c r="G98" i="4"/>
  <c r="J50" i="4"/>
  <c r="J48" i="4" s="1"/>
  <c r="L50" i="4"/>
  <c r="L48" i="4" s="1"/>
  <c r="K604" i="9"/>
  <c r="K507" i="9"/>
  <c r="K508" i="9"/>
  <c r="K213" i="9"/>
  <c r="P387" i="9"/>
  <c r="Z506" i="9"/>
  <c r="H30" i="4"/>
  <c r="J30" i="4"/>
  <c r="M581" i="9"/>
  <c r="M603" i="9" s="1"/>
  <c r="E150" i="9"/>
  <c r="M484" i="9"/>
  <c r="L506" i="9"/>
  <c r="L603" i="9"/>
  <c r="Z586" i="9"/>
  <c r="AA586" i="9" s="1"/>
  <c r="AA603" i="9" s="1"/>
  <c r="K605" i="9"/>
  <c r="R8" i="7"/>
  <c r="V26" i="37" s="1"/>
  <c r="V37" i="37" s="1"/>
  <c r="V39" i="37" s="1"/>
  <c r="V52" i="37" s="1"/>
  <c r="V66" i="37" s="1"/>
  <c r="V72" i="37" s="1"/>
  <c r="V75" i="37" s="1"/>
  <c r="V78" i="37" s="1"/>
  <c r="V100" i="37" s="1"/>
  <c r="Q79" i="25"/>
  <c r="Q20" i="23" s="1"/>
  <c r="Q23" i="36" s="1"/>
  <c r="Q78" i="7"/>
  <c r="Q94" i="7" s="1"/>
  <c r="L212" i="9"/>
  <c r="M211" i="9"/>
  <c r="L13" i="9"/>
  <c r="G149" i="9"/>
  <c r="H149" i="9" s="1"/>
  <c r="O169" i="9"/>
  <c r="O168" i="9"/>
  <c r="P168" i="9" s="1"/>
  <c r="G11" i="26"/>
  <c r="G20" i="26" s="1"/>
  <c r="I21" i="23"/>
  <c r="H11" i="26"/>
  <c r="H20" i="26" s="1"/>
  <c r="N167" i="9"/>
  <c r="O167" i="9" s="1"/>
  <c r="P167" i="9" s="1"/>
  <c r="Q167" i="9" s="1"/>
  <c r="R167" i="9" s="1"/>
  <c r="S167" i="9" s="1"/>
  <c r="P171" i="9"/>
  <c r="Q171" i="9" s="1"/>
  <c r="R171" i="9" s="1"/>
  <c r="S171" i="9" s="1"/>
  <c r="T171" i="9" s="1"/>
  <c r="U171" i="9" s="1"/>
  <c r="S172" i="9"/>
  <c r="T172" i="9" s="1"/>
  <c r="U172" i="9" s="1"/>
  <c r="V172" i="9" s="1"/>
  <c r="W172" i="9" s="1"/>
  <c r="X172" i="9" s="1"/>
  <c r="Y172" i="9" s="1"/>
  <c r="Z172" i="9" s="1"/>
  <c r="AA172" i="9" s="1"/>
  <c r="R170" i="9"/>
  <c r="S170" i="9" s="1"/>
  <c r="T170" i="9" s="1"/>
  <c r="U170" i="9" s="1"/>
  <c r="J165" i="9"/>
  <c r="K165" i="9" s="1"/>
  <c r="K177" i="9" s="1"/>
  <c r="G19" i="4"/>
  <c r="J33" i="4"/>
  <c r="K32" i="4" s="1"/>
  <c r="X89" i="4"/>
  <c r="L166" i="9"/>
  <c r="I177" i="9"/>
  <c r="K42" i="4"/>
  <c r="K41" i="4"/>
  <c r="K39" i="4" s="1"/>
  <c r="H95" i="9"/>
  <c r="K17" i="9"/>
  <c r="L17" i="9" s="1"/>
  <c r="M17" i="9" s="1"/>
  <c r="N17" i="9" s="1"/>
  <c r="O17" i="9" s="1"/>
  <c r="P17" i="9" s="1"/>
  <c r="Q17" i="9" s="1"/>
  <c r="R17" i="9" s="1"/>
  <c r="S17" i="9" s="1"/>
  <c r="T17" i="9" s="1"/>
  <c r="U17" i="9" s="1"/>
  <c r="V17" i="9" s="1"/>
  <c r="W17" i="9" s="1"/>
  <c r="X17" i="9" s="1"/>
  <c r="Y17" i="9" s="1"/>
  <c r="Z17" i="9" s="1"/>
  <c r="AA17" i="9" s="1"/>
  <c r="J123" i="9"/>
  <c r="I123" i="9"/>
  <c r="Q19" i="23" l="1"/>
  <c r="Q21" i="23" s="1"/>
  <c r="T39" i="22"/>
  <c r="T46" i="22" s="1"/>
  <c r="U26" i="22"/>
  <c r="U37" i="22" s="1"/>
  <c r="G69" i="4"/>
  <c r="H68" i="4" s="1"/>
  <c r="I76" i="22"/>
  <c r="G102" i="4"/>
  <c r="F8" i="26"/>
  <c r="G100" i="4"/>
  <c r="H99" i="4" s="1"/>
  <c r="H98" i="4" s="1"/>
  <c r="H100" i="4" s="1"/>
  <c r="I99" i="4" s="1"/>
  <c r="L604" i="9"/>
  <c r="M604" i="9" s="1"/>
  <c r="L507" i="9"/>
  <c r="L213" i="9"/>
  <c r="Q387" i="9"/>
  <c r="R387" i="9" s="1"/>
  <c r="S387" i="9" s="1"/>
  <c r="N581" i="9"/>
  <c r="N603" i="9" s="1"/>
  <c r="K30" i="4"/>
  <c r="F150" i="9"/>
  <c r="N484" i="9"/>
  <c r="M506" i="9"/>
  <c r="L508" i="9"/>
  <c r="L605" i="9"/>
  <c r="M605" i="9" s="1"/>
  <c r="Z603" i="9"/>
  <c r="S8" i="7"/>
  <c r="W26" i="37" s="1"/>
  <c r="W37" i="37" s="1"/>
  <c r="W39" i="37" s="1"/>
  <c r="W52" i="37" s="1"/>
  <c r="W66" i="37" s="1"/>
  <c r="W72" i="37" s="1"/>
  <c r="W75" i="37" s="1"/>
  <c r="W78" i="37" s="1"/>
  <c r="W100" i="37" s="1"/>
  <c r="R79" i="25"/>
  <c r="R20" i="23" s="1"/>
  <c r="R23" i="36" s="1"/>
  <c r="R78" i="7"/>
  <c r="R94" i="7" s="1"/>
  <c r="M212" i="9"/>
  <c r="N211" i="9"/>
  <c r="M13" i="9"/>
  <c r="P169" i="9"/>
  <c r="F11" i="26"/>
  <c r="F20" i="26" s="1"/>
  <c r="I11" i="26"/>
  <c r="I20" i="26" s="1"/>
  <c r="J177" i="9"/>
  <c r="T167" i="9"/>
  <c r="U167" i="9" s="1"/>
  <c r="V167" i="9" s="1"/>
  <c r="W167" i="9" s="1"/>
  <c r="X167" i="9" s="1"/>
  <c r="Y167" i="9" s="1"/>
  <c r="V170" i="9"/>
  <c r="W170" i="9" s="1"/>
  <c r="X170" i="9" s="1"/>
  <c r="Y170" i="9" s="1"/>
  <c r="Z170" i="9" s="1"/>
  <c r="AA170" i="9" s="1"/>
  <c r="V171" i="9"/>
  <c r="W171" i="9" s="1"/>
  <c r="X171" i="9" s="1"/>
  <c r="Y171" i="9" s="1"/>
  <c r="M166" i="9"/>
  <c r="Q168" i="9"/>
  <c r="G21" i="4"/>
  <c r="I178" i="9"/>
  <c r="K33" i="4"/>
  <c r="L32" i="4" s="1"/>
  <c r="L165" i="9"/>
  <c r="L42" i="4"/>
  <c r="L41" i="4"/>
  <c r="L39" i="4" s="1"/>
  <c r="I95" i="9"/>
  <c r="I124" i="9"/>
  <c r="J124" i="9" s="1"/>
  <c r="I125" i="9"/>
  <c r="R19" i="23" l="1"/>
  <c r="R21" i="23" s="1"/>
  <c r="U39" i="22"/>
  <c r="U46" i="22" s="1"/>
  <c r="V26" i="22"/>
  <c r="V37" i="22" s="1"/>
  <c r="F27" i="23"/>
  <c r="F25" i="36"/>
  <c r="H102" i="4"/>
  <c r="H67" i="4"/>
  <c r="G26" i="23"/>
  <c r="I98" i="4"/>
  <c r="H20" i="4"/>
  <c r="H19" i="4" s="1"/>
  <c r="O581" i="9"/>
  <c r="O603" i="9" s="1"/>
  <c r="M507" i="9"/>
  <c r="T387" i="9"/>
  <c r="U387" i="9" s="1"/>
  <c r="V387" i="9" s="1"/>
  <c r="W387" i="9" s="1"/>
  <c r="X387" i="9" s="1"/>
  <c r="Y387" i="9" s="1"/>
  <c r="Y407" i="9" s="1"/>
  <c r="M213" i="9"/>
  <c r="N604" i="9"/>
  <c r="N605" i="9"/>
  <c r="L30" i="4"/>
  <c r="I100" i="4"/>
  <c r="N506" i="9"/>
  <c r="O484" i="9"/>
  <c r="M508" i="9"/>
  <c r="G150" i="9"/>
  <c r="H150" i="9" s="1"/>
  <c r="I179" i="9" s="1"/>
  <c r="J179" i="9" s="1"/>
  <c r="K179" i="9" s="1"/>
  <c r="S79" i="25"/>
  <c r="S20" i="23" s="1"/>
  <c r="S23" i="36" s="1"/>
  <c r="T8" i="7"/>
  <c r="X26" i="37" s="1"/>
  <c r="X37" i="37" s="1"/>
  <c r="X39" i="37" s="1"/>
  <c r="X52" i="37" s="1"/>
  <c r="X66" i="37" s="1"/>
  <c r="X72" i="37" s="1"/>
  <c r="X75" i="37" s="1"/>
  <c r="X78" i="37" s="1"/>
  <c r="X100" i="37" s="1"/>
  <c r="S78" i="7"/>
  <c r="S94" i="7" s="1"/>
  <c r="H288" i="9"/>
  <c r="I288" i="9" s="1"/>
  <c r="G310" i="9"/>
  <c r="J57" i="22" s="1"/>
  <c r="N212" i="9"/>
  <c r="O211" i="9"/>
  <c r="P211" i="9"/>
  <c r="N13" i="9"/>
  <c r="Z171" i="9"/>
  <c r="AA171" i="9" s="1"/>
  <c r="J178" i="9"/>
  <c r="Q169" i="9"/>
  <c r="R169" i="9" s="1"/>
  <c r="S169" i="9" s="1"/>
  <c r="N166" i="9"/>
  <c r="R168" i="9"/>
  <c r="S168" i="9" s="1"/>
  <c r="T168" i="9" s="1"/>
  <c r="U168" i="9" s="1"/>
  <c r="V168" i="9" s="1"/>
  <c r="W168" i="9" s="1"/>
  <c r="X168" i="9" s="1"/>
  <c r="Y168" i="9" s="1"/>
  <c r="L177" i="9"/>
  <c r="L33" i="4"/>
  <c r="M33" i="4" s="1"/>
  <c r="M165" i="9"/>
  <c r="M41" i="4"/>
  <c r="M39" i="4" s="1"/>
  <c r="M42" i="4"/>
  <c r="J125" i="9"/>
  <c r="J95" i="9"/>
  <c r="K123" i="9"/>
  <c r="S19" i="23" l="1"/>
  <c r="S21" i="23" s="1"/>
  <c r="V39" i="22"/>
  <c r="V46" i="22" s="1"/>
  <c r="W26" i="22"/>
  <c r="W37" i="22" s="1"/>
  <c r="J74" i="22"/>
  <c r="I102" i="4"/>
  <c r="H69" i="4"/>
  <c r="I68" i="4" s="1"/>
  <c r="J76" i="22"/>
  <c r="G8" i="26"/>
  <c r="P581" i="9"/>
  <c r="P603" i="9" s="1"/>
  <c r="N507" i="9"/>
  <c r="J58" i="22"/>
  <c r="G13" i="36" s="1"/>
  <c r="G14" i="36" s="1"/>
  <c r="Z387" i="9"/>
  <c r="Z407" i="9" s="1"/>
  <c r="N213" i="9"/>
  <c r="O604" i="9"/>
  <c r="K124" i="9"/>
  <c r="L124" i="9" s="1"/>
  <c r="M124" i="9" s="1"/>
  <c r="N124" i="9" s="1"/>
  <c r="O124" i="9" s="1"/>
  <c r="P124" i="9" s="1"/>
  <c r="Q124" i="9" s="1"/>
  <c r="R124" i="9" s="1"/>
  <c r="S124" i="9" s="1"/>
  <c r="T124" i="9" s="1"/>
  <c r="U124" i="9" s="1"/>
  <c r="V124" i="9" s="1"/>
  <c r="W124" i="9" s="1"/>
  <c r="X124" i="9" s="1"/>
  <c r="Y124" i="9" s="1"/>
  <c r="Z124" i="9" s="1"/>
  <c r="AA124" i="9" s="1"/>
  <c r="H21" i="4"/>
  <c r="J99" i="4"/>
  <c r="P484" i="9"/>
  <c r="O506" i="9"/>
  <c r="N508" i="9"/>
  <c r="O605" i="9"/>
  <c r="T79" i="25"/>
  <c r="T20" i="23" s="1"/>
  <c r="T23" i="36" s="1"/>
  <c r="U8" i="7"/>
  <c r="Y26" i="37" s="1"/>
  <c r="Y37" i="37" s="1"/>
  <c r="Y39" i="37" s="1"/>
  <c r="Y52" i="37" s="1"/>
  <c r="Y66" i="37" s="1"/>
  <c r="Y72" i="37" s="1"/>
  <c r="Y75" i="37" s="1"/>
  <c r="Y78" i="37" s="1"/>
  <c r="Y100" i="37" s="1"/>
  <c r="T78" i="7"/>
  <c r="T94" i="7" s="1"/>
  <c r="H310" i="9"/>
  <c r="J288" i="9"/>
  <c r="K288" i="9" s="1"/>
  <c r="G312" i="9"/>
  <c r="G311" i="9"/>
  <c r="H407" i="9" s="1"/>
  <c r="O212" i="9"/>
  <c r="P212" i="9" s="1"/>
  <c r="O13" i="9"/>
  <c r="T169" i="9"/>
  <c r="U169" i="9" s="1"/>
  <c r="V169" i="9" s="1"/>
  <c r="W169" i="9" s="1"/>
  <c r="X169" i="9" s="1"/>
  <c r="Y169" i="9" s="1"/>
  <c r="Z169" i="9" s="1"/>
  <c r="AA169" i="9" s="1"/>
  <c r="AA177" i="9" s="1"/>
  <c r="K291" i="9"/>
  <c r="L291" i="9" s="1"/>
  <c r="Z168" i="9"/>
  <c r="K178" i="9"/>
  <c r="L178" i="9" s="1"/>
  <c r="I289" i="9"/>
  <c r="O166" i="9"/>
  <c r="P166" i="9" s="1"/>
  <c r="Q166" i="9" s="1"/>
  <c r="R166" i="9" s="1"/>
  <c r="S166" i="9" s="1"/>
  <c r="T166" i="9" s="1"/>
  <c r="U166" i="9" s="1"/>
  <c r="V166" i="9" s="1"/>
  <c r="W166" i="9" s="1"/>
  <c r="X166" i="9" s="1"/>
  <c r="L179" i="9"/>
  <c r="M177" i="9"/>
  <c r="N165" i="9"/>
  <c r="M32" i="4"/>
  <c r="N41" i="4"/>
  <c r="N39" i="4" s="1"/>
  <c r="N42" i="4"/>
  <c r="N33" i="4"/>
  <c r="N32" i="4"/>
  <c r="K95" i="9"/>
  <c r="K125" i="9"/>
  <c r="T19" i="23" l="1"/>
  <c r="T21" i="23" s="1"/>
  <c r="W39" i="22"/>
  <c r="W46" i="22" s="1"/>
  <c r="X26" i="22"/>
  <c r="X37" i="22" s="1"/>
  <c r="G27" i="23"/>
  <c r="G25" i="36"/>
  <c r="I67" i="4"/>
  <c r="Q581" i="9"/>
  <c r="Q603" i="9" s="1"/>
  <c r="AA387" i="9"/>
  <c r="AA407" i="9" s="1"/>
  <c r="J98" i="4"/>
  <c r="J102" i="4" s="1"/>
  <c r="I20" i="4"/>
  <c r="I19" i="4" s="1"/>
  <c r="P605" i="9"/>
  <c r="O507" i="9"/>
  <c r="P604" i="9"/>
  <c r="K57" i="22"/>
  <c r="O213" i="9"/>
  <c r="P213" i="9" s="1"/>
  <c r="O508" i="9"/>
  <c r="N30" i="4"/>
  <c r="M30" i="4"/>
  <c r="J100" i="4"/>
  <c r="K99" i="4" s="1"/>
  <c r="P506" i="9"/>
  <c r="Q484" i="9"/>
  <c r="U79" i="25"/>
  <c r="U20" i="23" s="1"/>
  <c r="U23" i="36" s="1"/>
  <c r="V8" i="7"/>
  <c r="Z26" i="37" s="1"/>
  <c r="Z37" i="37" s="1"/>
  <c r="Z39" i="37" s="1"/>
  <c r="Z52" i="37" s="1"/>
  <c r="Z66" i="37" s="1"/>
  <c r="Z72" i="37" s="1"/>
  <c r="Z75" i="37" s="1"/>
  <c r="Z78" i="37" s="1"/>
  <c r="Z100" i="37" s="1"/>
  <c r="U78" i="7"/>
  <c r="U94" i="7" s="1"/>
  <c r="I407" i="9"/>
  <c r="H408" i="9"/>
  <c r="H409" i="9"/>
  <c r="H311" i="9"/>
  <c r="H312" i="9"/>
  <c r="I310" i="9"/>
  <c r="L288" i="9"/>
  <c r="M288" i="9" s="1"/>
  <c r="Q211" i="9"/>
  <c r="R211" i="9"/>
  <c r="U49" i="22" s="1"/>
  <c r="P13" i="9"/>
  <c r="M179" i="9"/>
  <c r="X177" i="9"/>
  <c r="M178" i="9"/>
  <c r="J289" i="9"/>
  <c r="M291" i="9"/>
  <c r="L292" i="9"/>
  <c r="Z177" i="9"/>
  <c r="Y177" i="9"/>
  <c r="K290" i="9"/>
  <c r="N177" i="9"/>
  <c r="O165" i="9"/>
  <c r="O41" i="4"/>
  <c r="O39" i="4" s="1"/>
  <c r="O42" i="4"/>
  <c r="O32" i="4"/>
  <c r="O33" i="4"/>
  <c r="L125" i="9"/>
  <c r="L95" i="9"/>
  <c r="Q212" i="9" l="1"/>
  <c r="U19" i="23"/>
  <c r="U21" i="23" s="1"/>
  <c r="X39" i="22"/>
  <c r="X46" i="22" s="1"/>
  <c r="Y26" i="22"/>
  <c r="Y37" i="22" s="1"/>
  <c r="K74" i="22"/>
  <c r="H26" i="23"/>
  <c r="I69" i="4"/>
  <c r="J68" i="4" s="1"/>
  <c r="K76" i="22"/>
  <c r="K58" i="22"/>
  <c r="H13" i="36" s="1"/>
  <c r="H14" i="36" s="1"/>
  <c r="R581" i="9"/>
  <c r="R603" i="9" s="1"/>
  <c r="K98" i="4"/>
  <c r="K102" i="4" s="1"/>
  <c r="L57" i="22"/>
  <c r="P507" i="9"/>
  <c r="Q604" i="9"/>
  <c r="P508" i="9"/>
  <c r="O30" i="4"/>
  <c r="I21" i="4"/>
  <c r="Q506" i="9"/>
  <c r="R484" i="9"/>
  <c r="Q605" i="9"/>
  <c r="V79" i="25"/>
  <c r="V20" i="23" s="1"/>
  <c r="V23" i="36" s="1"/>
  <c r="W8" i="7"/>
  <c r="AA26" i="37" s="1"/>
  <c r="AA37" i="37" s="1"/>
  <c r="AA39" i="37" s="1"/>
  <c r="AA52" i="37" s="1"/>
  <c r="AA66" i="37" s="1"/>
  <c r="AA72" i="37" s="1"/>
  <c r="AA75" i="37" s="1"/>
  <c r="AA78" i="37" s="1"/>
  <c r="AA100" i="37" s="1"/>
  <c r="V78" i="7"/>
  <c r="V94" i="7" s="1"/>
  <c r="I409" i="9"/>
  <c r="I408" i="9"/>
  <c r="I312" i="9"/>
  <c r="J407" i="9" s="1"/>
  <c r="I311" i="9"/>
  <c r="J310" i="9"/>
  <c r="N288" i="9"/>
  <c r="Q213" i="9"/>
  <c r="T211" i="9"/>
  <c r="W49" i="22" s="1"/>
  <c r="S211" i="9"/>
  <c r="V49" i="22" s="1"/>
  <c r="R212" i="9"/>
  <c r="N179" i="9"/>
  <c r="Q13" i="9"/>
  <c r="N291" i="9"/>
  <c r="O291" i="9" s="1"/>
  <c r="M292" i="9"/>
  <c r="M293" i="9"/>
  <c r="L290" i="9"/>
  <c r="K289" i="9"/>
  <c r="K310" i="9" s="1"/>
  <c r="O177" i="9"/>
  <c r="P165" i="9"/>
  <c r="N178" i="9"/>
  <c r="P42" i="4"/>
  <c r="P41" i="4"/>
  <c r="P39" i="4" s="1"/>
  <c r="P32" i="4"/>
  <c r="P33" i="4"/>
  <c r="M125" i="9"/>
  <c r="M95" i="9"/>
  <c r="V19" i="23" l="1"/>
  <c r="V21" i="23" s="1"/>
  <c r="Y39" i="22"/>
  <c r="Y46" i="22" s="1"/>
  <c r="Z26" i="22"/>
  <c r="Z37" i="22" s="1"/>
  <c r="S581" i="9"/>
  <c r="S603" i="9" s="1"/>
  <c r="H27" i="23"/>
  <c r="H25" i="36"/>
  <c r="L60" i="22"/>
  <c r="L74" i="22"/>
  <c r="H8" i="26"/>
  <c r="J67" i="4"/>
  <c r="L58" i="22"/>
  <c r="I13" i="36" s="1"/>
  <c r="I14" i="36" s="1"/>
  <c r="K100" i="4"/>
  <c r="L99" i="4" s="1"/>
  <c r="J20" i="4"/>
  <c r="J19" i="4" s="1"/>
  <c r="J21" i="4" s="1"/>
  <c r="K20" i="4" s="1"/>
  <c r="K19" i="4" s="1"/>
  <c r="K21" i="4" s="1"/>
  <c r="L20" i="4" s="1"/>
  <c r="L19" i="4" s="1"/>
  <c r="L21" i="4" s="1"/>
  <c r="M20" i="4" s="1"/>
  <c r="M19" i="4" s="1"/>
  <c r="M21" i="4" s="1"/>
  <c r="N20" i="4" s="1"/>
  <c r="N19" i="4" s="1"/>
  <c r="N21" i="4" s="1"/>
  <c r="O20" i="4" s="1"/>
  <c r="O19" i="4" s="1"/>
  <c r="O21" i="4" s="1"/>
  <c r="P20" i="4" s="1"/>
  <c r="P19" i="4" s="1"/>
  <c r="P21" i="4" s="1"/>
  <c r="Q20" i="4" s="1"/>
  <c r="Q19" i="4" s="1"/>
  <c r="Q21" i="4" s="1"/>
  <c r="R20" i="4" s="1"/>
  <c r="R19" i="4" s="1"/>
  <c r="R21" i="4" s="1"/>
  <c r="M57" i="22"/>
  <c r="Q507" i="9"/>
  <c r="R604" i="9"/>
  <c r="R213" i="9"/>
  <c r="R605" i="9"/>
  <c r="P30" i="4"/>
  <c r="R506" i="9"/>
  <c r="S484" i="9"/>
  <c r="Q508" i="9"/>
  <c r="W79" i="25"/>
  <c r="W20" i="23" s="1"/>
  <c r="W23" i="36" s="1"/>
  <c r="X8" i="7"/>
  <c r="AB26" i="37" s="1"/>
  <c r="AB37" i="37" s="1"/>
  <c r="AB39" i="37" s="1"/>
  <c r="AB52" i="37" s="1"/>
  <c r="AB66" i="37" s="1"/>
  <c r="AB72" i="37" s="1"/>
  <c r="AB75" i="37" s="1"/>
  <c r="AB78" i="37" s="1"/>
  <c r="AB100" i="37" s="1"/>
  <c r="W78" i="7"/>
  <c r="W94" i="7" s="1"/>
  <c r="J408" i="9"/>
  <c r="J409" i="9"/>
  <c r="J312" i="9"/>
  <c r="K312" i="9" s="1"/>
  <c r="J311" i="9"/>
  <c r="O288" i="9"/>
  <c r="S212" i="9"/>
  <c r="T212" i="9" s="1"/>
  <c r="AA211" i="9"/>
  <c r="AD49" i="22" s="1"/>
  <c r="O179" i="9"/>
  <c r="R13" i="9"/>
  <c r="P291" i="9"/>
  <c r="Q291" i="9" s="1"/>
  <c r="N292" i="9"/>
  <c r="O292" i="9" s="1"/>
  <c r="AA295" i="9"/>
  <c r="Z295" i="9"/>
  <c r="X295" i="9"/>
  <c r="W295" i="9"/>
  <c r="U295" i="9"/>
  <c r="S295" i="9"/>
  <c r="Q295" i="9"/>
  <c r="O295" i="9"/>
  <c r="T294" i="9"/>
  <c r="U294" i="9" s="1"/>
  <c r="R294" i="9"/>
  <c r="S294" i="9" s="1"/>
  <c r="Y294" i="9"/>
  <c r="Z294" i="9" s="1"/>
  <c r="AA294" i="9" s="1"/>
  <c r="P294" i="9"/>
  <c r="Q294" i="9" s="1"/>
  <c r="V294" i="9"/>
  <c r="W294" i="9" s="1"/>
  <c r="X294" i="9" s="1"/>
  <c r="N294" i="9"/>
  <c r="O294" i="9" s="1"/>
  <c r="N293" i="9"/>
  <c r="O178" i="9"/>
  <c r="M290" i="9"/>
  <c r="L289" i="9"/>
  <c r="L310" i="9" s="1"/>
  <c r="P177" i="9"/>
  <c r="Q165" i="9"/>
  <c r="N125" i="9"/>
  <c r="N95" i="9"/>
  <c r="Q41" i="4"/>
  <c r="Q39" i="4" s="1"/>
  <c r="Q42" i="4"/>
  <c r="Q33" i="4"/>
  <c r="Q32" i="4"/>
  <c r="T581" i="9" l="1"/>
  <c r="T603" i="9" s="1"/>
  <c r="W19" i="23"/>
  <c r="W21" i="23" s="1"/>
  <c r="Z39" i="22"/>
  <c r="Z46" i="22" s="1"/>
  <c r="AA26" i="22"/>
  <c r="AA37" i="22" s="1"/>
  <c r="M74" i="22"/>
  <c r="J6" i="26" s="1"/>
  <c r="M60" i="22"/>
  <c r="I26" i="23"/>
  <c r="J69" i="4"/>
  <c r="K68" i="4" s="1"/>
  <c r="L76" i="22"/>
  <c r="L98" i="4"/>
  <c r="M58" i="22"/>
  <c r="J13" i="36" s="1"/>
  <c r="J14" i="36" s="1"/>
  <c r="S604" i="9"/>
  <c r="R507" i="9"/>
  <c r="S213" i="9"/>
  <c r="R508" i="9"/>
  <c r="Q30" i="4"/>
  <c r="U581" i="9"/>
  <c r="S605" i="9"/>
  <c r="S506" i="9"/>
  <c r="T484" i="9"/>
  <c r="Y8" i="7"/>
  <c r="AC26" i="37" s="1"/>
  <c r="AC37" i="37" s="1"/>
  <c r="AC39" i="37" s="1"/>
  <c r="AC52" i="37" s="1"/>
  <c r="AC66" i="37" s="1"/>
  <c r="AC72" i="37" s="1"/>
  <c r="AC75" i="37" s="1"/>
  <c r="AC78" i="37" s="1"/>
  <c r="AC100" i="37" s="1"/>
  <c r="X79" i="25"/>
  <c r="X20" i="23" s="1"/>
  <c r="X23" i="36" s="1"/>
  <c r="X78" i="7"/>
  <c r="X94" i="7" s="1"/>
  <c r="K311" i="9"/>
  <c r="L311" i="9" s="1"/>
  <c r="L312" i="9"/>
  <c r="P288" i="9"/>
  <c r="V211" i="9"/>
  <c r="Y49" i="22" s="1"/>
  <c r="W211" i="9"/>
  <c r="Z49" i="22" s="1"/>
  <c r="P178" i="9"/>
  <c r="S13" i="9"/>
  <c r="R291" i="9"/>
  <c r="S291" i="9" s="1"/>
  <c r="T291" i="9" s="1"/>
  <c r="U291" i="9" s="1"/>
  <c r="P292" i="9"/>
  <c r="Q292" i="9" s="1"/>
  <c r="N290" i="9"/>
  <c r="O290" i="9" s="1"/>
  <c r="O293" i="9"/>
  <c r="P293" i="9" s="1"/>
  <c r="Q293" i="9" s="1"/>
  <c r="M289" i="9"/>
  <c r="M310" i="9" s="1"/>
  <c r="P179" i="9"/>
  <c r="Q177" i="9"/>
  <c r="R165" i="9"/>
  <c r="O125" i="9"/>
  <c r="O95" i="9"/>
  <c r="R41" i="4"/>
  <c r="R39" i="4" s="1"/>
  <c r="R42" i="4"/>
  <c r="R32" i="4"/>
  <c r="R33" i="4"/>
  <c r="S20" i="4"/>
  <c r="S19" i="4" s="1"/>
  <c r="S21" i="4" s="1"/>
  <c r="T20" i="4" s="1"/>
  <c r="T19" i="4" s="1"/>
  <c r="T21" i="4" s="1"/>
  <c r="U20" i="4" s="1"/>
  <c r="U19" i="4" s="1"/>
  <c r="U21" i="4" s="1"/>
  <c r="V20" i="4" s="1"/>
  <c r="V19" i="4" s="1"/>
  <c r="V21" i="4" s="1"/>
  <c r="X19" i="23" l="1"/>
  <c r="X21" i="23" s="1"/>
  <c r="AA39" i="22"/>
  <c r="AA46" i="22" s="1"/>
  <c r="AB26" i="22"/>
  <c r="AB37" i="22" s="1"/>
  <c r="I27" i="23"/>
  <c r="I25" i="36"/>
  <c r="I8" i="26"/>
  <c r="L66" i="22"/>
  <c r="L69" i="22" s="1"/>
  <c r="K67" i="4"/>
  <c r="L100" i="4"/>
  <c r="M99" i="4" s="1"/>
  <c r="L102" i="4"/>
  <c r="T213" i="9"/>
  <c r="T604" i="9"/>
  <c r="S507" i="9"/>
  <c r="S508" i="9"/>
  <c r="T605" i="9"/>
  <c r="R30" i="4"/>
  <c r="T506" i="9"/>
  <c r="U484" i="9"/>
  <c r="U603" i="9"/>
  <c r="V581" i="9"/>
  <c r="Z8" i="7"/>
  <c r="AD26" i="37" s="1"/>
  <c r="AD37" i="37" s="1"/>
  <c r="AD39" i="37" s="1"/>
  <c r="AD52" i="37" s="1"/>
  <c r="AD66" i="37" s="1"/>
  <c r="AD72" i="37" s="1"/>
  <c r="AD75" i="37" s="1"/>
  <c r="AD78" i="37" s="1"/>
  <c r="AD100" i="37" s="1"/>
  <c r="Y79" i="25"/>
  <c r="Y20" i="23" s="1"/>
  <c r="Y23" i="36" s="1"/>
  <c r="Y78" i="7"/>
  <c r="Y94" i="7" s="1"/>
  <c r="K407" i="9"/>
  <c r="N57" i="22" s="1"/>
  <c r="M312" i="9"/>
  <c r="M311" i="9"/>
  <c r="Q288" i="9"/>
  <c r="Q178" i="9"/>
  <c r="U212" i="9"/>
  <c r="V212" i="9" s="1"/>
  <c r="W212" i="9" s="1"/>
  <c r="X211" i="9"/>
  <c r="AA49" i="22" s="1"/>
  <c r="T13" i="9"/>
  <c r="V291" i="9"/>
  <c r="W291" i="9" s="1"/>
  <c r="X291" i="9" s="1"/>
  <c r="P290" i="9"/>
  <c r="Q290" i="9" s="1"/>
  <c r="R290" i="9" s="1"/>
  <c r="R292" i="9"/>
  <c r="S292" i="9" s="1"/>
  <c r="T292" i="9" s="1"/>
  <c r="Q179" i="9"/>
  <c r="N289" i="9"/>
  <c r="N310" i="9" s="1"/>
  <c r="R293" i="9"/>
  <c r="S293" i="9" s="1"/>
  <c r="P125" i="9"/>
  <c r="R177" i="9"/>
  <c r="S165" i="9"/>
  <c r="P95" i="9"/>
  <c r="S42" i="4"/>
  <c r="S41" i="4"/>
  <c r="S39" i="4" s="1"/>
  <c r="S32" i="4"/>
  <c r="S33" i="4"/>
  <c r="W20" i="4"/>
  <c r="W19" i="4" s="1"/>
  <c r="W21" i="4" s="1"/>
  <c r="X20" i="4" s="1"/>
  <c r="X19" i="4" s="1"/>
  <c r="Y19" i="23" l="1"/>
  <c r="Y21" i="23" s="1"/>
  <c r="AB39" i="22"/>
  <c r="AB46" i="22" s="1"/>
  <c r="AC26" i="22"/>
  <c r="AC37" i="22" s="1"/>
  <c r="N74" i="22"/>
  <c r="K6" i="26" s="1"/>
  <c r="N60" i="22"/>
  <c r="I28" i="23"/>
  <c r="I24" i="36"/>
  <c r="I27" i="36" s="1"/>
  <c r="I35" i="36" s="1"/>
  <c r="L72" i="22"/>
  <c r="J26" i="23"/>
  <c r="J8" i="26"/>
  <c r="K69" i="4"/>
  <c r="L68" i="4" s="1"/>
  <c r="M76" i="22"/>
  <c r="M66" i="22"/>
  <c r="U213" i="9"/>
  <c r="V213" i="9" s="1"/>
  <c r="M98" i="4"/>
  <c r="M102" i="4" s="1"/>
  <c r="U604" i="9"/>
  <c r="N58" i="22"/>
  <c r="K13" i="36" s="1"/>
  <c r="K14" i="36" s="1"/>
  <c r="T507" i="9"/>
  <c r="R178" i="9"/>
  <c r="U605" i="9"/>
  <c r="S30" i="4"/>
  <c r="U506" i="9"/>
  <c r="V484" i="9"/>
  <c r="V603" i="9"/>
  <c r="W581" i="9"/>
  <c r="T508" i="9"/>
  <c r="AA8" i="7"/>
  <c r="AE26" i="37" s="1"/>
  <c r="AE37" i="37" s="1"/>
  <c r="AE39" i="37" s="1"/>
  <c r="AE52" i="37" s="1"/>
  <c r="AE66" i="37" s="1"/>
  <c r="AE72" i="37" s="1"/>
  <c r="AE75" i="37" s="1"/>
  <c r="AE78" i="37" s="1"/>
  <c r="AE100" i="37" s="1"/>
  <c r="Z79" i="25"/>
  <c r="Z20" i="23" s="1"/>
  <c r="Z23" i="36" s="1"/>
  <c r="Z78" i="7"/>
  <c r="Z94" i="7" s="1"/>
  <c r="K409" i="9"/>
  <c r="K408" i="9"/>
  <c r="L407" i="9"/>
  <c r="O57" i="22" s="1"/>
  <c r="N311" i="9"/>
  <c r="N312" i="9"/>
  <c r="R288" i="9"/>
  <c r="X212" i="9"/>
  <c r="Z211" i="9"/>
  <c r="AC49" i="22" s="1"/>
  <c r="Y211" i="9"/>
  <c r="AB49" i="22" s="1"/>
  <c r="U13" i="9"/>
  <c r="S290" i="9"/>
  <c r="T290" i="9" s="1"/>
  <c r="U290" i="9" s="1"/>
  <c r="V290" i="9" s="1"/>
  <c r="W290" i="9" s="1"/>
  <c r="X290" i="9" s="1"/>
  <c r="Y290" i="9" s="1"/>
  <c r="Z290" i="9" s="1"/>
  <c r="AA290" i="9" s="1"/>
  <c r="Y291" i="9"/>
  <c r="Z291" i="9" s="1"/>
  <c r="U292" i="9"/>
  <c r="V292" i="9" s="1"/>
  <c r="W292" i="9" s="1"/>
  <c r="X292" i="9" s="1"/>
  <c r="Y292" i="9" s="1"/>
  <c r="Z292" i="9" s="1"/>
  <c r="AA292" i="9" s="1"/>
  <c r="O289" i="9"/>
  <c r="T293" i="9"/>
  <c r="U293" i="9" s="1"/>
  <c r="Q125" i="9"/>
  <c r="R179" i="9"/>
  <c r="S177" i="9"/>
  <c r="T165" i="9"/>
  <c r="Q95" i="9"/>
  <c r="X21" i="4"/>
  <c r="D19" i="4"/>
  <c r="T42" i="4"/>
  <c r="T41" i="4"/>
  <c r="T39" i="4" s="1"/>
  <c r="T32" i="4"/>
  <c r="T33" i="4"/>
  <c r="Z19" i="23" l="1"/>
  <c r="Z21" i="23" s="1"/>
  <c r="AC39" i="22"/>
  <c r="AC46" i="22" s="1"/>
  <c r="AD26" i="22"/>
  <c r="AD37" i="22" s="1"/>
  <c r="AD39" i="22" s="1"/>
  <c r="AD46" i="22" s="1"/>
  <c r="J27" i="23"/>
  <c r="J25" i="36"/>
  <c r="L90" i="22"/>
  <c r="I39" i="36"/>
  <c r="O60" i="22"/>
  <c r="O74" i="22"/>
  <c r="L67" i="4"/>
  <c r="M69" i="22"/>
  <c r="M100" i="4"/>
  <c r="N99" i="4" s="1"/>
  <c r="V604" i="9"/>
  <c r="O58" i="22"/>
  <c r="L13" i="36" s="1"/>
  <c r="L14" i="36" s="1"/>
  <c r="U507" i="9"/>
  <c r="S178" i="9"/>
  <c r="W213" i="9"/>
  <c r="U508" i="9"/>
  <c r="T30" i="4"/>
  <c r="W603" i="9"/>
  <c r="X581" i="9"/>
  <c r="V605" i="9"/>
  <c r="V506" i="9"/>
  <c r="W484" i="9"/>
  <c r="AA79" i="25"/>
  <c r="AA20" i="23" s="1"/>
  <c r="AA23" i="36" s="1"/>
  <c r="AA78" i="7"/>
  <c r="AA94" i="7" s="1"/>
  <c r="L409" i="9"/>
  <c r="M407" i="9"/>
  <c r="P57" i="22" s="1"/>
  <c r="L408" i="9"/>
  <c r="P289" i="9"/>
  <c r="O310" i="9"/>
  <c r="S288" i="9"/>
  <c r="Y212" i="9"/>
  <c r="Z212" i="9" s="1"/>
  <c r="AA212" i="9" s="1"/>
  <c r="V13" i="9"/>
  <c r="AA291" i="9"/>
  <c r="V293" i="9"/>
  <c r="W293" i="9" s="1"/>
  <c r="R125" i="9"/>
  <c r="T177" i="9"/>
  <c r="U165" i="9"/>
  <c r="S179" i="9"/>
  <c r="R95" i="9"/>
  <c r="U41" i="4"/>
  <c r="U39" i="4" s="1"/>
  <c r="U42" i="4"/>
  <c r="U32" i="4"/>
  <c r="U33" i="4"/>
  <c r="AC108" i="37" l="1"/>
  <c r="Y108" i="37"/>
  <c r="U108" i="37"/>
  <c r="Q108" i="37"/>
  <c r="M108" i="37"/>
  <c r="AD107" i="37"/>
  <c r="Z107" i="37"/>
  <c r="V107" i="37"/>
  <c r="R107" i="37"/>
  <c r="N107" i="37"/>
  <c r="AB108" i="37"/>
  <c r="X108" i="37"/>
  <c r="T108" i="37"/>
  <c r="P108" i="37"/>
  <c r="AC107" i="37"/>
  <c r="Y107" i="37"/>
  <c r="U107" i="37"/>
  <c r="Q107" i="37"/>
  <c r="M107" i="37"/>
  <c r="AE108" i="37"/>
  <c r="Z108" i="37"/>
  <c r="R108" i="37"/>
  <c r="AA108" i="37"/>
  <c r="W108" i="37"/>
  <c r="S108" i="37"/>
  <c r="O108" i="37"/>
  <c r="AB107" i="37"/>
  <c r="X107" i="37"/>
  <c r="T107" i="37"/>
  <c r="P107" i="37"/>
  <c r="AE107" i="37"/>
  <c r="AD108" i="37"/>
  <c r="V108" i="37"/>
  <c r="N108" i="37"/>
  <c r="AA107" i="37"/>
  <c r="W107" i="37"/>
  <c r="S107" i="37"/>
  <c r="O107" i="37"/>
  <c r="AA19" i="23"/>
  <c r="AA21" i="23" s="1"/>
  <c r="M72" i="22"/>
  <c r="J5" i="26" s="1"/>
  <c r="J10" i="26" s="1"/>
  <c r="J24" i="36"/>
  <c r="J27" i="36" s="1"/>
  <c r="J35" i="36" s="1"/>
  <c r="P74" i="22"/>
  <c r="P60" i="22"/>
  <c r="K26" i="23"/>
  <c r="K8" i="26"/>
  <c r="L69" i="4"/>
  <c r="M68" i="4" s="1"/>
  <c r="N76" i="22"/>
  <c r="N66" i="22"/>
  <c r="J28" i="23"/>
  <c r="J9" i="26"/>
  <c r="N98" i="4"/>
  <c r="W604" i="9"/>
  <c r="V507" i="9"/>
  <c r="P58" i="22"/>
  <c r="M13" i="36" s="1"/>
  <c r="M14" i="36" s="1"/>
  <c r="O311" i="9"/>
  <c r="T178" i="9"/>
  <c r="X213" i="9"/>
  <c r="W605" i="9"/>
  <c r="U30" i="4"/>
  <c r="W506" i="9"/>
  <c r="X484" i="9"/>
  <c r="V508" i="9"/>
  <c r="X603" i="9"/>
  <c r="Y581" i="9"/>
  <c r="Y603" i="9" s="1"/>
  <c r="M409" i="9"/>
  <c r="M408" i="9"/>
  <c r="N407" i="9"/>
  <c r="Q57" i="22" s="1"/>
  <c r="O312" i="9"/>
  <c r="Q289" i="9"/>
  <c r="P310" i="9"/>
  <c r="T288" i="9"/>
  <c r="W13" i="9"/>
  <c r="X293" i="9"/>
  <c r="Y293" i="9" s="1"/>
  <c r="Z293" i="9" s="1"/>
  <c r="AA293" i="9" s="1"/>
  <c r="AA310" i="9" s="1"/>
  <c r="AD57" i="22" s="1"/>
  <c r="T179" i="9"/>
  <c r="S125" i="9"/>
  <c r="U177" i="9"/>
  <c r="V165" i="9"/>
  <c r="S95" i="9"/>
  <c r="V41" i="4"/>
  <c r="V39" i="4" s="1"/>
  <c r="V42" i="4"/>
  <c r="V32" i="4"/>
  <c r="V33" i="4"/>
  <c r="K27" i="23" l="1"/>
  <c r="K25" i="36"/>
  <c r="AD74" i="22"/>
  <c r="AD60" i="22"/>
  <c r="AD66" i="22" s="1"/>
  <c r="AD69" i="22" s="1"/>
  <c r="AA24" i="36" s="1"/>
  <c r="AA27" i="36" s="1"/>
  <c r="AA35" i="36" s="1"/>
  <c r="Q74" i="22"/>
  <c r="Q60" i="22"/>
  <c r="M90" i="22"/>
  <c r="J15" i="26" s="1"/>
  <c r="J39" i="36"/>
  <c r="N69" i="22"/>
  <c r="J13" i="26"/>
  <c r="J22" i="26" s="1"/>
  <c r="J23" i="26" s="1"/>
  <c r="J38" i="23"/>
  <c r="J40" i="23" s="1"/>
  <c r="M67" i="4"/>
  <c r="N100" i="4"/>
  <c r="O99" i="4" s="1"/>
  <c r="N102" i="4"/>
  <c r="Q58" i="22"/>
  <c r="N13" i="36" s="1"/>
  <c r="N14" i="36" s="1"/>
  <c r="X604" i="9"/>
  <c r="W507" i="9"/>
  <c r="P311" i="9"/>
  <c r="U178" i="9"/>
  <c r="Y213" i="9"/>
  <c r="W508" i="9"/>
  <c r="V30" i="4"/>
  <c r="X605" i="9"/>
  <c r="Y605" i="9" s="1"/>
  <c r="Z605" i="9" s="1"/>
  <c r="AA605" i="9" s="1"/>
  <c r="X506" i="9"/>
  <c r="Y484" i="9"/>
  <c r="Y506" i="9" s="1"/>
  <c r="N409" i="9"/>
  <c r="O407" i="9"/>
  <c r="R57" i="22" s="1"/>
  <c r="N408" i="9"/>
  <c r="R289" i="9"/>
  <c r="Q310" i="9"/>
  <c r="P312" i="9"/>
  <c r="U288" i="9"/>
  <c r="X13" i="9"/>
  <c r="U179" i="9"/>
  <c r="T125" i="9"/>
  <c r="V177" i="9"/>
  <c r="W165" i="9"/>
  <c r="W177" i="9" s="1"/>
  <c r="T95" i="9"/>
  <c r="W42" i="4"/>
  <c r="W41" i="4"/>
  <c r="W39" i="4" s="1"/>
  <c r="W33" i="4"/>
  <c r="W32" i="4"/>
  <c r="R74" i="22" l="1"/>
  <c r="R60" i="22"/>
  <c r="N72" i="22"/>
  <c r="K5" i="26" s="1"/>
  <c r="K10" i="26" s="1"/>
  <c r="K24" i="36"/>
  <c r="K27" i="36" s="1"/>
  <c r="K35" i="36" s="1"/>
  <c r="J14" i="26"/>
  <c r="J16" i="26" s="1"/>
  <c r="M69" i="4"/>
  <c r="N68" i="4" s="1"/>
  <c r="O76" i="22"/>
  <c r="K28" i="23"/>
  <c r="K38" i="23" s="1"/>
  <c r="K40" i="23" s="1"/>
  <c r="K9" i="26"/>
  <c r="L26" i="23"/>
  <c r="O66" i="22"/>
  <c r="AD72" i="22"/>
  <c r="AA28" i="23"/>
  <c r="AA38" i="23" s="1"/>
  <c r="AA40" i="23" s="1"/>
  <c r="O98" i="4"/>
  <c r="O102" i="4" s="1"/>
  <c r="R58" i="22"/>
  <c r="O13" i="36" s="1"/>
  <c r="O14" i="36" s="1"/>
  <c r="X507" i="9"/>
  <c r="Q311" i="9"/>
  <c r="V178" i="9"/>
  <c r="W178" i="9" s="1"/>
  <c r="Z213" i="9"/>
  <c r="W30" i="4"/>
  <c r="X508" i="9"/>
  <c r="Y508" i="9" s="1"/>
  <c r="Z508" i="9" s="1"/>
  <c r="AA508" i="9" s="1"/>
  <c r="O409" i="9"/>
  <c r="O408" i="9"/>
  <c r="P407" i="9"/>
  <c r="S57" i="22" s="1"/>
  <c r="Q312" i="9"/>
  <c r="S289" i="9"/>
  <c r="R310" i="9"/>
  <c r="V288" i="9"/>
  <c r="Y13" i="9"/>
  <c r="U125" i="9"/>
  <c r="V179" i="9"/>
  <c r="W179" i="9" s="1"/>
  <c r="X179" i="9" s="1"/>
  <c r="Y179" i="9" s="1"/>
  <c r="Z179" i="9" s="1"/>
  <c r="AA179" i="9" s="1"/>
  <c r="U95" i="9"/>
  <c r="X42" i="4"/>
  <c r="X41" i="4"/>
  <c r="X39" i="4" s="1"/>
  <c r="X33" i="4"/>
  <c r="X32" i="4"/>
  <c r="L27" i="23" l="1"/>
  <c r="L25" i="36"/>
  <c r="AD90" i="22"/>
  <c r="AA39" i="36"/>
  <c r="S60" i="22"/>
  <c r="S74" i="22"/>
  <c r="N90" i="22"/>
  <c r="K15" i="26" s="1"/>
  <c r="K39" i="36"/>
  <c r="N67" i="4"/>
  <c r="O69" i="22"/>
  <c r="O100" i="4"/>
  <c r="P99" i="4" s="1"/>
  <c r="S58" i="22"/>
  <c r="P13" i="36" s="1"/>
  <c r="P14" i="36" s="1"/>
  <c r="R311" i="9"/>
  <c r="AA213" i="9"/>
  <c r="X30" i="4"/>
  <c r="P409" i="9"/>
  <c r="P408" i="9"/>
  <c r="Q407" i="9"/>
  <c r="T57" i="22" s="1"/>
  <c r="T289" i="9"/>
  <c r="S310" i="9"/>
  <c r="R312" i="9"/>
  <c r="W288" i="9"/>
  <c r="Z13" i="9"/>
  <c r="X178" i="9"/>
  <c r="V125" i="9"/>
  <c r="V95" i="9"/>
  <c r="T60" i="22" l="1"/>
  <c r="T74" i="22"/>
  <c r="L28" i="23"/>
  <c r="L38" i="23" s="1"/>
  <c r="L40" i="23" s="1"/>
  <c r="L24" i="36"/>
  <c r="L27" i="36" s="1"/>
  <c r="L35" i="36" s="1"/>
  <c r="M26" i="23"/>
  <c r="P66" i="22"/>
  <c r="N69" i="4"/>
  <c r="O68" i="4" s="1"/>
  <c r="P76" i="22"/>
  <c r="O72" i="22"/>
  <c r="P98" i="4"/>
  <c r="T58" i="22"/>
  <c r="Q13" i="36" s="1"/>
  <c r="Q14" i="36" s="1"/>
  <c r="S311" i="9"/>
  <c r="Q409" i="9"/>
  <c r="Q408" i="9"/>
  <c r="R407" i="9"/>
  <c r="U57" i="22" s="1"/>
  <c r="S312" i="9"/>
  <c r="U289" i="9"/>
  <c r="T310" i="9"/>
  <c r="X288" i="9"/>
  <c r="AA13" i="9"/>
  <c r="Y178" i="9"/>
  <c r="W125" i="9"/>
  <c r="W95" i="9"/>
  <c r="D85" i="7"/>
  <c r="D86" i="7" s="1"/>
  <c r="H41" i="37" s="1"/>
  <c r="M27" i="23" l="1"/>
  <c r="M25" i="36"/>
  <c r="U74" i="22"/>
  <c r="U60" i="22"/>
  <c r="K13" i="26"/>
  <c r="K14" i="26" s="1"/>
  <c r="K16" i="26" s="1"/>
  <c r="O90" i="22"/>
  <c r="L39" i="36"/>
  <c r="G41" i="22"/>
  <c r="D24" i="23" s="1"/>
  <c r="P69" i="22"/>
  <c r="O67" i="4"/>
  <c r="P100" i="4"/>
  <c r="Q99" i="4" s="1"/>
  <c r="P102" i="4"/>
  <c r="U58" i="22"/>
  <c r="R13" i="36" s="1"/>
  <c r="R14" i="36" s="1"/>
  <c r="T311" i="9"/>
  <c r="R408" i="9"/>
  <c r="R409" i="9"/>
  <c r="S407" i="9"/>
  <c r="V57" i="22" s="1"/>
  <c r="V289" i="9"/>
  <c r="U310" i="9"/>
  <c r="T312" i="9"/>
  <c r="Y288" i="9"/>
  <c r="X95" i="9"/>
  <c r="X125" i="9"/>
  <c r="Z178" i="9"/>
  <c r="K22" i="26" l="1"/>
  <c r="K23" i="26" s="1"/>
  <c r="M28" i="23"/>
  <c r="M38" i="23" s="1"/>
  <c r="M40" i="23" s="1"/>
  <c r="M24" i="36"/>
  <c r="M27" i="36" s="1"/>
  <c r="M35" i="36" s="1"/>
  <c r="V74" i="22"/>
  <c r="V60" i="22"/>
  <c r="N26" i="23"/>
  <c r="Q66" i="22"/>
  <c r="P72" i="22"/>
  <c r="O69" i="4"/>
  <c r="P68" i="4" s="1"/>
  <c r="Q76" i="22"/>
  <c r="Q98" i="4"/>
  <c r="Q102" i="4" s="1"/>
  <c r="V58" i="22"/>
  <c r="S13" i="36" s="1"/>
  <c r="S14" i="36" s="1"/>
  <c r="U311" i="9"/>
  <c r="F44" i="22"/>
  <c r="S408" i="9"/>
  <c r="T407" i="9"/>
  <c r="S409" i="9"/>
  <c r="U312" i="9"/>
  <c r="W289" i="9"/>
  <c r="V310" i="9"/>
  <c r="AA178" i="9"/>
  <c r="Y125" i="9"/>
  <c r="Y95" i="9"/>
  <c r="D7" i="23"/>
  <c r="D10" i="23" s="1"/>
  <c r="N27" i="23" l="1"/>
  <c r="N25" i="36"/>
  <c r="P90" i="22"/>
  <c r="M39" i="36"/>
  <c r="Q69" i="22"/>
  <c r="P67" i="4"/>
  <c r="Q100" i="4"/>
  <c r="R99" i="4" s="1"/>
  <c r="T408" i="9"/>
  <c r="W57" i="22"/>
  <c r="V311" i="9"/>
  <c r="C38" i="23"/>
  <c r="C40" i="23" s="1"/>
  <c r="C42" i="23" s="1"/>
  <c r="C6" i="36" s="1"/>
  <c r="C10" i="36" s="1"/>
  <c r="C20" i="36" s="1"/>
  <c r="C46" i="36" s="1"/>
  <c r="F46" i="22"/>
  <c r="T409" i="9"/>
  <c r="U407" i="9"/>
  <c r="X289" i="9"/>
  <c r="W310" i="9"/>
  <c r="V312" i="9"/>
  <c r="Z95" i="9"/>
  <c r="Z125" i="9"/>
  <c r="W60" i="22" l="1"/>
  <c r="W74" i="22"/>
  <c r="N28" i="23"/>
  <c r="N38" i="23" s="1"/>
  <c r="N40" i="23" s="1"/>
  <c r="N24" i="36"/>
  <c r="N27" i="36" s="1"/>
  <c r="N35" i="36" s="1"/>
  <c r="Q72" i="22"/>
  <c r="O26" i="23"/>
  <c r="R66" i="22"/>
  <c r="P69" i="4"/>
  <c r="Q68" i="4" s="1"/>
  <c r="R76" i="22"/>
  <c r="R98" i="4"/>
  <c r="W58" i="22"/>
  <c r="T13" i="36" s="1"/>
  <c r="T14" i="36" s="1"/>
  <c r="U408" i="9"/>
  <c r="X57" i="22"/>
  <c r="W311" i="9"/>
  <c r="C19" i="26"/>
  <c r="C23" i="26" s="1"/>
  <c r="V407" i="9"/>
  <c r="U409" i="9"/>
  <c r="W312" i="9"/>
  <c r="Y289" i="9"/>
  <c r="X310" i="9"/>
  <c r="AA125" i="9"/>
  <c r="AA95" i="9"/>
  <c r="D11" i="26"/>
  <c r="D20" i="26" s="1"/>
  <c r="C17" i="27"/>
  <c r="O27" i="23" l="1"/>
  <c r="O25" i="36"/>
  <c r="X74" i="22"/>
  <c r="X60" i="22"/>
  <c r="Q90" i="22"/>
  <c r="N39" i="36"/>
  <c r="G106" i="22"/>
  <c r="H106" i="22" s="1"/>
  <c r="I106" i="22" s="1"/>
  <c r="J106" i="22" s="1"/>
  <c r="K106" i="22" s="1"/>
  <c r="L106" i="22" s="1"/>
  <c r="M106" i="22" s="1"/>
  <c r="N106" i="22" s="1"/>
  <c r="O106" i="22" s="1"/>
  <c r="Q67" i="4"/>
  <c r="R69" i="22"/>
  <c r="R100" i="4"/>
  <c r="S99" i="4" s="1"/>
  <c r="R102" i="4"/>
  <c r="V408" i="9"/>
  <c r="Y57" i="22"/>
  <c r="X58" i="22"/>
  <c r="U13" i="36" s="1"/>
  <c r="U14" i="36" s="1"/>
  <c r="V409" i="9"/>
  <c r="W407" i="9"/>
  <c r="X407" i="9"/>
  <c r="AA57" i="22" s="1"/>
  <c r="X312" i="9"/>
  <c r="X311" i="9"/>
  <c r="Z289" i="9"/>
  <c r="Z310" i="9" s="1"/>
  <c r="AC57" i="22" s="1"/>
  <c r="Y310" i="9"/>
  <c r="AB57" i="22" s="1"/>
  <c r="E11" i="26"/>
  <c r="E20" i="26" s="1"/>
  <c r="E15" i="23"/>
  <c r="D15" i="23"/>
  <c r="AB60" i="22" l="1"/>
  <c r="AB66" i="22" s="1"/>
  <c r="AB69" i="22" s="1"/>
  <c r="Y24" i="36" s="1"/>
  <c r="Y27" i="36" s="1"/>
  <c r="Y35" i="36" s="1"/>
  <c r="AB74" i="22"/>
  <c r="AA60" i="22"/>
  <c r="AA66" i="22" s="1"/>
  <c r="AA69" i="22" s="1"/>
  <c r="X24" i="36" s="1"/>
  <c r="X27" i="36" s="1"/>
  <c r="X35" i="36" s="1"/>
  <c r="AA74" i="22"/>
  <c r="Y74" i="22"/>
  <c r="Y60" i="22"/>
  <c r="O28" i="23"/>
  <c r="O38" i="23" s="1"/>
  <c r="O40" i="23" s="1"/>
  <c r="O24" i="36"/>
  <c r="O27" i="36" s="1"/>
  <c r="O35" i="36" s="1"/>
  <c r="AC74" i="22"/>
  <c r="AC60" i="22"/>
  <c r="AC66" i="22" s="1"/>
  <c r="AC69" i="22" s="1"/>
  <c r="Z24" i="36" s="1"/>
  <c r="Z27" i="36" s="1"/>
  <c r="Z35" i="36" s="1"/>
  <c r="R72" i="22"/>
  <c r="P26" i="23"/>
  <c r="S66" i="22"/>
  <c r="Q69" i="4"/>
  <c r="R68" i="4" s="1"/>
  <c r="S76" i="22"/>
  <c r="S98" i="4"/>
  <c r="S102" i="4" s="1"/>
  <c r="Y58" i="22"/>
  <c r="V13" i="36" s="1"/>
  <c r="V14" i="36" s="1"/>
  <c r="W408" i="9"/>
  <c r="Z57" i="22"/>
  <c r="W409" i="9"/>
  <c r="X408" i="9"/>
  <c r="Y312" i="9"/>
  <c r="Z312" i="9" s="1"/>
  <c r="AA312" i="9" s="1"/>
  <c r="C28" i="27"/>
  <c r="P27" i="23" l="1"/>
  <c r="P25" i="36"/>
  <c r="R90" i="22"/>
  <c r="O39" i="36"/>
  <c r="Z74" i="22"/>
  <c r="Z60" i="22"/>
  <c r="R67" i="4"/>
  <c r="S69" i="22"/>
  <c r="AB72" i="22"/>
  <c r="Y28" i="23"/>
  <c r="AA72" i="22"/>
  <c r="X28" i="23"/>
  <c r="AC72" i="22"/>
  <c r="Z28" i="23"/>
  <c r="Z58" i="22"/>
  <c r="W13" i="36" s="1"/>
  <c r="W14" i="36" s="1"/>
  <c r="S100" i="4"/>
  <c r="T99" i="4" s="1"/>
  <c r="X409" i="9"/>
  <c r="D6" i="26"/>
  <c r="AC90" i="22" l="1"/>
  <c r="Z39" i="36"/>
  <c r="AB90" i="22"/>
  <c r="Y39" i="36"/>
  <c r="P28" i="23"/>
  <c r="P38" i="23" s="1"/>
  <c r="P40" i="23" s="1"/>
  <c r="P24" i="36"/>
  <c r="P27" i="36" s="1"/>
  <c r="P35" i="36" s="1"/>
  <c r="AA90" i="22"/>
  <c r="X39" i="36"/>
  <c r="S72" i="22"/>
  <c r="Q26" i="23"/>
  <c r="T66" i="22"/>
  <c r="R69" i="4"/>
  <c r="S68" i="4" s="1"/>
  <c r="T76" i="22"/>
  <c r="AA58" i="22"/>
  <c r="X13" i="36" s="1"/>
  <c r="X14" i="36" s="1"/>
  <c r="T98" i="4"/>
  <c r="X38" i="23"/>
  <c r="X40" i="23" s="1"/>
  <c r="Y409" i="9"/>
  <c r="Q27" i="23" l="1"/>
  <c r="Q25" i="36"/>
  <c r="S90" i="22"/>
  <c r="P39" i="36"/>
  <c r="S67" i="4"/>
  <c r="T69" i="22"/>
  <c r="AB58" i="22"/>
  <c r="Y13" i="36" s="1"/>
  <c r="Y14" i="36" s="1"/>
  <c r="T100" i="4"/>
  <c r="U99" i="4" s="1"/>
  <c r="T102" i="4"/>
  <c r="Y38" i="23"/>
  <c r="Y40" i="23" s="1"/>
  <c r="Z38" i="23"/>
  <c r="Z40" i="23" s="1"/>
  <c r="Z409" i="9"/>
  <c r="Q28" i="23" l="1"/>
  <c r="Q38" i="23" s="1"/>
  <c r="Q40" i="23" s="1"/>
  <c r="Q24" i="36"/>
  <c r="Q27" i="36" s="1"/>
  <c r="Q35" i="36" s="1"/>
  <c r="T72" i="22"/>
  <c r="R26" i="23"/>
  <c r="U66" i="22"/>
  <c r="S69" i="4"/>
  <c r="T68" i="4" s="1"/>
  <c r="U76" i="22"/>
  <c r="AC58" i="22"/>
  <c r="Z13" i="36" s="1"/>
  <c r="Z14" i="36" s="1"/>
  <c r="U98" i="4"/>
  <c r="AA409" i="9"/>
  <c r="R27" i="23" l="1"/>
  <c r="R25" i="36"/>
  <c r="T90" i="22"/>
  <c r="Q39" i="36"/>
  <c r="T67" i="4"/>
  <c r="U69" i="22"/>
  <c r="AD58" i="22"/>
  <c r="AA13" i="36" s="1"/>
  <c r="AA14" i="36" s="1"/>
  <c r="U100" i="4"/>
  <c r="V99" i="4" s="1"/>
  <c r="U102" i="4"/>
  <c r="R28" i="23" l="1"/>
  <c r="R38" i="23" s="1"/>
  <c r="R40" i="23" s="1"/>
  <c r="R24" i="36"/>
  <c r="R27" i="36" s="1"/>
  <c r="R35" i="36" s="1"/>
  <c r="U72" i="22"/>
  <c r="S26" i="23"/>
  <c r="V66" i="22"/>
  <c r="T69" i="4"/>
  <c r="U68" i="4" s="1"/>
  <c r="V76" i="22"/>
  <c r="V98" i="4"/>
  <c r="D17" i="27"/>
  <c r="S27" i="23" l="1"/>
  <c r="S25" i="36"/>
  <c r="U90" i="22"/>
  <c r="R39" i="36"/>
  <c r="U67" i="4"/>
  <c r="V69" i="22"/>
  <c r="V100" i="4"/>
  <c r="W99" i="4" s="1"/>
  <c r="V102" i="4"/>
  <c r="H6" i="26"/>
  <c r="G6" i="26"/>
  <c r="S28" i="23" l="1"/>
  <c r="S38" i="23" s="1"/>
  <c r="S40" i="23" s="1"/>
  <c r="S24" i="36"/>
  <c r="S27" i="36" s="1"/>
  <c r="S35" i="36" s="1"/>
  <c r="T26" i="23"/>
  <c r="W66" i="22"/>
  <c r="U69" i="4"/>
  <c r="V68" i="4" s="1"/>
  <c r="W76" i="22"/>
  <c r="V72" i="22"/>
  <c r="W98" i="4"/>
  <c r="W102" i="4" s="1"/>
  <c r="D28" i="27"/>
  <c r="E6" i="26"/>
  <c r="F6" i="26"/>
  <c r="I6" i="26"/>
  <c r="T27" i="23" l="1"/>
  <c r="T25" i="36"/>
  <c r="V90" i="22"/>
  <c r="S39" i="36"/>
  <c r="V67" i="4"/>
  <c r="W69" i="22"/>
  <c r="W100" i="4"/>
  <c r="T28" i="23" l="1"/>
  <c r="T38" i="23" s="1"/>
  <c r="T40" i="23" s="1"/>
  <c r="T24" i="36"/>
  <c r="T27" i="36" s="1"/>
  <c r="T35" i="36" s="1"/>
  <c r="U26" i="23"/>
  <c r="X66" i="22"/>
  <c r="V69" i="4"/>
  <c r="W68" i="4" s="1"/>
  <c r="X76" i="22"/>
  <c r="W72" i="22"/>
  <c r="I38" i="23"/>
  <c r="X99" i="4"/>
  <c r="I9" i="26"/>
  <c r="U27" i="23" l="1"/>
  <c r="U25" i="36"/>
  <c r="W90" i="22"/>
  <c r="T39" i="36"/>
  <c r="W67" i="4"/>
  <c r="X69" i="22"/>
  <c r="X98" i="4"/>
  <c r="I5" i="26"/>
  <c r="I10" i="26" s="1"/>
  <c r="I13" i="26"/>
  <c r="I22" i="26" s="1"/>
  <c r="I23" i="26" s="1"/>
  <c r="I40" i="23"/>
  <c r="U28" i="23" l="1"/>
  <c r="U38" i="23" s="1"/>
  <c r="U40" i="23" s="1"/>
  <c r="U24" i="36"/>
  <c r="U27" i="36" s="1"/>
  <c r="U35" i="36" s="1"/>
  <c r="X72" i="22"/>
  <c r="U39" i="36" s="1"/>
  <c r="V26" i="23"/>
  <c r="Y66" i="22"/>
  <c r="W69" i="4"/>
  <c r="Y76" i="22"/>
  <c r="D98" i="4"/>
  <c r="X102" i="4"/>
  <c r="X100" i="4"/>
  <c r="AD97" i="22"/>
  <c r="Y98" i="22"/>
  <c r="U97" i="22"/>
  <c r="W98" i="22"/>
  <c r="O97" i="22"/>
  <c r="Q98" i="22"/>
  <c r="AA98" i="22"/>
  <c r="Z98" i="22"/>
  <c r="V97" i="22"/>
  <c r="X98" i="22"/>
  <c r="P97" i="22"/>
  <c r="R98" i="22"/>
  <c r="X97" i="22"/>
  <c r="AB98" i="22"/>
  <c r="W97" i="22"/>
  <c r="Q97" i="22"/>
  <c r="AD98" i="22"/>
  <c r="S98" i="22"/>
  <c r="M98" i="22"/>
  <c r="N98" i="22"/>
  <c r="AA97" i="22"/>
  <c r="T98" i="22"/>
  <c r="AB97" i="22"/>
  <c r="Y97" i="22"/>
  <c r="S97" i="22"/>
  <c r="U98" i="22"/>
  <c r="M97" i="22"/>
  <c r="O98" i="22"/>
  <c r="AC97" i="22"/>
  <c r="Z97" i="22"/>
  <c r="T97" i="22"/>
  <c r="V98" i="22"/>
  <c r="N97" i="22"/>
  <c r="P98" i="22"/>
  <c r="AC98" i="22"/>
  <c r="R97" i="22"/>
  <c r="I14" i="26"/>
  <c r="I15" i="26"/>
  <c r="L98" i="22"/>
  <c r="L97" i="22"/>
  <c r="V27" i="23" l="1"/>
  <c r="V25" i="36"/>
  <c r="X90" i="22"/>
  <c r="X68" i="4"/>
  <c r="Y69" i="22"/>
  <c r="I16" i="26"/>
  <c r="F17" i="27"/>
  <c r="E17" i="27"/>
  <c r="V28" i="23" l="1"/>
  <c r="V38" i="23" s="1"/>
  <c r="V40" i="23" s="1"/>
  <c r="V24" i="36"/>
  <c r="V27" i="36" s="1"/>
  <c r="V35" i="36" s="1"/>
  <c r="Y72" i="22"/>
  <c r="V39" i="36" s="1"/>
  <c r="X67" i="4"/>
  <c r="Y90" i="22" l="1"/>
  <c r="W26" i="23"/>
  <c r="Z66" i="22"/>
  <c r="D67" i="4"/>
  <c r="Z76" i="22"/>
  <c r="X69" i="4"/>
  <c r="E28" i="27"/>
  <c r="F28" i="27"/>
  <c r="W27" i="23" l="1"/>
  <c r="W25" i="36"/>
  <c r="Z69" i="22"/>
  <c r="G17" i="27"/>
  <c r="W28" i="23" l="1"/>
  <c r="W38" i="23" s="1"/>
  <c r="W40" i="23" s="1"/>
  <c r="W24" i="36"/>
  <c r="W27" i="36" s="1"/>
  <c r="W35" i="36" s="1"/>
  <c r="Z72" i="22"/>
  <c r="W39" i="36" s="1"/>
  <c r="H17" i="27"/>
  <c r="I17" i="27"/>
  <c r="Z90" i="22" l="1"/>
  <c r="G28" i="27"/>
  <c r="H28" i="27" l="1"/>
  <c r="J28" i="27" s="1"/>
  <c r="D55" i="22" l="1"/>
  <c r="D54" i="22"/>
  <c r="D53" i="22"/>
  <c r="D52" i="22"/>
  <c r="D51" i="22"/>
  <c r="D50" i="22"/>
  <c r="H88" i="7" l="1"/>
  <c r="H92" i="7" s="1"/>
  <c r="E92" i="7"/>
  <c r="G88" i="7"/>
  <c r="G92" i="7" s="1"/>
  <c r="F88" i="7"/>
  <c r="F92" i="7" s="1"/>
  <c r="J42" i="22" l="1"/>
  <c r="K50" i="37"/>
  <c r="H42" i="22"/>
  <c r="I50" i="37"/>
  <c r="I42" i="22"/>
  <c r="J50" i="37"/>
  <c r="H50" i="37"/>
  <c r="K42" i="22"/>
  <c r="L50" i="37"/>
  <c r="D11" i="7" l="1"/>
  <c r="D17" i="7" s="1"/>
  <c r="H27" i="37" s="1"/>
  <c r="F11" i="7"/>
  <c r="F17" i="7" s="1"/>
  <c r="J27" i="37" s="1"/>
  <c r="G11" i="7"/>
  <c r="G17" i="7" s="1"/>
  <c r="K27" i="37" s="1"/>
  <c r="H11" i="7"/>
  <c r="H17" i="7" s="1"/>
  <c r="L27" i="37" s="1"/>
  <c r="E17" i="7"/>
  <c r="I27" i="37" s="1"/>
  <c r="D23" i="23"/>
  <c r="G44" i="22"/>
  <c r="E23" i="23"/>
  <c r="H44" i="22"/>
  <c r="H23" i="23"/>
  <c r="K44" i="22"/>
  <c r="F23" i="23"/>
  <c r="I44" i="22"/>
  <c r="G23" i="23"/>
  <c r="J44" i="22"/>
  <c r="K37" i="37" l="1"/>
  <c r="K39" i="37" s="1"/>
  <c r="K52" i="37" s="1"/>
  <c r="K66" i="37" s="1"/>
  <c r="K72" i="37" s="1"/>
  <c r="K75" i="37" s="1"/>
  <c r="K78" i="37" s="1"/>
  <c r="K100" i="37" s="1"/>
  <c r="J27" i="22"/>
  <c r="J37" i="22" s="1"/>
  <c r="G79" i="7"/>
  <c r="G94" i="7" s="1"/>
  <c r="J37" i="37"/>
  <c r="J39" i="37" s="1"/>
  <c r="J52" i="37" s="1"/>
  <c r="J66" i="37" s="1"/>
  <c r="J72" i="37" s="1"/>
  <c r="J75" i="37" s="1"/>
  <c r="J78" i="37" s="1"/>
  <c r="J100" i="37" s="1"/>
  <c r="F79" i="7"/>
  <c r="F94" i="7" s="1"/>
  <c r="I27" i="22"/>
  <c r="I37" i="22" s="1"/>
  <c r="L37" i="37"/>
  <c r="L39" i="37" s="1"/>
  <c r="L52" i="37" s="1"/>
  <c r="L66" i="37" s="1"/>
  <c r="L72" i="37" s="1"/>
  <c r="L75" i="37" s="1"/>
  <c r="L78" i="37" s="1"/>
  <c r="L100" i="37" s="1"/>
  <c r="H79" i="7"/>
  <c r="H94" i="7" s="1"/>
  <c r="K27" i="22"/>
  <c r="K37" i="22" s="1"/>
  <c r="I37" i="37"/>
  <c r="I39" i="37" s="1"/>
  <c r="I52" i="37" s="1"/>
  <c r="I66" i="37" s="1"/>
  <c r="I72" i="37" s="1"/>
  <c r="I75" i="37" s="1"/>
  <c r="I78" i="37" s="1"/>
  <c r="I100" i="37" s="1"/>
  <c r="E79" i="7"/>
  <c r="E94" i="7" s="1"/>
  <c r="H27" i="22"/>
  <c r="H37" i="22" s="1"/>
  <c r="H37" i="37"/>
  <c r="H39" i="37" s="1"/>
  <c r="H52" i="37" s="1"/>
  <c r="H66" i="37" s="1"/>
  <c r="H72" i="37" s="1"/>
  <c r="H75" i="37" s="1"/>
  <c r="H78" i="37" s="1"/>
  <c r="H100" i="37" s="1"/>
  <c r="G27" i="22"/>
  <c r="G37" i="22" s="1"/>
  <c r="D79" i="7"/>
  <c r="D94" i="7" s="1"/>
  <c r="J107" i="37" l="1"/>
  <c r="J108" i="37"/>
  <c r="L108" i="37"/>
  <c r="L107" i="37"/>
  <c r="I107" i="37"/>
  <c r="I108" i="37"/>
  <c r="H108" i="37"/>
  <c r="AC112" i="37"/>
  <c r="Y112" i="37"/>
  <c r="U112" i="37"/>
  <c r="Q112" i="37"/>
  <c r="M112" i="37"/>
  <c r="AB112" i="37"/>
  <c r="X112" i="37"/>
  <c r="T112" i="37"/>
  <c r="P112" i="37"/>
  <c r="H112" i="37"/>
  <c r="V112" i="37"/>
  <c r="H107" i="37"/>
  <c r="AE112" i="37"/>
  <c r="AA112" i="37"/>
  <c r="W112" i="37"/>
  <c r="S112" i="37"/>
  <c r="O112" i="37"/>
  <c r="AD112" i="37"/>
  <c r="Z112" i="37"/>
  <c r="R112" i="37"/>
  <c r="N112" i="37"/>
  <c r="K108" i="37"/>
  <c r="K107" i="37"/>
  <c r="E104" i="37"/>
  <c r="E103" i="37"/>
  <c r="E105" i="37"/>
  <c r="F19" i="23"/>
  <c r="F21" i="23" s="1"/>
  <c r="I39" i="22"/>
  <c r="I46" i="22" s="1"/>
  <c r="J39" i="22"/>
  <c r="J46" i="22" s="1"/>
  <c r="G19" i="23"/>
  <c r="G21" i="23" s="1"/>
  <c r="J112" i="37"/>
  <c r="K112" i="37"/>
  <c r="I112" i="37"/>
  <c r="L112" i="37"/>
  <c r="K39" i="22"/>
  <c r="K46" i="22" s="1"/>
  <c r="H19" i="23"/>
  <c r="H21" i="23" s="1"/>
  <c r="D19" i="23"/>
  <c r="D21" i="23" s="1"/>
  <c r="G39" i="22"/>
  <c r="G46" i="22" s="1"/>
  <c r="E19" i="23"/>
  <c r="E21" i="23" s="1"/>
  <c r="H39" i="22"/>
  <c r="H46" i="22" s="1"/>
  <c r="D107" i="37" l="1"/>
  <c r="D108" i="37"/>
  <c r="E106" i="37"/>
  <c r="C106" i="37" s="1"/>
  <c r="F116" i="37"/>
  <c r="G19" i="26"/>
  <c r="J60" i="22"/>
  <c r="J66" i="22" s="1"/>
  <c r="G60" i="22"/>
  <c r="G66" i="22" s="1"/>
  <c r="D19" i="26"/>
  <c r="H19" i="26"/>
  <c r="K60" i="22"/>
  <c r="K66" i="22" s="1"/>
  <c r="F19" i="26"/>
  <c r="I60" i="22"/>
  <c r="I66" i="22" s="1"/>
  <c r="E19" i="26"/>
  <c r="H60" i="22"/>
  <c r="H66" i="22" s="1"/>
  <c r="E110" i="37" l="1"/>
  <c r="E109" i="37"/>
  <c r="I69" i="22"/>
  <c r="I72" i="22" s="1"/>
  <c r="H69" i="22"/>
  <c r="H72" i="22" s="1"/>
  <c r="K69" i="22"/>
  <c r="K72" i="22" s="1"/>
  <c r="J69" i="22"/>
  <c r="J72" i="22" s="1"/>
  <c r="G69" i="22"/>
  <c r="G72" i="22" s="1"/>
  <c r="G90" i="22" s="1"/>
  <c r="J90" i="22" l="1"/>
  <c r="G39" i="36"/>
  <c r="G5" i="26"/>
  <c r="G10" i="26" s="1"/>
  <c r="G28" i="23"/>
  <c r="G24" i="36"/>
  <c r="G27" i="36" s="1"/>
  <c r="G35" i="36" s="1"/>
  <c r="G9" i="26"/>
  <c r="D39" i="36"/>
  <c r="D5" i="26"/>
  <c r="D10" i="26" s="1"/>
  <c r="H39" i="36"/>
  <c r="K90" i="22"/>
  <c r="H5" i="26"/>
  <c r="H10" i="26" s="1"/>
  <c r="I90" i="22"/>
  <c r="F39" i="36"/>
  <c r="F5" i="26"/>
  <c r="F10" i="26" s="1"/>
  <c r="H90" i="22"/>
  <c r="E39" i="36"/>
  <c r="E5" i="26"/>
  <c r="E10" i="26" s="1"/>
  <c r="E24" i="36"/>
  <c r="E27" i="36" s="1"/>
  <c r="E35" i="36" s="1"/>
  <c r="E28" i="23"/>
  <c r="E9" i="26"/>
  <c r="D28" i="23"/>
  <c r="D24" i="36"/>
  <c r="D27" i="36" s="1"/>
  <c r="D35" i="36" s="1"/>
  <c r="D9" i="26"/>
  <c r="H24" i="36"/>
  <c r="H27" i="36" s="1"/>
  <c r="H35" i="36" s="1"/>
  <c r="H28" i="23"/>
  <c r="H9" i="26"/>
  <c r="F24" i="36"/>
  <c r="F27" i="36" s="1"/>
  <c r="F35" i="36" s="1"/>
  <c r="F28" i="23"/>
  <c r="F9" i="26"/>
  <c r="E93" i="22" l="1"/>
  <c r="C7" i="16" s="1"/>
  <c r="E95" i="22"/>
  <c r="E96" i="22" s="1"/>
  <c r="C96" i="22" s="1"/>
  <c r="E94" i="22"/>
  <c r="C8" i="16" s="1"/>
  <c r="E13" i="26"/>
  <c r="E22" i="26" s="1"/>
  <c r="E23" i="26" s="1"/>
  <c r="E38" i="23"/>
  <c r="E40" i="23" s="1"/>
  <c r="G102" i="22"/>
  <c r="G98" i="22"/>
  <c r="D15" i="26"/>
  <c r="G97" i="22"/>
  <c r="P102" i="22"/>
  <c r="Q102" i="22"/>
  <c r="U102" i="22"/>
  <c r="L102" i="22"/>
  <c r="M102" i="22"/>
  <c r="W102" i="22"/>
  <c r="V102" i="22"/>
  <c r="S102" i="22"/>
  <c r="O102" i="22"/>
  <c r="J102" i="22"/>
  <c r="R102" i="22"/>
  <c r="I102" i="22"/>
  <c r="N102" i="22"/>
  <c r="H102" i="22"/>
  <c r="T102" i="22"/>
  <c r="K102" i="22"/>
  <c r="X102" i="22"/>
  <c r="Y102" i="22"/>
  <c r="AA102" i="22"/>
  <c r="Z102" i="22"/>
  <c r="AD102" i="22"/>
  <c r="AC102" i="22"/>
  <c r="AB102" i="22"/>
  <c r="G13" i="26"/>
  <c r="G22" i="26" s="1"/>
  <c r="G23" i="26" s="1"/>
  <c r="G38" i="23"/>
  <c r="G40" i="23" s="1"/>
  <c r="H15" i="26"/>
  <c r="K98" i="22"/>
  <c r="K97" i="22"/>
  <c r="H13" i="26"/>
  <c r="H22" i="26" s="1"/>
  <c r="H23" i="26" s="1"/>
  <c r="H38" i="23"/>
  <c r="H40" i="23" s="1"/>
  <c r="D13" i="26"/>
  <c r="D22" i="26" s="1"/>
  <c r="D23" i="26" s="1"/>
  <c r="D38" i="23"/>
  <c r="D40" i="23" s="1"/>
  <c r="D42" i="23" s="1"/>
  <c r="D6" i="36" s="1"/>
  <c r="D10" i="36" s="1"/>
  <c r="D20" i="36" s="1"/>
  <c r="H97" i="22"/>
  <c r="H98" i="22"/>
  <c r="E15" i="26"/>
  <c r="E40" i="36"/>
  <c r="E42" i="36" s="1"/>
  <c r="E44" i="36" s="1"/>
  <c r="D42" i="36"/>
  <c r="D44" i="36" s="1"/>
  <c r="F13" i="26"/>
  <c r="F22" i="26" s="1"/>
  <c r="F23" i="26" s="1"/>
  <c r="F38" i="23"/>
  <c r="F40" i="23" s="1"/>
  <c r="F15" i="26"/>
  <c r="I97" i="22"/>
  <c r="I98" i="22"/>
  <c r="G15" i="26"/>
  <c r="J98" i="22"/>
  <c r="J97" i="22"/>
  <c r="F40" i="36" l="1"/>
  <c r="F42" i="36" s="1"/>
  <c r="F44" i="36" s="1"/>
  <c r="E14" i="26"/>
  <c r="E16" i="26" s="1"/>
  <c r="D97" i="22"/>
  <c r="D14" i="26"/>
  <c r="D16" i="26" s="1"/>
  <c r="D46" i="36"/>
  <c r="E106" i="22"/>
  <c r="C6" i="16"/>
  <c r="D98" i="22"/>
  <c r="H14" i="26"/>
  <c r="H16" i="26" s="1"/>
  <c r="E42" i="23"/>
  <c r="F14" i="26"/>
  <c r="F16" i="26" s="1"/>
  <c r="G14" i="26"/>
  <c r="G16" i="26" s="1"/>
  <c r="G40" i="36" l="1"/>
  <c r="G42" i="36" s="1"/>
  <c r="G44" i="36" s="1"/>
  <c r="E99" i="22"/>
  <c r="C12" i="16" s="1"/>
  <c r="C10" i="16"/>
  <c r="E6" i="36"/>
  <c r="E10" i="36" s="1"/>
  <c r="E20" i="36" s="1"/>
  <c r="E46" i="36" s="1"/>
  <c r="F42" i="23"/>
  <c r="C11" i="16"/>
  <c r="E100" i="22"/>
  <c r="C9" i="16"/>
  <c r="B9" i="16" s="1"/>
  <c r="H40" i="36" l="1"/>
  <c r="H42" i="36" s="1"/>
  <c r="H44" i="36" s="1"/>
  <c r="F6" i="36"/>
  <c r="F10" i="36" s="1"/>
  <c r="F20" i="36" s="1"/>
  <c r="F46" i="36" s="1"/>
  <c r="G42" i="23"/>
  <c r="I40" i="36" l="1"/>
  <c r="J40" i="36" s="1"/>
  <c r="G6" i="36"/>
  <c r="G10" i="36" s="1"/>
  <c r="G20" i="36" s="1"/>
  <c r="G46" i="36" s="1"/>
  <c r="H42" i="23"/>
  <c r="I42" i="36" l="1"/>
  <c r="I44" i="36" s="1"/>
  <c r="K40" i="36"/>
  <c r="J42" i="36"/>
  <c r="J44" i="36" s="1"/>
  <c r="H6" i="36"/>
  <c r="H10" i="36" s="1"/>
  <c r="H20" i="36" s="1"/>
  <c r="H46" i="36" s="1"/>
  <c r="I42" i="23"/>
  <c r="I6" i="36" l="1"/>
  <c r="I10" i="36" s="1"/>
  <c r="I20" i="36" s="1"/>
  <c r="I46" i="36" s="1"/>
  <c r="J42" i="23"/>
  <c r="L40" i="36"/>
  <c r="K42" i="36"/>
  <c r="K44" i="36" s="1"/>
  <c r="M40" i="36" l="1"/>
  <c r="L42" i="36"/>
  <c r="L44" i="36" s="1"/>
  <c r="J6" i="36"/>
  <c r="J10" i="36" s="1"/>
  <c r="J20" i="36" s="1"/>
  <c r="J46" i="36" s="1"/>
  <c r="K42" i="23"/>
  <c r="K6" i="36" l="1"/>
  <c r="K10" i="36" s="1"/>
  <c r="K20" i="36" s="1"/>
  <c r="K46" i="36" s="1"/>
  <c r="L42" i="23"/>
  <c r="N40" i="36"/>
  <c r="M42" i="36"/>
  <c r="M44" i="36" s="1"/>
  <c r="O40" i="36" l="1"/>
  <c r="N42" i="36"/>
  <c r="N44" i="36" s="1"/>
  <c r="L6" i="36"/>
  <c r="L10" i="36" s="1"/>
  <c r="L20" i="36" s="1"/>
  <c r="L46" i="36" s="1"/>
  <c r="M42" i="23"/>
  <c r="M6" i="36" l="1"/>
  <c r="M10" i="36" s="1"/>
  <c r="M20" i="36" s="1"/>
  <c r="M46" i="36" s="1"/>
  <c r="N42" i="23"/>
  <c r="P40" i="36"/>
  <c r="O42" i="36"/>
  <c r="O44" i="36" s="1"/>
  <c r="Q40" i="36" l="1"/>
  <c r="P42" i="36"/>
  <c r="P44" i="36" s="1"/>
  <c r="N6" i="36"/>
  <c r="N10" i="36" s="1"/>
  <c r="N20" i="36" s="1"/>
  <c r="N46" i="36" s="1"/>
  <c r="O42" i="23"/>
  <c r="O6" i="36" l="1"/>
  <c r="O10" i="36" s="1"/>
  <c r="O20" i="36" s="1"/>
  <c r="O46" i="36" s="1"/>
  <c r="P42" i="23"/>
  <c r="R40" i="36"/>
  <c r="Q42" i="36"/>
  <c r="Q44" i="36" s="1"/>
  <c r="S40" i="36" l="1"/>
  <c r="R42" i="36"/>
  <c r="R44" i="36" s="1"/>
  <c r="P6" i="36"/>
  <c r="P10" i="36" s="1"/>
  <c r="P20" i="36" s="1"/>
  <c r="P46" i="36" s="1"/>
  <c r="Q42" i="23"/>
  <c r="Q6" i="36" l="1"/>
  <c r="Q10" i="36" s="1"/>
  <c r="Q20" i="36" s="1"/>
  <c r="Q46" i="36" s="1"/>
  <c r="R42" i="23"/>
  <c r="T40" i="36"/>
  <c r="S42" i="36"/>
  <c r="S44" i="36" s="1"/>
  <c r="R6" i="36" l="1"/>
  <c r="R10" i="36" s="1"/>
  <c r="R20" i="36" s="1"/>
  <c r="R46" i="36" s="1"/>
  <c r="S42" i="23"/>
  <c r="T42" i="36"/>
  <c r="T44" i="36" s="1"/>
  <c r="U40" i="36"/>
  <c r="V40" i="36" l="1"/>
  <c r="U42" i="36"/>
  <c r="U44" i="36" s="1"/>
  <c r="S6" i="36"/>
  <c r="S10" i="36" s="1"/>
  <c r="S20" i="36" s="1"/>
  <c r="S46" i="36" s="1"/>
  <c r="T42" i="23"/>
  <c r="T6" i="36" l="1"/>
  <c r="T10" i="36" s="1"/>
  <c r="T20" i="36" s="1"/>
  <c r="T46" i="36" s="1"/>
  <c r="U42" i="23"/>
  <c r="W40" i="36"/>
  <c r="V42" i="36"/>
  <c r="V44" i="36" s="1"/>
  <c r="U6" i="36" l="1"/>
  <c r="U10" i="36" s="1"/>
  <c r="U20" i="36" s="1"/>
  <c r="U46" i="36" s="1"/>
  <c r="V42" i="23"/>
  <c r="X40" i="36"/>
  <c r="W42" i="36"/>
  <c r="W44" i="36" s="1"/>
  <c r="X42" i="36" l="1"/>
  <c r="X44" i="36" s="1"/>
  <c r="Y40" i="36"/>
  <c r="V6" i="36"/>
  <c r="V10" i="36" s="1"/>
  <c r="V20" i="36" s="1"/>
  <c r="V46" i="36" s="1"/>
  <c r="W42" i="23"/>
  <c r="W6" i="36" l="1"/>
  <c r="W10" i="36" s="1"/>
  <c r="W20" i="36" s="1"/>
  <c r="W46" i="36" s="1"/>
  <c r="X42" i="23"/>
  <c r="Z40" i="36"/>
  <c r="Y42" i="36"/>
  <c r="Y44" i="36" s="1"/>
  <c r="AA40" i="36" l="1"/>
  <c r="AA42" i="36" s="1"/>
  <c r="AA44" i="36" s="1"/>
  <c r="Z42" i="36"/>
  <c r="Z44" i="36" s="1"/>
  <c r="X6" i="36"/>
  <c r="X10" i="36" s="1"/>
  <c r="X20" i="36" s="1"/>
  <c r="X46" i="36" s="1"/>
  <c r="Y42" i="23"/>
  <c r="Y6" i="36" l="1"/>
  <c r="Y10" i="36" s="1"/>
  <c r="Y20" i="36" s="1"/>
  <c r="Y46" i="36" s="1"/>
  <c r="Z42" i="23"/>
  <c r="Z6" i="36" l="1"/>
  <c r="Z10" i="36" s="1"/>
  <c r="Z20" i="36" s="1"/>
  <c r="Z46" i="36" s="1"/>
  <c r="AA42" i="23"/>
  <c r="AA6" i="36" s="1"/>
  <c r="AA10" i="36" s="1"/>
  <c r="AA20" i="36" s="1"/>
  <c r="AA46" i="3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</author>
  </authors>
  <commentList>
    <comment ref="B11" authorId="0" shapeId="0" xr:uid="{9A59760E-A17A-411C-9CC6-B5B4F8D3C2D6}">
      <text>
        <r>
          <rPr>
            <b/>
            <sz val="9"/>
            <color indexed="81"/>
            <rFont val="Tahoma"/>
            <family val="2"/>
          </rPr>
          <t>Francisco:</t>
        </r>
        <r>
          <rPr>
            <sz val="9"/>
            <color indexed="81"/>
            <rFont val="Tahoma"/>
            <family val="2"/>
          </rPr>
          <t xml:space="preserve">
Perdidas, Inventarios, Daños, entre Otros.
Buenas prácticas, Estandares: Nal ó Int</t>
        </r>
      </text>
    </comment>
    <comment ref="B14" authorId="0" shapeId="0" xr:uid="{63AC2B5C-9AB5-4424-AB20-F19E18BF5241}">
      <text>
        <r>
          <rPr>
            <b/>
            <sz val="9"/>
            <color indexed="81"/>
            <rFont val="Tahoma"/>
            <family val="2"/>
          </rPr>
          <t>Francisco:</t>
        </r>
        <r>
          <rPr>
            <sz val="9"/>
            <color indexed="81"/>
            <rFont val="Tahoma"/>
            <family val="2"/>
          </rPr>
          <t xml:space="preserve">
Daños, Perdidas, Tiempo ociosos, otros.</t>
        </r>
      </text>
    </comment>
    <comment ref="B16" authorId="0" shapeId="0" xr:uid="{183D7BB2-38E4-4797-9AAA-DAF2A7D64658}">
      <text>
        <r>
          <rPr>
            <b/>
            <sz val="9"/>
            <color indexed="81"/>
            <rFont val="Tahoma"/>
            <family val="2"/>
          </rPr>
          <t>Francisco:</t>
        </r>
        <r>
          <rPr>
            <sz val="9"/>
            <color indexed="81"/>
            <rFont val="Tahoma"/>
            <family val="2"/>
          </rPr>
          <t xml:space="preserve">
Daños, Perdidas, Tiempo ociosos, otros.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SERVIDOR</author>
  </authors>
  <commentList>
    <comment ref="A9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Va para el Estado de Resultados y para el flujo de caja</t>
        </r>
      </text>
    </comment>
    <comment ref="A94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Va para el Balance General en cada periodo</t>
        </r>
      </text>
    </comment>
    <comment ref="A123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Va para el Estado de Resultados y para el flujo de caja</t>
        </r>
      </text>
    </comment>
    <comment ref="A124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Va para el Balance General en cada periodo</t>
        </r>
      </text>
    </comment>
    <comment ref="A148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Va para el Estado de Resultados y para el flujo de caja</t>
        </r>
      </text>
    </comment>
    <comment ref="A149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Va para el Balance General en cada periodo</t>
        </r>
      </text>
    </comment>
    <comment ref="A182" authorId="0" shapeId="0" xr:uid="{60FD7AB5-93D6-4984-91E8-035E45288370}">
      <text>
        <r>
          <rPr>
            <b/>
            <sz val="9"/>
            <color indexed="81"/>
            <rFont val="Tahoma"/>
            <family val="2"/>
          </rPr>
          <t>Va para el Estado de Resultados y para el flujo de caja</t>
        </r>
      </text>
    </comment>
    <comment ref="A183" authorId="0" shapeId="0" xr:uid="{C6534E6D-84DA-4ECC-8F30-22067B914730}">
      <text>
        <r>
          <rPr>
            <b/>
            <sz val="9"/>
            <color indexed="81"/>
            <rFont val="Tahoma"/>
            <family val="2"/>
          </rPr>
          <t>Va para el Balance General en cada periodo</t>
        </r>
      </text>
    </comment>
    <comment ref="A214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Va para el Estado de Resultados y para el flujo de caja</t>
        </r>
      </text>
    </comment>
    <comment ref="A215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Va para el Balance General en cada periodo</t>
        </r>
      </text>
    </comment>
    <comment ref="A245" authorId="0" shapeId="0" xr:uid="{00000000-0006-0000-0400-000009000000}">
      <text>
        <r>
          <rPr>
            <b/>
            <sz val="9"/>
            <color indexed="81"/>
            <rFont val="Tahoma"/>
            <family val="2"/>
          </rPr>
          <t>Va para el Estado de Resultados y para el flujo de caja</t>
        </r>
      </text>
    </comment>
    <comment ref="A246" authorId="0" shapeId="0" xr:uid="{00000000-0006-0000-0400-00000A000000}">
      <text>
        <r>
          <rPr>
            <b/>
            <sz val="9"/>
            <color indexed="81"/>
            <rFont val="Tahoma"/>
            <family val="2"/>
          </rPr>
          <t>Va para el Balance General en cada periodo</t>
        </r>
      </text>
    </comment>
    <comment ref="A276" authorId="0" shapeId="0" xr:uid="{45ACAD40-4DD8-49EE-B3BC-66E6084D4304}">
      <text>
        <r>
          <rPr>
            <b/>
            <sz val="9"/>
            <color indexed="81"/>
            <rFont val="Tahoma"/>
            <family val="2"/>
          </rPr>
          <t>Va para el Estado de Resultados y para el flujo de caja</t>
        </r>
      </text>
    </comment>
    <comment ref="A277" authorId="0" shapeId="0" xr:uid="{BEC39B04-6A98-417F-A5C9-8434557DDD76}">
      <text>
        <r>
          <rPr>
            <b/>
            <sz val="9"/>
            <color indexed="81"/>
            <rFont val="Tahoma"/>
            <family val="2"/>
          </rPr>
          <t>Va para el Balance General en cada periodo</t>
        </r>
      </text>
    </comment>
    <comment ref="A343" authorId="0" shapeId="0" xr:uid="{00000000-0006-0000-0400-00000B000000}">
      <text>
        <r>
          <rPr>
            <b/>
            <sz val="9"/>
            <color indexed="81"/>
            <rFont val="Tahoma"/>
            <family val="2"/>
          </rPr>
          <t>Va para el Estado de Resultados y para el flujo de caja</t>
        </r>
      </text>
    </comment>
    <comment ref="A344" authorId="0" shapeId="0" xr:uid="{00000000-0006-0000-0400-00000C000000}">
      <text>
        <r>
          <rPr>
            <b/>
            <sz val="9"/>
            <color indexed="81"/>
            <rFont val="Tahoma"/>
            <family val="2"/>
          </rPr>
          <t>Va para el Balance General en cada periodo</t>
        </r>
      </text>
    </comment>
    <comment ref="A373" authorId="0" shapeId="0" xr:uid="{1191D8A4-2392-4199-AFBC-3D77F4FE99B7}">
      <text>
        <r>
          <rPr>
            <b/>
            <sz val="9"/>
            <color indexed="81"/>
            <rFont val="Tahoma"/>
            <family val="2"/>
          </rPr>
          <t>Va para el Estado de Resultados y para el flujo de caja</t>
        </r>
      </text>
    </comment>
    <comment ref="A374" authorId="0" shapeId="0" xr:uid="{CDA4E926-86AC-4427-86CA-0A1915A92BBF}">
      <text>
        <r>
          <rPr>
            <b/>
            <sz val="9"/>
            <color indexed="81"/>
            <rFont val="Tahoma"/>
            <family val="2"/>
          </rPr>
          <t>Va para el Balance General en cada periodo</t>
        </r>
      </text>
    </comment>
    <comment ref="A440" authorId="0" shapeId="0" xr:uid="{DBD99C8B-F8B8-4192-9646-C8DCBF8A7926}">
      <text>
        <r>
          <rPr>
            <b/>
            <sz val="9"/>
            <color indexed="81"/>
            <rFont val="Tahoma"/>
            <family val="2"/>
          </rPr>
          <t>Va para el Estado de Resultados y para el flujo de caja</t>
        </r>
      </text>
    </comment>
    <comment ref="A441" authorId="0" shapeId="0" xr:uid="{9CBEF902-6419-4505-A48C-C517649CCB7E}">
      <text>
        <r>
          <rPr>
            <b/>
            <sz val="9"/>
            <color indexed="81"/>
            <rFont val="Tahoma"/>
            <family val="2"/>
          </rPr>
          <t>Va para el Balance General en cada periodo</t>
        </r>
      </text>
    </comment>
    <comment ref="A470" authorId="0" shapeId="0" xr:uid="{426BB599-C82D-47B3-805A-33F7D0CDC0E5}">
      <text>
        <r>
          <rPr>
            <b/>
            <sz val="9"/>
            <color indexed="81"/>
            <rFont val="Tahoma"/>
            <family val="2"/>
          </rPr>
          <t>Va para el Estado de Resultados y para el flujo de caja</t>
        </r>
      </text>
    </comment>
    <comment ref="A471" authorId="0" shapeId="0" xr:uid="{7D05869F-F279-41C7-A81C-99C2864B5056}">
      <text>
        <r>
          <rPr>
            <b/>
            <sz val="9"/>
            <color indexed="81"/>
            <rFont val="Tahoma"/>
            <family val="2"/>
          </rPr>
          <t>Va para el Balance General en cada periodo</t>
        </r>
      </text>
    </comment>
    <comment ref="A539" authorId="0" shapeId="0" xr:uid="{E9BA469A-E67C-49F2-AC9A-2850538DB0FF}">
      <text>
        <r>
          <rPr>
            <b/>
            <sz val="9"/>
            <color indexed="81"/>
            <rFont val="Tahoma"/>
            <family val="2"/>
          </rPr>
          <t>Va para el Estado de Resultados y para el flujo de caja</t>
        </r>
      </text>
    </comment>
    <comment ref="A540" authorId="0" shapeId="0" xr:uid="{35FBFD25-38AE-4942-83E5-5CB1D3A7579F}">
      <text>
        <r>
          <rPr>
            <b/>
            <sz val="9"/>
            <color indexed="81"/>
            <rFont val="Tahoma"/>
            <family val="2"/>
          </rPr>
          <t>Va para el Balance General en cada periodo</t>
        </r>
      </text>
    </comment>
    <comment ref="A569" authorId="0" shapeId="0" xr:uid="{8D4ADDC6-A545-43BF-830C-8045B2F03789}">
      <text>
        <r>
          <rPr>
            <b/>
            <sz val="9"/>
            <color indexed="81"/>
            <rFont val="Tahoma"/>
            <family val="2"/>
          </rPr>
          <t>Va para el Estado de Resultados y para el flujo de caja</t>
        </r>
      </text>
    </comment>
    <comment ref="A570" authorId="0" shapeId="0" xr:uid="{B6A4622D-DA16-4E6B-A009-14FD0EAD94A2}">
      <text>
        <r>
          <rPr>
            <b/>
            <sz val="9"/>
            <color indexed="81"/>
            <rFont val="Tahoma"/>
            <family val="2"/>
          </rPr>
          <t>Va para el Balance General en cada periodo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<sst xmlns="http://schemas.openxmlformats.org/spreadsheetml/2006/main" count="986" uniqueCount="411">
  <si>
    <t>FLUJO DE CAJA DEL PROYECTO</t>
  </si>
  <si>
    <t>Ingresos por ventas</t>
  </si>
  <si>
    <t>Costos de operacion</t>
  </si>
  <si>
    <t>Depreciacion operativa</t>
  </si>
  <si>
    <t>Amortizacion operativa</t>
  </si>
  <si>
    <t>OPERATIVO</t>
  </si>
  <si>
    <t>+</t>
  </si>
  <si>
    <t>-</t>
  </si>
  <si>
    <t>=</t>
  </si>
  <si>
    <t>UTILIDAD BRUTA</t>
  </si>
  <si>
    <t>Gastos de administracion</t>
  </si>
  <si>
    <t>Gastos de Ventas</t>
  </si>
  <si>
    <t>astos de distribucion</t>
  </si>
  <si>
    <t>Depreciacion admon/; dist/; ventas</t>
  </si>
  <si>
    <t>Amorticiacion admon/; dist/; ventas</t>
  </si>
  <si>
    <t>UTILIDAD OPERATIVA</t>
  </si>
  <si>
    <t>Administracion; Distribucion y Ventas</t>
  </si>
  <si>
    <t>Ingresos no operacionales</t>
  </si>
  <si>
    <t>Egresos no operacionales</t>
  </si>
  <si>
    <t>Utilidad antes de intereses e impuestos - UAII</t>
  </si>
  <si>
    <t>Financiero</t>
  </si>
  <si>
    <t>Valor en libros de los activos vendidos</t>
  </si>
  <si>
    <t>Utilidad antes de impuestos - UAI</t>
  </si>
  <si>
    <t>Impositiva</t>
  </si>
  <si>
    <t>Impuestos</t>
  </si>
  <si>
    <t>Utilidad Neta - UN</t>
  </si>
  <si>
    <t>+/-</t>
  </si>
  <si>
    <t>Variacion en el capital de trabajo</t>
  </si>
  <si>
    <t>Inversion en activos</t>
  </si>
  <si>
    <t>Recuperacion del capital de trabajo</t>
  </si>
  <si>
    <t>Flujo de caja del proyecto</t>
  </si>
  <si>
    <t>FLUJO DE CAJA DEL INVERSIONISTA</t>
  </si>
  <si>
    <t>Gastos financieros</t>
  </si>
  <si>
    <t>Pago a capital (amortizacion capital)</t>
  </si>
  <si>
    <t>Ingresos por prestamos (Desembolsos)</t>
  </si>
  <si>
    <t>Flujo de caja del inversionista</t>
  </si>
  <si>
    <t>Item</t>
  </si>
  <si>
    <t>Variable</t>
  </si>
  <si>
    <t>Periodos</t>
  </si>
  <si>
    <t>Ingresos</t>
  </si>
  <si>
    <t>Produccion</t>
  </si>
  <si>
    <t>Precio</t>
  </si>
  <si>
    <t>Incremento Precio</t>
  </si>
  <si>
    <t>Operativos</t>
  </si>
  <si>
    <t>TOTAL INGRESOS</t>
  </si>
  <si>
    <t>Egresos</t>
  </si>
  <si>
    <t>Costos Fijos</t>
  </si>
  <si>
    <t>Incremento CF</t>
  </si>
  <si>
    <t>Costos Variables</t>
  </si>
  <si>
    <t>Costo Mano de Obra</t>
  </si>
  <si>
    <t>Materiales</t>
  </si>
  <si>
    <t>Costos Indirectos</t>
  </si>
  <si>
    <t>Gastos de ventas fijos</t>
  </si>
  <si>
    <t>Gastos de ventas variables</t>
  </si>
  <si>
    <t>Gastos de Administracion</t>
  </si>
  <si>
    <t>Intereses</t>
  </si>
  <si>
    <t>Utilidad Neta</t>
  </si>
  <si>
    <t xml:space="preserve"> + Prestamos</t>
  </si>
  <si>
    <t>- Inversiones</t>
  </si>
  <si>
    <t>Total inversiones</t>
  </si>
  <si>
    <t>- Amortizacion a Capital</t>
  </si>
  <si>
    <t>TIO</t>
  </si>
  <si>
    <t>TIR</t>
  </si>
  <si>
    <t>VPN</t>
  </si>
  <si>
    <t>R-B/C</t>
  </si>
  <si>
    <t>Tasa</t>
  </si>
  <si>
    <t>n</t>
  </si>
  <si>
    <t>Cuotas Uniformes</t>
  </si>
  <si>
    <t>Cuota</t>
  </si>
  <si>
    <t>Abono a K</t>
  </si>
  <si>
    <t>Abono a I</t>
  </si>
  <si>
    <t>Saldo</t>
  </si>
  <si>
    <t>Abono constante a capital</t>
  </si>
  <si>
    <t>Abono intereses en cada periodo</t>
  </si>
  <si>
    <t>Pago de capital al final del periodo</t>
  </si>
  <si>
    <t>Abono de intereses en cada periodo</t>
  </si>
  <si>
    <t>Pago de capital final del periodo</t>
  </si>
  <si>
    <t>RBC</t>
  </si>
  <si>
    <t>$</t>
  </si>
  <si>
    <t>%</t>
  </si>
  <si>
    <t xml:space="preserve">Incremento </t>
  </si>
  <si>
    <t>TOTAL EGRESOS</t>
  </si>
  <si>
    <t>Ingresos Operativos</t>
  </si>
  <si>
    <t>Ingresos No Operativos</t>
  </si>
  <si>
    <t>Gastos de distribucion</t>
  </si>
  <si>
    <t>Monto del prestamo</t>
  </si>
  <si>
    <t>Gradiente aritmetico creciente</t>
  </si>
  <si>
    <t>VPN Acumulado en el Tiempo</t>
  </si>
  <si>
    <t>SDA</t>
  </si>
  <si>
    <t>Periodos proyectados</t>
  </si>
  <si>
    <t>Valor Residual</t>
  </si>
  <si>
    <t>Años a proyectar</t>
  </si>
  <si>
    <t>Periodos a Depreciar</t>
  </si>
  <si>
    <t>Periodos/depreciación</t>
  </si>
  <si>
    <t>Digito</t>
  </si>
  <si>
    <t>Gasto Depreciacion</t>
  </si>
  <si>
    <t>Depreciación Acumulada</t>
  </si>
  <si>
    <t>Linea Recta</t>
  </si>
  <si>
    <t>Valor en libros</t>
  </si>
  <si>
    <t>Valor Residual Acumulado</t>
  </si>
  <si>
    <t>Terrenos</t>
  </si>
  <si>
    <t>Descuento</t>
  </si>
  <si>
    <t>TIRM</t>
  </si>
  <si>
    <t>Reinversión</t>
  </si>
  <si>
    <t>Análisis de sensibilidad</t>
  </si>
  <si>
    <t>BAUE</t>
  </si>
  <si>
    <t>Intercepción VPN</t>
  </si>
  <si>
    <t>Pendiente VPN</t>
  </si>
  <si>
    <t>P</t>
  </si>
  <si>
    <t>ELASTICIDAD</t>
  </si>
  <si>
    <t>Dif VPN</t>
  </si>
  <si>
    <t>Dif Precio</t>
  </si>
  <si>
    <t>VPN Medio</t>
  </si>
  <si>
    <t>Precio Medio</t>
  </si>
  <si>
    <t>Elasticidad</t>
  </si>
  <si>
    <t>Flujo de Caja</t>
  </si>
  <si>
    <t>Total Otros</t>
  </si>
  <si>
    <t>Gradiente Aritmetico</t>
  </si>
  <si>
    <t>Gradiente Aritmetico Decreciente</t>
  </si>
  <si>
    <t>Gradiente Aritmetico Creciente</t>
  </si>
  <si>
    <t>Gradiente aritmetico decreciente</t>
  </si>
  <si>
    <t>Gradiente Geometrico Creciente</t>
  </si>
  <si>
    <t>Gradiente Geometrico Decreciente</t>
  </si>
  <si>
    <t>Valor del activo</t>
  </si>
  <si>
    <t>Valor de salvamento</t>
  </si>
  <si>
    <t>Tasa depreciación</t>
  </si>
  <si>
    <t>Reducción de Saldos</t>
  </si>
  <si>
    <t>Tasa de Descuento</t>
  </si>
  <si>
    <t>Otros Ingresos</t>
  </si>
  <si>
    <t>Otros Egresos</t>
  </si>
  <si>
    <t>Costos</t>
  </si>
  <si>
    <t>COSTOS</t>
  </si>
  <si>
    <t>Total Gastos de Ventas</t>
  </si>
  <si>
    <t>Total Gastos de Administración</t>
  </si>
  <si>
    <t>TOTAL COSTOS</t>
  </si>
  <si>
    <t>Gastos Administrativos</t>
  </si>
  <si>
    <t>TOTAL GASTOS</t>
  </si>
  <si>
    <t>Gastos</t>
  </si>
  <si>
    <t>EBITDA</t>
  </si>
  <si>
    <t>Renta</t>
  </si>
  <si>
    <t>Gradiente Geometico</t>
  </si>
  <si>
    <t>Costos de Materiales</t>
  </si>
  <si>
    <t>Costos Mano de Obra</t>
  </si>
  <si>
    <t>Saldos Insolutos</t>
  </si>
  <si>
    <t>Deterioro</t>
  </si>
  <si>
    <t>Financiación</t>
  </si>
  <si>
    <t>Licencias</t>
  </si>
  <si>
    <t>GASTOS</t>
  </si>
  <si>
    <t>A34</t>
  </si>
  <si>
    <t>Menu</t>
  </si>
  <si>
    <t>K de W</t>
  </si>
  <si>
    <t>Variación del K de W</t>
  </si>
  <si>
    <t>FCN</t>
  </si>
  <si>
    <t>Depreciación</t>
  </si>
  <si>
    <t>Cantidades a vender</t>
  </si>
  <si>
    <t>Incremento en %</t>
  </si>
  <si>
    <t>Incremento en Cantidades</t>
  </si>
  <si>
    <t>FLUJO DE TESORERIA</t>
  </si>
  <si>
    <t>INGRESOS</t>
  </si>
  <si>
    <t>Ingresos Ventas del Periodo</t>
  </si>
  <si>
    <t>Ingresos Ventas Periodos Anteriores</t>
  </si>
  <si>
    <t>CxC</t>
  </si>
  <si>
    <t>Recaudo</t>
  </si>
  <si>
    <t>Aportes Socios</t>
  </si>
  <si>
    <t>Prestamos Recibidos</t>
  </si>
  <si>
    <t>Valor residual</t>
  </si>
  <si>
    <t>Total Ingresos</t>
  </si>
  <si>
    <t>EGRESOS</t>
  </si>
  <si>
    <t>Compras Materia Primas - CMV</t>
  </si>
  <si>
    <t>Compras Materia Primas Periodos Anteriores</t>
  </si>
  <si>
    <t>Gastos de Administración</t>
  </si>
  <si>
    <t>Gasto de Venta</t>
  </si>
  <si>
    <t>Cfijos</t>
  </si>
  <si>
    <t>Intereses Prestamos</t>
  </si>
  <si>
    <t>Abono a Capital</t>
  </si>
  <si>
    <t>Reparticion Utilidades</t>
  </si>
  <si>
    <t>Total Egresos</t>
  </si>
  <si>
    <t>SALDO CAJA PERIODO</t>
  </si>
  <si>
    <t>CAJA ACUMULADO</t>
  </si>
  <si>
    <t>Inventario</t>
  </si>
  <si>
    <t>TOTAL INVERSIONES ACUMULADA</t>
  </si>
  <si>
    <t>TOTAL INVERSIONES TANGIBLES</t>
  </si>
  <si>
    <t>TOTAL INVERSIONES INTANGIBLES</t>
  </si>
  <si>
    <t>Valor Residual Tangibles</t>
  </si>
  <si>
    <t>Valor Residual Intangibles</t>
  </si>
  <si>
    <t>Contado</t>
  </si>
  <si>
    <t>Credito</t>
  </si>
  <si>
    <t>Diás</t>
  </si>
  <si>
    <t>Días año</t>
  </si>
  <si>
    <t>Dias del año</t>
  </si>
  <si>
    <t>CxP</t>
  </si>
  <si>
    <t>Pagos</t>
  </si>
  <si>
    <t>Justo a Tiempo</t>
  </si>
  <si>
    <t>FLUJO DE CAJA LIBRE</t>
  </si>
  <si>
    <t>(+) Depreciacion</t>
  </si>
  <si>
    <t>(+) Amortización</t>
  </si>
  <si>
    <t>(+) Intereses</t>
  </si>
  <si>
    <t>(+) Impuestos</t>
  </si>
  <si>
    <t>F CAJA BRUTO</t>
  </si>
  <si>
    <t>(-) Incremento KTNO</t>
  </si>
  <si>
    <t>(-) Reposición en Activos Fijos</t>
  </si>
  <si>
    <t>(-)Impuestos</t>
  </si>
  <si>
    <t>F CAJA LIBRE</t>
  </si>
  <si>
    <t>(-) Impuestos</t>
  </si>
  <si>
    <t>SALDO FINAL DE CAJA</t>
  </si>
  <si>
    <t>(-) Aportes de Socios</t>
  </si>
  <si>
    <t>(-) Prestamos Recibidos</t>
  </si>
  <si>
    <t>(+) Abono a Capital</t>
  </si>
  <si>
    <t>(+) Intereses Prestamos</t>
  </si>
  <si>
    <t>(+) Dividendos Pagados</t>
  </si>
  <si>
    <t>VNA</t>
  </si>
  <si>
    <t>B/C</t>
  </si>
  <si>
    <t>Tasa de Reinversión</t>
  </si>
  <si>
    <t>FLUJO de CAJA NETO</t>
  </si>
  <si>
    <t>(+) Prestamos</t>
  </si>
  <si>
    <t>(-) Pago de capital</t>
  </si>
  <si>
    <t>(-) Intereses</t>
  </si>
  <si>
    <t>Analisis de Sensibilidad Variando TIO</t>
  </si>
  <si>
    <t>TVR</t>
  </si>
  <si>
    <t>R(B/C)</t>
  </si>
  <si>
    <t>Analisis de Sensibilidad Variando Reposición del Activo</t>
  </si>
  <si>
    <t>Reposición</t>
  </si>
  <si>
    <t>Analisis de sensibilidad variando precio</t>
  </si>
  <si>
    <t>Analisis de sensibilidad variando deuda</t>
  </si>
  <si>
    <t>Inversion</t>
  </si>
  <si>
    <t>Rec propios</t>
  </si>
  <si>
    <t>Deuda</t>
  </si>
  <si>
    <t>Prueba</t>
  </si>
  <si>
    <t>COSTO PROMEDIO PONDERADO DE LOS RECURSOS (WACC)</t>
  </si>
  <si>
    <t>CP</t>
  </si>
  <si>
    <t>Total pasivo y patrimonio</t>
  </si>
  <si>
    <t>Participación</t>
  </si>
  <si>
    <t>Costo promedio ponderado</t>
  </si>
  <si>
    <t>Caso Capitulo 5</t>
  </si>
  <si>
    <t>Tasa por periodo</t>
  </si>
  <si>
    <t>PRESUPUESTOS</t>
  </si>
  <si>
    <t>RESULTADOS</t>
  </si>
  <si>
    <t>MENU</t>
  </si>
  <si>
    <t>Politica de Inventarios</t>
  </si>
  <si>
    <t>Estudios</t>
  </si>
  <si>
    <t>PESOS</t>
  </si>
  <si>
    <t>TASA DE REINVERSION</t>
  </si>
  <si>
    <t>R - B/C</t>
  </si>
  <si>
    <t>La TIR es menor que la TIO propuesta y el VPN del proyecto es menor a cero. Esto indica que el proyecto no es rentable</t>
  </si>
  <si>
    <t>Como se tiene una relacion beneficio - costo menor a uno se puede decir que no es favorable economicamene el proyecto.</t>
  </si>
  <si>
    <t>El costo anual del proyecto según el CAUE es de poco más de $1.000.000</t>
  </si>
  <si>
    <t>Producto 1</t>
  </si>
  <si>
    <t>Producto 2</t>
  </si>
  <si>
    <t>Producto 3</t>
  </si>
  <si>
    <t>Producto 4</t>
  </si>
  <si>
    <t>Producto 5</t>
  </si>
  <si>
    <t>TOTAL INGRESOS OPERATIVOS</t>
  </si>
  <si>
    <t>Ingresos Operativos producto 5</t>
  </si>
  <si>
    <t>Ingresos Operativos producto 4</t>
  </si>
  <si>
    <t>Ingresos Operativos producto 3</t>
  </si>
  <si>
    <t>Ingresos Operativos producto 2</t>
  </si>
  <si>
    <t>Ingresos Operativos producto 1</t>
  </si>
  <si>
    <t xml:space="preserve">COSTOS </t>
  </si>
  <si>
    <t>Total Costos Fijos producto 2</t>
  </si>
  <si>
    <t>Total Costos Variables producto 1</t>
  </si>
  <si>
    <t>Total Costos Variables producto 2</t>
  </si>
  <si>
    <t>Total Costos Fijos producto 3</t>
  </si>
  <si>
    <t>Total Costos Variables producto 3</t>
  </si>
  <si>
    <t>Total Costos Fijos producto 4</t>
  </si>
  <si>
    <t>Total Costos Variables producto 4</t>
  </si>
  <si>
    <t>Total Costos Fijos producto 5</t>
  </si>
  <si>
    <t>Total Costos Variables producto 5</t>
  </si>
  <si>
    <t>Total costos variables</t>
  </si>
  <si>
    <t>Total costos fijos</t>
  </si>
  <si>
    <t>OF Y TERRENOS 1</t>
  </si>
  <si>
    <t>OF Y TERRENOS 2</t>
  </si>
  <si>
    <t>OF Y TERRENOS 3</t>
  </si>
  <si>
    <t>Maquinaria 1</t>
  </si>
  <si>
    <t>Maquinaria 2</t>
  </si>
  <si>
    <t>Maquinaria 3</t>
  </si>
  <si>
    <t>Empaques 1</t>
  </si>
  <si>
    <t>Empaques 2</t>
  </si>
  <si>
    <t>Empaques 3</t>
  </si>
  <si>
    <t>Herramientas 1</t>
  </si>
  <si>
    <t>Herramientas 2</t>
  </si>
  <si>
    <t>Herramientas 3</t>
  </si>
  <si>
    <t>Equipos de computo 1</t>
  </si>
  <si>
    <t>Equipos de computo 2</t>
  </si>
  <si>
    <t>Equipos de computo 3</t>
  </si>
  <si>
    <t>Politica de Comercial Ventas producto 1</t>
  </si>
  <si>
    <t>Politica de Comercial Ventas producto 2</t>
  </si>
  <si>
    <t>Politica de Comercial Ventas producto 3</t>
  </si>
  <si>
    <t>Politica de Comercial Ventas producto 4</t>
  </si>
  <si>
    <t>Politica de Comercial Ventas producto 5</t>
  </si>
  <si>
    <t>Cuentas por cobrar</t>
  </si>
  <si>
    <t>Cuentas por pagar</t>
  </si>
  <si>
    <t>Politica de Pagos a Proveedores producto 1</t>
  </si>
  <si>
    <t>Politica de Pagos a Proveedores producto 5</t>
  </si>
  <si>
    <t>Politica de Pagos a Proveedores producto 4</t>
  </si>
  <si>
    <t>Politica de Pagos a Proveedores producto 3</t>
  </si>
  <si>
    <t>Politica de Pagos a Proveedores producto 2</t>
  </si>
  <si>
    <t>Total cuentas por pagar</t>
  </si>
  <si>
    <t>Total cuentas por cobrar</t>
  </si>
  <si>
    <t>Leasing</t>
  </si>
  <si>
    <t>Renting</t>
  </si>
  <si>
    <t>Unidades producidas</t>
  </si>
  <si>
    <t>Franquicias</t>
  </si>
  <si>
    <t>Costo depreciacion</t>
  </si>
  <si>
    <t>Depreciacion acumulada</t>
  </si>
  <si>
    <t>Porcentaje de compra</t>
  </si>
  <si>
    <t>Saldo cuotas</t>
  </si>
  <si>
    <t>Saldo total</t>
  </si>
  <si>
    <t>Valor de compra</t>
  </si>
  <si>
    <t>Producción producto 2</t>
  </si>
  <si>
    <t>Producción producto 3</t>
  </si>
  <si>
    <t>Producción producto 4</t>
  </si>
  <si>
    <t>Producción producto 5</t>
  </si>
  <si>
    <t>Precio Base producto 2</t>
  </si>
  <si>
    <t>Precio Base producto 3</t>
  </si>
  <si>
    <t>Precio Base producto 4</t>
  </si>
  <si>
    <t>Precio Base producto 5</t>
  </si>
  <si>
    <t>Costos Fijos producto 1</t>
  </si>
  <si>
    <t>Costos Variables producto 2</t>
  </si>
  <si>
    <t>Costos Variables producto 1</t>
  </si>
  <si>
    <t>Costos Fijos producto 2</t>
  </si>
  <si>
    <t>Costos Fijos producto 3</t>
  </si>
  <si>
    <t>Costos Variables producto 3</t>
  </si>
  <si>
    <t>Costos Fijos producto 4</t>
  </si>
  <si>
    <t>Costos Variables producto 4</t>
  </si>
  <si>
    <t>Costos Fijos producto 5</t>
  </si>
  <si>
    <t>Costos Variables producto 5</t>
  </si>
  <si>
    <t>,</t>
  </si>
  <si>
    <t>Capital de trabajo necesario</t>
  </si>
  <si>
    <t>Periodicidad</t>
  </si>
  <si>
    <t>Tasa inicial</t>
  </si>
  <si>
    <t>Periodicidad inicial</t>
  </si>
  <si>
    <t>Tasa final</t>
  </si>
  <si>
    <t>Periodicidad final</t>
  </si>
  <si>
    <t>Mensual</t>
  </si>
  <si>
    <t>Anual</t>
  </si>
  <si>
    <t>Tasa conversion</t>
  </si>
  <si>
    <t>Factor conversion</t>
  </si>
  <si>
    <t>Financiacion</t>
  </si>
  <si>
    <t>Ventas</t>
  </si>
  <si>
    <t>Inventarios</t>
  </si>
  <si>
    <t>J a Tiempo</t>
  </si>
  <si>
    <t>Rotación</t>
  </si>
  <si>
    <t>´= 0</t>
  </si>
  <si>
    <t>(+)</t>
  </si>
  <si>
    <t>(-)</t>
  </si>
  <si>
    <r>
      <t xml:space="preserve">Cantidades a vender </t>
    </r>
    <r>
      <rPr>
        <b/>
        <sz val="12"/>
        <color theme="5" tint="-0.249977111117893"/>
        <rFont val="Calibri"/>
        <family val="2"/>
        <scheme val="minor"/>
      </rPr>
      <t>Q</t>
    </r>
  </si>
  <si>
    <r>
      <t xml:space="preserve">Precio </t>
    </r>
    <r>
      <rPr>
        <b/>
        <sz val="11"/>
        <color theme="5" tint="-0.249977111117893"/>
        <rFont val="Calibri"/>
        <family val="2"/>
        <scheme val="minor"/>
      </rPr>
      <t>P</t>
    </r>
  </si>
  <si>
    <t>P * Q</t>
  </si>
  <si>
    <t>INVERSIONES</t>
  </si>
  <si>
    <t>Empaques y Herramientas</t>
  </si>
  <si>
    <t>Equipos de Computo, Comunicaciones, Redes de Datos</t>
  </si>
  <si>
    <t>TANGIBLES</t>
  </si>
  <si>
    <t>INTANGIBLES</t>
  </si>
  <si>
    <t>DEPRECIACIONES</t>
  </si>
  <si>
    <t>Ingresos producto 2</t>
  </si>
  <si>
    <t>Ingresos producto 3</t>
  </si>
  <si>
    <t>Ingresos producto 4</t>
  </si>
  <si>
    <t>Ingresos producto 5</t>
  </si>
  <si>
    <t>Depreciaciones y Amortizaciones</t>
  </si>
  <si>
    <t>Total Depreciaciones y Amortizaciones</t>
  </si>
  <si>
    <t>Depreciaciones y Amortizacion acumulada</t>
  </si>
  <si>
    <t>5 años</t>
  </si>
  <si>
    <t>Precio Base</t>
  </si>
  <si>
    <t>Ingreso</t>
  </si>
  <si>
    <r>
      <t xml:space="preserve">Producción producto 1 </t>
    </r>
    <r>
      <rPr>
        <b/>
        <sz val="11"/>
        <color theme="9" tint="-0.249977111117893"/>
        <rFont val="Calibri"/>
        <family val="2"/>
        <scheme val="minor"/>
      </rPr>
      <t>Q</t>
    </r>
  </si>
  <si>
    <r>
      <t xml:space="preserve">Precio Base producto 1 </t>
    </r>
    <r>
      <rPr>
        <b/>
        <sz val="11"/>
        <color theme="9" tint="-0.249977111117893"/>
        <rFont val="Calibri"/>
        <family val="2"/>
        <scheme val="minor"/>
      </rPr>
      <t>P</t>
    </r>
  </si>
  <si>
    <r>
      <t xml:space="preserve">Ingresos producto 1 </t>
    </r>
    <r>
      <rPr>
        <b/>
        <sz val="11"/>
        <color theme="9" tint="-0.249977111117893"/>
        <rFont val="Calibri"/>
        <family val="2"/>
        <scheme val="minor"/>
      </rPr>
      <t>P*Q</t>
    </r>
  </si>
  <si>
    <r>
      <t xml:space="preserve">UTILIDA BRUTA = </t>
    </r>
    <r>
      <rPr>
        <b/>
        <sz val="11"/>
        <color theme="9" tint="-0.249977111117893"/>
        <rFont val="Calibri"/>
        <family val="2"/>
        <scheme val="minor"/>
      </rPr>
      <t>Ingresos - Costos</t>
    </r>
  </si>
  <si>
    <r>
      <t xml:space="preserve">EBITDA = </t>
    </r>
    <r>
      <rPr>
        <b/>
        <sz val="11"/>
        <color theme="9" tint="-0.249977111117893"/>
        <rFont val="Calibri"/>
        <family val="2"/>
        <scheme val="minor"/>
      </rPr>
      <t>Utilidad Bruta - Gastos</t>
    </r>
  </si>
  <si>
    <r>
      <t xml:space="preserve">UTILIDAD OPERATIVA (EBIT) </t>
    </r>
    <r>
      <rPr>
        <b/>
        <sz val="11"/>
        <color theme="9" tint="-0.249977111117893"/>
        <rFont val="Calibri"/>
        <family val="2"/>
        <scheme val="minor"/>
      </rPr>
      <t>= EBITDA - Depreciaciones y Amortizaciones</t>
    </r>
  </si>
  <si>
    <r>
      <t xml:space="preserve">UAI </t>
    </r>
    <r>
      <rPr>
        <b/>
        <sz val="11"/>
        <color theme="9" tint="-0.249977111117893"/>
        <rFont val="Calibri"/>
        <family val="2"/>
        <scheme val="minor"/>
      </rPr>
      <t>= Utilidad Operartiva - Intereses</t>
    </r>
  </si>
  <si>
    <r>
      <t xml:space="preserve">Utilidad Neta </t>
    </r>
    <r>
      <rPr>
        <b/>
        <sz val="11"/>
        <color theme="9" tint="-0.249977111117893"/>
        <rFont val="Calibri"/>
        <family val="2"/>
        <scheme val="minor"/>
      </rPr>
      <t>= UAI - Impuestos</t>
    </r>
  </si>
  <si>
    <r>
      <t xml:space="preserve">+ Total Depreciaciones y Amortizaciones. </t>
    </r>
    <r>
      <rPr>
        <b/>
        <sz val="11"/>
        <color theme="9" tint="-0.249977111117893"/>
        <rFont val="Calibri"/>
        <family val="2"/>
        <scheme val="minor"/>
      </rPr>
      <t>NO son salidas reales de Caja</t>
    </r>
  </si>
  <si>
    <t>BALANCE GENERAL</t>
  </si>
  <si>
    <t>ACTIVO</t>
  </si>
  <si>
    <t>Efectivo</t>
  </si>
  <si>
    <t>Cuentas x Cobrar</t>
  </si>
  <si>
    <t>Inversiones</t>
  </si>
  <si>
    <t>TOTAL ACTIVO CORRIENTE</t>
  </si>
  <si>
    <t>Activo Fijo Bruto</t>
  </si>
  <si>
    <t>Depreciacion Acumulada</t>
  </si>
  <si>
    <t>TOTAL ACTIVO FIJO NETO</t>
  </si>
  <si>
    <t>TOTAL OTROS ACTIVOS</t>
  </si>
  <si>
    <t>TOTAL ACTIVOS</t>
  </si>
  <si>
    <t>PASIVO</t>
  </si>
  <si>
    <t>Cuentas x Pagar</t>
  </si>
  <si>
    <t>Impuesto por Pagar</t>
  </si>
  <si>
    <t>Obligaciones Bancarias</t>
  </si>
  <si>
    <t>TOTAL PASIVO CORRIENTE</t>
  </si>
  <si>
    <t>TOTAL PASIVO LARGO PLAZO</t>
  </si>
  <si>
    <t>TOTAL PASIVOS</t>
  </si>
  <si>
    <t>PATRIMONIO</t>
  </si>
  <si>
    <t>Capital</t>
  </si>
  <si>
    <t>Utilidades del Ejercicio</t>
  </si>
  <si>
    <t>Utilidades Retenidas</t>
  </si>
  <si>
    <t>TOTAL PATRIMONIO</t>
  </si>
  <si>
    <t>TOTAL PASIVO + PATRIMONIO</t>
  </si>
  <si>
    <t>PRUEBA</t>
  </si>
  <si>
    <r>
      <t xml:space="preserve">Costos Variables </t>
    </r>
    <r>
      <rPr>
        <b/>
        <sz val="11"/>
        <color theme="9" tint="-0.499984740745262"/>
        <rFont val="Calibri"/>
        <family val="2"/>
        <scheme val="minor"/>
      </rPr>
      <t>Cu * Q´</t>
    </r>
  </si>
  <si>
    <t>Adecuación de Infraestructura</t>
  </si>
  <si>
    <t xml:space="preserve"> Equipos, Muebles y Enseres</t>
  </si>
  <si>
    <t>Operación</t>
  </si>
  <si>
    <t>Total Costos Fijos Operación</t>
  </si>
  <si>
    <t>RPC</t>
  </si>
  <si>
    <t>Publicidad</t>
  </si>
  <si>
    <t>Muebles y enseres</t>
  </si>
  <si>
    <t>Articulos de cocina</t>
  </si>
  <si>
    <t xml:space="preserve">Elementos de terapias </t>
  </si>
  <si>
    <t xml:space="preserve">Elementos para danza e instrumentos musicales </t>
  </si>
  <si>
    <t>Gastos de Publicidad</t>
  </si>
  <si>
    <t>Total Gastos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</si>
</sst>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5" formatCode="&quot;$&quot;\ #,##0_);[Red]\(&quot;$&quot;\ #,##0\)"/>
    <numFmt numFmtId="166" formatCode="&quot;$&quot;\ #,##0.00_);[Red]\(&quot;$&quot;\ #,##0.00\)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&quot;$&quot;#,##0.00_);[Red]\(&quot;$&quot;#,##0.00\)"/>
    <numFmt numFmtId="170" formatCode="_(&quot;$&quot;* #,##0.00_);_(&quot;$&quot;* \(#,##0.00\);_(&quot;$&quot;* &quot;-&quot;??_);_(@_)"/>
    <numFmt numFmtId="171" formatCode="_(&quot;$&quot;* #,##0_);_(&quot;$&quot;* \(#,##0\);_(&quot;$&quot;* &quot;-&quot;??_);_(@_)"/>
    <numFmt numFmtId="172" formatCode="&quot;$&quot;\ #,##0.00"/>
    <numFmt numFmtId="173" formatCode="0.00000"/>
    <numFmt numFmtId="174" formatCode="_-* #,##0\ _€_-;\-* #,##0\ _€_-;_-* &quot;-&quot;??\ _€_-;_-@_-"/>
    <numFmt numFmtId="175" formatCode="_([$$-240A]\ * #,##0_);_([$$-240A]\ * \(#,##0\);_([$$-240A]\ * &quot;-&quot;??_);_(@_)"/>
    <numFmt numFmtId="176" formatCode="_(* #,##0_);_(* \(#,##0\);_(* &quot;-&quot;??_);_(@_)"/>
    <numFmt numFmtId="177" formatCode="0.000%"/>
    <numFmt numFmtId="178" formatCode="_-&quot;$&quot;* #,##0_-;\-&quot;$&quot;* #,##0_-;_-&quot;$&quot;* &quot;-&quot;??_-;_-@_-"/>
    <numFmt numFmtId="179" formatCode="0.0%"/>
    <numFmt numFmtId="180" formatCode="[$$-540A]#,##0_ ;[Red]\-[$$-540A]#,##0\ "/>
    <numFmt numFmtId="181" formatCode="#,##0.000_ ;[Red]\-#,##0.000\ "/>
    <numFmt numFmtId="182" formatCode="_(&quot;$&quot;\ * #,##0_);_(&quot;$&quot;\ * \(#,##0\);_(&quot;$&quot;\ * &quot;-&quot;??_);_(@_)"/>
    <numFmt numFmtId="183" formatCode="0.0000%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8"/>
      <color theme="4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10"/>
      <name val="Arial"/>
      <family val="2"/>
    </font>
    <font>
      <b/>
      <sz val="16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0"/>
      <name val="Calibri"/>
      <family val="2"/>
      <scheme val="minor"/>
    </font>
    <font>
      <b/>
      <u/>
      <sz val="24"/>
      <color theme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0"/>
      <color indexed="9"/>
      <name val="Arial"/>
      <family val="2"/>
    </font>
    <font>
      <b/>
      <sz val="20"/>
      <color theme="1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color theme="1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color rgb="FF00B050"/>
      <name val="Arial"/>
      <family val="2"/>
    </font>
    <font>
      <b/>
      <sz val="14"/>
      <color theme="1"/>
      <name val="Arial"/>
      <family val="2"/>
    </font>
    <font>
      <b/>
      <u/>
      <sz val="14"/>
      <color theme="10"/>
      <name val="Arial"/>
      <family val="2"/>
    </font>
    <font>
      <b/>
      <u/>
      <sz val="16"/>
      <color theme="10"/>
      <name val="Arial"/>
      <family val="2"/>
    </font>
    <font>
      <u/>
      <sz val="14"/>
      <color theme="10"/>
      <name val="Arial"/>
      <family val="2"/>
    </font>
    <font>
      <b/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6"/>
      <color rgb="FF00B05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  <font>
      <b/>
      <sz val="24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24"/>
      <color rgb="FF0070C0"/>
      <name val="Calibri"/>
      <family val="2"/>
      <scheme val="minor"/>
    </font>
    <font>
      <b/>
      <sz val="26"/>
      <name val="Calibri"/>
      <family val="2"/>
      <scheme val="minor"/>
    </font>
    <font>
      <sz val="2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0"/>
      <color theme="3"/>
      <name val="Arial"/>
      <family val="2"/>
    </font>
    <font>
      <b/>
      <sz val="10"/>
      <color rgb="FFFF0000"/>
      <name val="Arial"/>
      <family val="2"/>
    </font>
    <font>
      <b/>
      <sz val="11"/>
      <color theme="9" tint="-0.499984740745262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76">
    <xf numFmtId="0" fontId="0" fillId="0" borderId="0" xfId="0"/>
    <xf numFmtId="0" fontId="4" fillId="0" borderId="0" xfId="0" applyFont="1"/>
    <xf numFmtId="0" fontId="4" fillId="0" borderId="4" xfId="0" quotePrefix="1" applyFont="1" applyBorder="1" applyAlignment="1">
      <alignment horizontal="center"/>
    </xf>
    <xf numFmtId="0" fontId="0" fillId="0" borderId="4" xfId="0" applyBorder="1"/>
    <xf numFmtId="0" fontId="5" fillId="2" borderId="4" xfId="0" quotePrefix="1" applyFont="1" applyFill="1" applyBorder="1" applyAlignment="1">
      <alignment horizontal="center"/>
    </xf>
    <xf numFmtId="0" fontId="5" fillId="2" borderId="4" xfId="0" applyFont="1" applyFill="1" applyBorder="1"/>
    <xf numFmtId="0" fontId="4" fillId="0" borderId="5" xfId="0" quotePrefix="1" applyFont="1" applyBorder="1" applyAlignment="1">
      <alignment horizontal="center"/>
    </xf>
    <xf numFmtId="0" fontId="5" fillId="2" borderId="5" xfId="0" quotePrefix="1" applyFont="1" applyFill="1" applyBorder="1" applyAlignment="1">
      <alignment horizontal="center"/>
    </xf>
    <xf numFmtId="0" fontId="0" fillId="0" borderId="5" xfId="0" applyBorder="1"/>
    <xf numFmtId="0" fontId="0" fillId="0" borderId="4" xfId="0" applyFill="1" applyBorder="1"/>
    <xf numFmtId="0" fontId="4" fillId="0" borderId="6" xfId="0" quotePrefix="1" applyFont="1" applyBorder="1" applyAlignment="1">
      <alignment horizontal="center"/>
    </xf>
    <xf numFmtId="0" fontId="0" fillId="0" borderId="7" xfId="0" applyBorder="1"/>
    <xf numFmtId="0" fontId="7" fillId="0" borderId="4" xfId="0" quotePrefix="1" applyFont="1" applyBorder="1" applyAlignment="1">
      <alignment horizontal="center"/>
    </xf>
    <xf numFmtId="0" fontId="3" fillId="0" borderId="4" xfId="0" applyFont="1" applyFill="1" applyBorder="1"/>
    <xf numFmtId="0" fontId="4" fillId="0" borderId="4" xfId="0" applyFont="1" applyBorder="1"/>
    <xf numFmtId="171" fontId="2" fillId="0" borderId="4" xfId="0" applyNumberFormat="1" applyFont="1" applyBorder="1"/>
    <xf numFmtId="0" fontId="0" fillId="0" borderId="11" xfId="0" applyBorder="1"/>
    <xf numFmtId="0" fontId="8" fillId="0" borderId="0" xfId="0" applyFont="1" applyBorder="1"/>
    <xf numFmtId="0" fontId="0" fillId="0" borderId="0" xfId="0" applyBorder="1"/>
    <xf numFmtId="0" fontId="4" fillId="0" borderId="11" xfId="0" applyFont="1" applyBorder="1"/>
    <xf numFmtId="0" fontId="5" fillId="0" borderId="0" xfId="0" applyFont="1"/>
    <xf numFmtId="3" fontId="11" fillId="0" borderId="4" xfId="0" applyNumberFormat="1" applyFont="1" applyBorder="1"/>
    <xf numFmtId="9" fontId="11" fillId="0" borderId="4" xfId="0" applyNumberFormat="1" applyFont="1" applyBorder="1"/>
    <xf numFmtId="3" fontId="12" fillId="2" borderId="4" xfId="0" applyNumberFormat="1" applyFont="1" applyFill="1" applyBorder="1"/>
    <xf numFmtId="1" fontId="12" fillId="2" borderId="4" xfId="0" applyNumberFormat="1" applyFont="1" applyFill="1" applyBorder="1"/>
    <xf numFmtId="0" fontId="11" fillId="0" borderId="4" xfId="0" applyFont="1" applyBorder="1"/>
    <xf numFmtId="0" fontId="11" fillId="0" borderId="0" xfId="0" applyFont="1"/>
    <xf numFmtId="0" fontId="13" fillId="5" borderId="13" xfId="0" applyFont="1" applyFill="1" applyBorder="1"/>
    <xf numFmtId="0" fontId="11" fillId="5" borderId="14" xfId="0" applyFont="1" applyFill="1" applyBorder="1"/>
    <xf numFmtId="0" fontId="13" fillId="5" borderId="15" xfId="0" applyFont="1" applyFill="1" applyBorder="1"/>
    <xf numFmtId="0" fontId="11" fillId="5" borderId="16" xfId="0" applyFont="1" applyFill="1" applyBorder="1"/>
    <xf numFmtId="0" fontId="13" fillId="5" borderId="17" xfId="0" applyFont="1" applyFill="1" applyBorder="1"/>
    <xf numFmtId="0" fontId="11" fillId="0" borderId="7" xfId="0" applyFont="1" applyBorder="1"/>
    <xf numFmtId="9" fontId="11" fillId="0" borderId="4" xfId="2" applyFont="1" applyBorder="1"/>
    <xf numFmtId="171" fontId="12" fillId="2" borderId="4" xfId="1" applyNumberFormat="1" applyFont="1" applyFill="1" applyBorder="1"/>
    <xf numFmtId="0" fontId="9" fillId="0" borderId="4" xfId="0" applyFont="1" applyBorder="1"/>
    <xf numFmtId="171" fontId="10" fillId="0" borderId="4" xfId="0" applyNumberFormat="1" applyFont="1" applyBorder="1"/>
    <xf numFmtId="171" fontId="10" fillId="2" borderId="4" xfId="0" applyNumberFormat="1" applyFont="1" applyFill="1" applyBorder="1"/>
    <xf numFmtId="0" fontId="10" fillId="0" borderId="0" xfId="0" applyFont="1"/>
    <xf numFmtId="9" fontId="11" fillId="0" borderId="0" xfId="0" applyNumberFormat="1" applyFont="1"/>
    <xf numFmtId="170" fontId="0" fillId="0" borderId="4" xfId="1" applyFont="1" applyBorder="1"/>
    <xf numFmtId="170" fontId="11" fillId="0" borderId="4" xfId="1" applyFont="1" applyBorder="1"/>
    <xf numFmtId="169" fontId="11" fillId="0" borderId="4" xfId="1" applyNumberFormat="1" applyFont="1" applyBorder="1"/>
    <xf numFmtId="169" fontId="10" fillId="0" borderId="4" xfId="1" applyNumberFormat="1" applyFont="1" applyBorder="1"/>
    <xf numFmtId="170" fontId="10" fillId="0" borderId="4" xfId="1" applyFont="1" applyBorder="1"/>
    <xf numFmtId="170" fontId="9" fillId="0" borderId="4" xfId="1" applyFont="1" applyBorder="1"/>
    <xf numFmtId="170" fontId="10" fillId="0" borderId="4" xfId="1" applyNumberFormat="1" applyFont="1" applyBorder="1"/>
    <xf numFmtId="0" fontId="0" fillId="4" borderId="0" xfId="0" applyFill="1"/>
    <xf numFmtId="170" fontId="11" fillId="0" borderId="0" xfId="1" applyFont="1"/>
    <xf numFmtId="170" fontId="11" fillId="0" borderId="4" xfId="1" applyNumberFormat="1" applyFont="1" applyBorder="1"/>
    <xf numFmtId="0" fontId="8" fillId="0" borderId="4" xfId="0" applyFont="1" applyBorder="1"/>
    <xf numFmtId="171" fontId="10" fillId="0" borderId="4" xfId="1" applyNumberFormat="1" applyFont="1" applyBorder="1"/>
    <xf numFmtId="0" fontId="10" fillId="2" borderId="4" xfId="0" applyFont="1" applyFill="1" applyBorder="1"/>
    <xf numFmtId="0" fontId="9" fillId="2" borderId="4" xfId="0" applyFont="1" applyFill="1" applyBorder="1"/>
    <xf numFmtId="0" fontId="0" fillId="4" borderId="4" xfId="0" applyFill="1" applyBorder="1"/>
    <xf numFmtId="171" fontId="10" fillId="4" borderId="4" xfId="0" applyNumberFormat="1" applyFont="1" applyFill="1" applyBorder="1"/>
    <xf numFmtId="0" fontId="4" fillId="2" borderId="4" xfId="0" applyFont="1" applyFill="1" applyBorder="1"/>
    <xf numFmtId="0" fontId="0" fillId="2" borderId="4" xfId="0" applyFill="1" applyBorder="1"/>
    <xf numFmtId="0" fontId="0" fillId="0" borderId="4" xfId="0" quotePrefix="1" applyBorder="1"/>
    <xf numFmtId="0" fontId="10" fillId="0" borderId="4" xfId="0" applyFont="1" applyBorder="1"/>
    <xf numFmtId="0" fontId="9" fillId="4" borderId="4" xfId="0" applyFont="1" applyFill="1" applyBorder="1"/>
    <xf numFmtId="9" fontId="9" fillId="4" borderId="4" xfId="0" applyNumberFormat="1" applyFont="1" applyFill="1" applyBorder="1"/>
    <xf numFmtId="0" fontId="9" fillId="4" borderId="4" xfId="0" quotePrefix="1" applyFont="1" applyFill="1" applyBorder="1"/>
    <xf numFmtId="169" fontId="4" fillId="0" borderId="4" xfId="0" applyNumberFormat="1" applyFont="1" applyBorder="1"/>
    <xf numFmtId="166" fontId="4" fillId="0" borderId="4" xfId="0" applyNumberFormat="1" applyFont="1" applyBorder="1"/>
    <xf numFmtId="0" fontId="4" fillId="0" borderId="4" xfId="0" applyFont="1" applyBorder="1" applyAlignment="1">
      <alignment wrapText="1"/>
    </xf>
    <xf numFmtId="171" fontId="4" fillId="0" borderId="4" xfId="1" applyNumberFormat="1" applyFont="1" applyBorder="1"/>
    <xf numFmtId="172" fontId="11" fillId="5" borderId="12" xfId="0" applyNumberFormat="1" applyFont="1" applyFill="1" applyBorder="1"/>
    <xf numFmtId="166" fontId="0" fillId="0" borderId="0" xfId="0" applyNumberFormat="1"/>
    <xf numFmtId="0" fontId="0" fillId="3" borderId="0" xfId="0" applyFill="1"/>
    <xf numFmtId="0" fontId="14" fillId="0" borderId="4" xfId="0" applyFont="1" applyBorder="1"/>
    <xf numFmtId="167" fontId="0" fillId="0" borderId="0" xfId="1" applyNumberFormat="1" applyFont="1"/>
    <xf numFmtId="167" fontId="4" fillId="0" borderId="4" xfId="1" applyNumberFormat="1" applyFont="1" applyBorder="1"/>
    <xf numFmtId="167" fontId="4" fillId="0" borderId="4" xfId="0" applyNumberFormat="1" applyFont="1" applyBorder="1"/>
    <xf numFmtId="167" fontId="0" fillId="0" borderId="0" xfId="1" applyNumberFormat="1" applyFont="1" applyBorder="1"/>
    <xf numFmtId="167" fontId="0" fillId="0" borderId="0" xfId="0" applyNumberFormat="1" applyBorder="1"/>
    <xf numFmtId="167" fontId="10" fillId="0" borderId="4" xfId="1" applyNumberFormat="1" applyFont="1" applyBorder="1"/>
    <xf numFmtId="0" fontId="14" fillId="0" borderId="0" xfId="0" applyFont="1" applyBorder="1"/>
    <xf numFmtId="167" fontId="10" fillId="2" borderId="4" xfId="1" applyNumberFormat="1" applyFont="1" applyFill="1" applyBorder="1"/>
    <xf numFmtId="0" fontId="15" fillId="2" borderId="4" xfId="0" applyFont="1" applyFill="1" applyBorder="1"/>
    <xf numFmtId="0" fontId="4" fillId="0" borderId="11" xfId="0" applyFont="1" applyBorder="1" applyAlignment="1">
      <alignment wrapText="1"/>
    </xf>
    <xf numFmtId="0" fontId="5" fillId="0" borderId="4" xfId="0" applyFont="1" applyBorder="1"/>
    <xf numFmtId="0" fontId="16" fillId="0" borderId="0" xfId="0" applyFont="1"/>
    <xf numFmtId="167" fontId="10" fillId="0" borderId="4" xfId="0" applyNumberFormat="1" applyFont="1" applyBorder="1"/>
    <xf numFmtId="0" fontId="10" fillId="0" borderId="0" xfId="0" applyFont="1" applyBorder="1"/>
    <xf numFmtId="0" fontId="5" fillId="0" borderId="0" xfId="0" applyFont="1" applyBorder="1"/>
    <xf numFmtId="167" fontId="10" fillId="0" borderId="0" xfId="0" applyNumberFormat="1" applyFont="1" applyBorder="1"/>
    <xf numFmtId="167" fontId="11" fillId="0" borderId="4" xfId="1" applyNumberFormat="1" applyFont="1" applyBorder="1"/>
    <xf numFmtId="0" fontId="13" fillId="0" borderId="4" xfId="0" applyFont="1" applyBorder="1"/>
    <xf numFmtId="0" fontId="10" fillId="0" borderId="7" xfId="0" applyFont="1" applyBorder="1"/>
    <xf numFmtId="0" fontId="4" fillId="4" borderId="4" xfId="0" applyFont="1" applyFill="1" applyBorder="1"/>
    <xf numFmtId="10" fontId="4" fillId="0" borderId="4" xfId="0" applyNumberFormat="1" applyFont="1" applyBorder="1"/>
    <xf numFmtId="0" fontId="18" fillId="0" borderId="0" xfId="0" applyFont="1"/>
    <xf numFmtId="165" fontId="0" fillId="0" borderId="0" xfId="0" applyNumberFormat="1"/>
    <xf numFmtId="9" fontId="0" fillId="0" borderId="0" xfId="2" applyFont="1"/>
    <xf numFmtId="10" fontId="0" fillId="0" borderId="4" xfId="2" applyNumberFormat="1" applyFont="1" applyBorder="1"/>
    <xf numFmtId="173" fontId="0" fillId="0" borderId="4" xfId="0" applyNumberFormat="1" applyBorder="1"/>
    <xf numFmtId="165" fontId="0" fillId="0" borderId="4" xfId="0" applyNumberFormat="1" applyBorder="1"/>
    <xf numFmtId="0" fontId="7" fillId="0" borderId="4" xfId="0" applyFont="1" applyBorder="1"/>
    <xf numFmtId="167" fontId="11" fillId="6" borderId="4" xfId="1" applyNumberFormat="1" applyFont="1" applyFill="1" applyBorder="1"/>
    <xf numFmtId="165" fontId="11" fillId="0" borderId="4" xfId="0" applyNumberFormat="1" applyFont="1" applyBorder="1"/>
    <xf numFmtId="0" fontId="19" fillId="0" borderId="4" xfId="0" applyFont="1" applyBorder="1"/>
    <xf numFmtId="171" fontId="7" fillId="4" borderId="4" xfId="0" applyNumberFormat="1" applyFont="1" applyFill="1" applyBorder="1"/>
    <xf numFmtId="170" fontId="10" fillId="0" borderId="0" xfId="1" applyFont="1" applyBorder="1"/>
    <xf numFmtId="0" fontId="3" fillId="0" borderId="0" xfId="0" applyFont="1"/>
    <xf numFmtId="175" fontId="0" fillId="0" borderId="0" xfId="1" applyNumberFormat="1" applyFont="1"/>
    <xf numFmtId="176" fontId="0" fillId="0" borderId="0" xfId="3" applyNumberFormat="1" applyFont="1"/>
    <xf numFmtId="0" fontId="20" fillId="0" borderId="0" xfId="0" applyFont="1" applyBorder="1"/>
    <xf numFmtId="0" fontId="20" fillId="0" borderId="0" xfId="0" applyFont="1" applyBorder="1" applyAlignment="1">
      <alignment horizontal="left"/>
    </xf>
    <xf numFmtId="174" fontId="0" fillId="0" borderId="0" xfId="0" applyNumberFormat="1"/>
    <xf numFmtId="1" fontId="21" fillId="2" borderId="4" xfId="0" applyNumberFormat="1" applyFont="1" applyFill="1" applyBorder="1" applyProtection="1"/>
    <xf numFmtId="0" fontId="22" fillId="0" borderId="0" xfId="0" applyFont="1" applyBorder="1"/>
    <xf numFmtId="0" fontId="10" fillId="4" borderId="4" xfId="0" applyFont="1" applyFill="1" applyBorder="1"/>
    <xf numFmtId="9" fontId="11" fillId="4" borderId="4" xfId="0" applyNumberFormat="1" applyFont="1" applyFill="1" applyBorder="1"/>
    <xf numFmtId="0" fontId="6" fillId="4" borderId="0" xfId="0" applyFont="1" applyFill="1" applyBorder="1" applyAlignment="1"/>
    <xf numFmtId="167" fontId="11" fillId="4" borderId="4" xfId="1" applyNumberFormat="1" applyFont="1" applyFill="1" applyBorder="1"/>
    <xf numFmtId="3" fontId="11" fillId="4" borderId="4" xfId="0" applyNumberFormat="1" applyFont="1" applyFill="1" applyBorder="1"/>
    <xf numFmtId="171" fontId="11" fillId="4" borderId="4" xfId="1" applyNumberFormat="1" applyFont="1" applyFill="1" applyBorder="1"/>
    <xf numFmtId="0" fontId="13" fillId="5" borderId="19" xfId="0" applyFont="1" applyFill="1" applyBorder="1"/>
    <xf numFmtId="0" fontId="13" fillId="5" borderId="20" xfId="0" applyFont="1" applyFill="1" applyBorder="1"/>
    <xf numFmtId="0" fontId="23" fillId="0" borderId="4" xfId="0" applyFont="1" applyBorder="1"/>
    <xf numFmtId="1" fontId="24" fillId="2" borderId="4" xfId="0" applyNumberFormat="1" applyFont="1" applyFill="1" applyBorder="1"/>
    <xf numFmtId="0" fontId="6" fillId="2" borderId="21" xfId="0" applyFont="1" applyFill="1" applyBorder="1" applyAlignment="1"/>
    <xf numFmtId="171" fontId="26" fillId="4" borderId="4" xfId="0" applyNumberFormat="1" applyFont="1" applyFill="1" applyBorder="1"/>
    <xf numFmtId="0" fontId="26" fillId="0" borderId="0" xfId="0" applyFont="1"/>
    <xf numFmtId="170" fontId="23" fillId="0" borderId="4" xfId="1" applyFont="1" applyBorder="1"/>
    <xf numFmtId="0" fontId="4" fillId="0" borderId="0" xfId="0" applyFont="1" applyBorder="1" applyAlignment="1">
      <alignment wrapText="1"/>
    </xf>
    <xf numFmtId="166" fontId="4" fillId="0" borderId="0" xfId="0" applyNumberFormat="1" applyFont="1" applyBorder="1"/>
    <xf numFmtId="170" fontId="7" fillId="0" borderId="4" xfId="1" applyFont="1" applyBorder="1"/>
    <xf numFmtId="0" fontId="23" fillId="0" borderId="0" xfId="0" applyFont="1"/>
    <xf numFmtId="0" fontId="21" fillId="4" borderId="0" xfId="0" applyFont="1" applyFill="1" applyBorder="1" applyAlignment="1"/>
    <xf numFmtId="170" fontId="24" fillId="0" borderId="4" xfId="1" applyFont="1" applyBorder="1"/>
    <xf numFmtId="0" fontId="6" fillId="0" borderId="0" xfId="0" applyFont="1"/>
    <xf numFmtId="3" fontId="11" fillId="4" borderId="4" xfId="0" applyNumberFormat="1" applyFont="1" applyFill="1" applyBorder="1" applyAlignment="1">
      <alignment wrapText="1"/>
    </xf>
    <xf numFmtId="177" fontId="11" fillId="0" borderId="0" xfId="2" applyNumberFormat="1" applyFont="1"/>
    <xf numFmtId="0" fontId="27" fillId="0" borderId="0" xfId="0" applyFont="1"/>
    <xf numFmtId="166" fontId="0" fillId="0" borderId="4" xfId="0" applyNumberFormat="1" applyBorder="1"/>
    <xf numFmtId="40" fontId="0" fillId="0" borderId="4" xfId="0" applyNumberFormat="1" applyBorder="1"/>
    <xf numFmtId="37" fontId="10" fillId="0" borderId="4" xfId="0" applyNumberFormat="1" applyFont="1" applyBorder="1"/>
    <xf numFmtId="9" fontId="7" fillId="0" borderId="4" xfId="0" applyNumberFormat="1" applyFont="1" applyBorder="1"/>
    <xf numFmtId="0" fontId="28" fillId="0" borderId="0" xfId="0" applyFont="1"/>
    <xf numFmtId="0" fontId="21" fillId="0" borderId="0" xfId="0" applyFont="1"/>
    <xf numFmtId="9" fontId="4" fillId="0" borderId="4" xfId="0" applyNumberFormat="1" applyFont="1" applyBorder="1"/>
    <xf numFmtId="0" fontId="30" fillId="0" borderId="0" xfId="4" applyFont="1" applyBorder="1"/>
    <xf numFmtId="0" fontId="29" fillId="0" borderId="0" xfId="4"/>
    <xf numFmtId="0" fontId="30" fillId="0" borderId="4" xfId="4" applyFont="1" applyBorder="1"/>
    <xf numFmtId="0" fontId="31" fillId="0" borderId="0" xfId="4" applyFont="1"/>
    <xf numFmtId="0" fontId="13" fillId="5" borderId="22" xfId="0" applyFont="1" applyFill="1" applyBorder="1"/>
    <xf numFmtId="0" fontId="32" fillId="3" borderId="0" xfId="0" applyFont="1" applyFill="1"/>
    <xf numFmtId="0" fontId="26" fillId="3" borderId="0" xfId="0" applyFont="1" applyFill="1"/>
    <xf numFmtId="171" fontId="26" fillId="3" borderId="4" xfId="0" applyNumberFormat="1" applyFont="1" applyFill="1" applyBorder="1"/>
    <xf numFmtId="0" fontId="32" fillId="7" borderId="0" xfId="0" applyFont="1" applyFill="1"/>
    <xf numFmtId="0" fontId="26" fillId="7" borderId="0" xfId="0" applyFont="1" applyFill="1"/>
    <xf numFmtId="171" fontId="26" fillId="7" borderId="4" xfId="0" applyNumberFormat="1" applyFont="1" applyFill="1" applyBorder="1"/>
    <xf numFmtId="0" fontId="0" fillId="7" borderId="0" xfId="0" applyFill="1"/>
    <xf numFmtId="0" fontId="7" fillId="0" borderId="0" xfId="0" applyFont="1"/>
    <xf numFmtId="0" fontId="0" fillId="0" borderId="4" xfId="0" applyBorder="1" applyAlignment="1">
      <alignment horizontal="left" indent="1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 indent="1"/>
    </xf>
    <xf numFmtId="0" fontId="34" fillId="0" borderId="0" xfId="0" applyFont="1" applyAlignment="1">
      <alignment horizontal="center" wrapText="1"/>
    </xf>
    <xf numFmtId="164" fontId="9" fillId="0" borderId="4" xfId="5" applyFont="1" applyBorder="1" applyAlignment="1">
      <alignment horizontal="left" indent="1"/>
    </xf>
    <xf numFmtId="164" fontId="10" fillId="2" borderId="4" xfId="5" applyFont="1" applyFill="1" applyBorder="1" applyAlignment="1">
      <alignment horizontal="left" indent="1"/>
    </xf>
    <xf numFmtId="164" fontId="10" fillId="2" borderId="4" xfId="5" applyFont="1" applyFill="1" applyBorder="1" applyAlignment="1">
      <alignment horizontal="left"/>
    </xf>
    <xf numFmtId="164" fontId="9" fillId="0" borderId="4" xfId="5" applyFont="1" applyBorder="1" applyAlignment="1">
      <alignment horizontal="left"/>
    </xf>
    <xf numFmtId="164" fontId="9" fillId="2" borderId="4" xfId="5" applyFont="1" applyFill="1" applyBorder="1" applyAlignment="1">
      <alignment horizontal="left"/>
    </xf>
    <xf numFmtId="0" fontId="20" fillId="0" borderId="4" xfId="0" applyFont="1" applyBorder="1"/>
    <xf numFmtId="0" fontId="35" fillId="0" borderId="4" xfId="4" applyFont="1" applyBorder="1"/>
    <xf numFmtId="178" fontId="10" fillId="0" borderId="4" xfId="0" applyNumberFormat="1" applyFont="1" applyBorder="1"/>
    <xf numFmtId="9" fontId="9" fillId="0" borderId="4" xfId="0" applyNumberFormat="1" applyFont="1" applyBorder="1"/>
    <xf numFmtId="9" fontId="37" fillId="0" borderId="4" xfId="0" applyNumberFormat="1" applyFont="1" applyBorder="1"/>
    <xf numFmtId="0" fontId="37" fillId="0" borderId="4" xfId="0" applyFont="1" applyBorder="1"/>
    <xf numFmtId="0" fontId="0" fillId="9" borderId="4" xfId="0" applyFill="1" applyBorder="1" applyAlignment="1">
      <alignment horizontal="left" indent="1"/>
    </xf>
    <xf numFmtId="164" fontId="9" fillId="9" borderId="4" xfId="5" applyFont="1" applyFill="1" applyBorder="1" applyAlignment="1">
      <alignment horizontal="left" indent="1"/>
    </xf>
    <xf numFmtId="164" fontId="9" fillId="9" borderId="4" xfId="5" applyFont="1" applyFill="1" applyBorder="1" applyAlignment="1">
      <alignment horizontal="left"/>
    </xf>
    <xf numFmtId="0" fontId="33" fillId="8" borderId="0" xfId="0" applyFont="1" applyFill="1"/>
    <xf numFmtId="0" fontId="38" fillId="0" borderId="4" xfId="0" applyFont="1" applyBorder="1"/>
    <xf numFmtId="0" fontId="16" fillId="0" borderId="4" xfId="0" applyFont="1" applyBorder="1"/>
    <xf numFmtId="167" fontId="16" fillId="0" borderId="4" xfId="0" applyNumberFormat="1" applyFont="1" applyBorder="1"/>
    <xf numFmtId="167" fontId="2" fillId="2" borderId="4" xfId="0" applyNumberFormat="1" applyFont="1" applyFill="1" applyBorder="1"/>
    <xf numFmtId="0" fontId="39" fillId="2" borderId="4" xfId="0" applyFont="1" applyFill="1" applyBorder="1" applyAlignment="1">
      <alignment horizontal="center"/>
    </xf>
    <xf numFmtId="166" fontId="16" fillId="0" borderId="4" xfId="0" applyNumberFormat="1" applyFont="1" applyBorder="1"/>
    <xf numFmtId="179" fontId="16" fillId="0" borderId="0" xfId="0" applyNumberFormat="1" applyFont="1"/>
    <xf numFmtId="166" fontId="16" fillId="0" borderId="0" xfId="0" applyNumberFormat="1" applyFont="1"/>
    <xf numFmtId="40" fontId="16" fillId="0" borderId="0" xfId="0" applyNumberFormat="1" applyFont="1"/>
    <xf numFmtId="9" fontId="16" fillId="0" borderId="0" xfId="0" applyNumberFormat="1" applyFont="1"/>
    <xf numFmtId="167" fontId="16" fillId="0" borderId="0" xfId="0" applyNumberFormat="1" applyFont="1"/>
    <xf numFmtId="9" fontId="0" fillId="0" borderId="0" xfId="0" applyNumberFormat="1"/>
    <xf numFmtId="0" fontId="0" fillId="10" borderId="0" xfId="0" applyFill="1"/>
    <xf numFmtId="0" fontId="40" fillId="10" borderId="0" xfId="0" applyFont="1" applyFill="1" applyAlignment="1">
      <alignment horizontal="right"/>
    </xf>
    <xf numFmtId="0" fontId="20" fillId="11" borderId="23" xfId="0" applyFont="1" applyFill="1" applyBorder="1" applyAlignment="1">
      <alignment horizontal="center"/>
    </xf>
    <xf numFmtId="0" fontId="20" fillId="11" borderId="24" xfId="0" applyFont="1" applyFill="1" applyBorder="1" applyAlignment="1">
      <alignment horizontal="center"/>
    </xf>
    <xf numFmtId="0" fontId="20" fillId="11" borderId="25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180" fontId="0" fillId="0" borderId="0" xfId="0" applyNumberFormat="1" applyBorder="1"/>
    <xf numFmtId="10" fontId="0" fillId="0" borderId="0" xfId="0" applyNumberFormat="1" applyBorder="1" applyAlignment="1">
      <alignment horizontal="center"/>
    </xf>
    <xf numFmtId="181" fontId="0" fillId="0" borderId="0" xfId="0" applyNumberFormat="1" applyBorder="1" applyAlignment="1">
      <alignment horizontal="center"/>
    </xf>
    <xf numFmtId="0" fontId="0" fillId="0" borderId="27" xfId="0" applyBorder="1"/>
    <xf numFmtId="9" fontId="0" fillId="0" borderId="28" xfId="0" applyNumberFormat="1" applyBorder="1" applyAlignment="1">
      <alignment horizontal="center"/>
    </xf>
    <xf numFmtId="180" fontId="0" fillId="0" borderId="20" xfId="0" applyNumberFormat="1" applyBorder="1"/>
    <xf numFmtId="10" fontId="0" fillId="0" borderId="20" xfId="0" applyNumberFormat="1" applyBorder="1" applyAlignment="1">
      <alignment horizontal="center"/>
    </xf>
    <xf numFmtId="181" fontId="0" fillId="0" borderId="20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9" fontId="0" fillId="0" borderId="26" xfId="2" applyFont="1" applyBorder="1" applyAlignment="1">
      <alignment horizontal="center"/>
    </xf>
    <xf numFmtId="0" fontId="40" fillId="0" borderId="27" xfId="0" applyFont="1" applyBorder="1" applyAlignment="1">
      <alignment horizontal="center"/>
    </xf>
    <xf numFmtId="9" fontId="0" fillId="0" borderId="26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9" fontId="0" fillId="0" borderId="30" xfId="2" applyFont="1" applyBorder="1" applyAlignment="1">
      <alignment horizontal="center"/>
    </xf>
    <xf numFmtId="180" fontId="0" fillId="0" borderId="31" xfId="0" applyNumberFormat="1" applyBorder="1"/>
    <xf numFmtId="10" fontId="0" fillId="0" borderId="31" xfId="0" applyNumberFormat="1" applyBorder="1" applyAlignment="1">
      <alignment horizontal="center"/>
    </xf>
    <xf numFmtId="181" fontId="0" fillId="0" borderId="31" xfId="0" applyNumberFormat="1" applyBorder="1" applyAlignment="1">
      <alignment horizontal="center"/>
    </xf>
    <xf numFmtId="0" fontId="0" fillId="0" borderId="32" xfId="0" applyBorder="1" applyAlignment="1">
      <alignment horizontal="center"/>
    </xf>
    <xf numFmtId="9" fontId="0" fillId="0" borderId="0" xfId="2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0" fillId="10" borderId="0" xfId="0" applyFont="1" applyFill="1" applyAlignment="1">
      <alignment horizontal="left"/>
    </xf>
    <xf numFmtId="167" fontId="0" fillId="0" borderId="0" xfId="0" applyNumberFormat="1"/>
    <xf numFmtId="180" fontId="0" fillId="0" borderId="33" xfId="0" applyNumberFormat="1" applyBorder="1"/>
    <xf numFmtId="182" fontId="0" fillId="0" borderId="0" xfId="1" applyNumberFormat="1" applyFont="1"/>
    <xf numFmtId="180" fontId="0" fillId="0" borderId="34" xfId="0" applyNumberFormat="1" applyBorder="1"/>
    <xf numFmtId="180" fontId="0" fillId="0" borderId="35" xfId="0" applyNumberFormat="1" applyBorder="1"/>
    <xf numFmtId="180" fontId="4" fillId="10" borderId="26" xfId="0" applyNumberFormat="1" applyFont="1" applyFill="1" applyBorder="1"/>
    <xf numFmtId="0" fontId="0" fillId="0" borderId="26" xfId="0" applyBorder="1"/>
    <xf numFmtId="180" fontId="0" fillId="0" borderId="26" xfId="0" applyNumberFormat="1" applyBorder="1"/>
    <xf numFmtId="180" fontId="0" fillId="0" borderId="19" xfId="0" applyNumberFormat="1" applyBorder="1"/>
    <xf numFmtId="10" fontId="0" fillId="0" borderId="19" xfId="0" applyNumberFormat="1" applyBorder="1" applyAlignment="1">
      <alignment horizontal="center"/>
    </xf>
    <xf numFmtId="181" fontId="0" fillId="0" borderId="19" xfId="0" applyNumberFormat="1" applyBorder="1" applyAlignment="1">
      <alignment horizontal="center"/>
    </xf>
    <xf numFmtId="0" fontId="0" fillId="0" borderId="36" xfId="0" applyBorder="1"/>
    <xf numFmtId="180" fontId="0" fillId="0" borderId="30" xfId="0" applyNumberFormat="1" applyBorder="1"/>
    <xf numFmtId="0" fontId="0" fillId="0" borderId="32" xfId="0" applyBorder="1"/>
    <xf numFmtId="0" fontId="40" fillId="11" borderId="0" xfId="0" applyFont="1" applyFill="1" applyAlignment="1">
      <alignment horizontal="left"/>
    </xf>
    <xf numFmtId="0" fontId="0" fillId="11" borderId="0" xfId="0" applyFill="1"/>
    <xf numFmtId="167" fontId="0" fillId="11" borderId="0" xfId="0" applyNumberFormat="1" applyFill="1"/>
    <xf numFmtId="0" fontId="40" fillId="4" borderId="0" xfId="0" applyFont="1" applyFill="1" applyAlignment="1">
      <alignment horizontal="left"/>
    </xf>
    <xf numFmtId="167" fontId="0" fillId="4" borderId="0" xfId="0" applyNumberFormat="1" applyFill="1"/>
    <xf numFmtId="9" fontId="0" fillId="0" borderId="0" xfId="0" applyNumberFormat="1" applyBorder="1"/>
    <xf numFmtId="180" fontId="0" fillId="0" borderId="0" xfId="0" applyNumberFormat="1" applyBorder="1" applyAlignment="1">
      <alignment horizontal="center"/>
    </xf>
    <xf numFmtId="181" fontId="0" fillId="0" borderId="27" xfId="0" applyNumberFormat="1" applyBorder="1" applyAlignment="1">
      <alignment horizontal="center"/>
    </xf>
    <xf numFmtId="180" fontId="0" fillId="0" borderId="31" xfId="0" applyNumberFormat="1" applyBorder="1" applyAlignment="1">
      <alignment horizontal="center"/>
    </xf>
    <xf numFmtId="181" fontId="0" fillId="0" borderId="32" xfId="0" applyNumberFormat="1" applyBorder="1" applyAlignment="1">
      <alignment horizontal="center"/>
    </xf>
    <xf numFmtId="182" fontId="16" fillId="0" borderId="4" xfId="0" applyNumberFormat="1" applyFont="1" applyBorder="1"/>
    <xf numFmtId="182" fontId="2" fillId="2" borderId="4" xfId="0" applyNumberFormat="1" applyFont="1" applyFill="1" applyBorder="1"/>
    <xf numFmtId="0" fontId="3" fillId="0" borderId="37" xfId="0" applyFont="1" applyFill="1" applyBorder="1"/>
    <xf numFmtId="182" fontId="3" fillId="0" borderId="0" xfId="0" applyNumberFormat="1" applyFont="1"/>
    <xf numFmtId="0" fontId="39" fillId="2" borderId="37" xfId="0" applyFont="1" applyFill="1" applyBorder="1" applyAlignment="1">
      <alignment horizontal="center"/>
    </xf>
    <xf numFmtId="182" fontId="2" fillId="2" borderId="0" xfId="0" applyNumberFormat="1" applyFont="1" applyFill="1" applyBorder="1"/>
    <xf numFmtId="0" fontId="41" fillId="12" borderId="0" xfId="0" applyFont="1" applyFill="1"/>
    <xf numFmtId="3" fontId="41" fillId="12" borderId="0" xfId="0" applyNumberFormat="1" applyFont="1" applyFill="1"/>
    <xf numFmtId="0" fontId="41" fillId="0" borderId="0" xfId="0" applyFont="1" applyFill="1"/>
    <xf numFmtId="1" fontId="20" fillId="13" borderId="4" xfId="0" applyNumberFormat="1" applyFont="1" applyFill="1" applyBorder="1" applyAlignment="1">
      <alignment horizontal="center"/>
    </xf>
    <xf numFmtId="3" fontId="43" fillId="12" borderId="0" xfId="0" applyNumberFormat="1" applyFont="1" applyFill="1" applyAlignment="1">
      <alignment horizontal="right"/>
    </xf>
    <xf numFmtId="0" fontId="41" fillId="12" borderId="23" xfId="0" applyFont="1" applyFill="1" applyBorder="1"/>
    <xf numFmtId="3" fontId="43" fillId="12" borderId="24" xfId="0" applyNumberFormat="1" applyFont="1" applyFill="1" applyBorder="1" applyAlignment="1">
      <alignment horizontal="right"/>
    </xf>
    <xf numFmtId="0" fontId="41" fillId="12" borderId="24" xfId="0" applyFont="1" applyFill="1" applyBorder="1"/>
    <xf numFmtId="0" fontId="41" fillId="12" borderId="25" xfId="0" applyFont="1" applyFill="1" applyBorder="1"/>
    <xf numFmtId="0" fontId="41" fillId="12" borderId="38" xfId="0" applyFont="1" applyFill="1" applyBorder="1"/>
    <xf numFmtId="3" fontId="41" fillId="12" borderId="4" xfId="0" applyNumberFormat="1" applyFont="1" applyFill="1" applyBorder="1"/>
    <xf numFmtId="0" fontId="41" fillId="12" borderId="0" xfId="0" applyFont="1" applyFill="1" applyBorder="1"/>
    <xf numFmtId="0" fontId="40" fillId="12" borderId="0" xfId="0" applyFont="1" applyFill="1"/>
    <xf numFmtId="0" fontId="41" fillId="0" borderId="38" xfId="0" applyFont="1" applyFill="1" applyBorder="1"/>
    <xf numFmtId="3" fontId="41" fillId="12" borderId="0" xfId="0" applyNumberFormat="1" applyFont="1" applyFill="1" applyBorder="1"/>
    <xf numFmtId="9" fontId="41" fillId="12" borderId="27" xfId="0" applyNumberFormat="1" applyFont="1" applyFill="1" applyBorder="1"/>
    <xf numFmtId="9" fontId="44" fillId="12" borderId="27" xfId="0" applyNumberFormat="1" applyFont="1" applyFill="1" applyBorder="1"/>
    <xf numFmtId="0" fontId="41" fillId="12" borderId="26" xfId="0" applyFont="1" applyFill="1" applyBorder="1"/>
    <xf numFmtId="0" fontId="41" fillId="12" borderId="27" xfId="0" applyFont="1" applyFill="1" applyBorder="1"/>
    <xf numFmtId="0" fontId="45" fillId="12" borderId="26" xfId="0" applyFont="1" applyFill="1" applyBorder="1"/>
    <xf numFmtId="0" fontId="46" fillId="12" borderId="0" xfId="0" applyNumberFormat="1" applyFont="1" applyFill="1" applyBorder="1" applyAlignment="1">
      <alignment horizontal="center"/>
    </xf>
    <xf numFmtId="9" fontId="41" fillId="12" borderId="0" xfId="0" applyNumberFormat="1" applyFont="1" applyFill="1" applyBorder="1"/>
    <xf numFmtId="10" fontId="41" fillId="12" borderId="4" xfId="2" applyNumberFormat="1" applyFont="1" applyFill="1" applyBorder="1"/>
    <xf numFmtId="10" fontId="41" fillId="12" borderId="0" xfId="2" applyNumberFormat="1" applyFont="1" applyFill="1" applyBorder="1"/>
    <xf numFmtId="10" fontId="41" fillId="12" borderId="27" xfId="2" applyNumberFormat="1" applyFont="1" applyFill="1" applyBorder="1"/>
    <xf numFmtId="0" fontId="46" fillId="14" borderId="38" xfId="0" applyFont="1" applyFill="1" applyBorder="1"/>
    <xf numFmtId="10" fontId="46" fillId="14" borderId="4" xfId="2" applyNumberFormat="1" applyFont="1" applyFill="1" applyBorder="1"/>
    <xf numFmtId="10" fontId="46" fillId="14" borderId="18" xfId="2" applyNumberFormat="1" applyFont="1" applyFill="1" applyBorder="1"/>
    <xf numFmtId="0" fontId="41" fillId="12" borderId="30" xfId="0" applyFont="1" applyFill="1" applyBorder="1"/>
    <xf numFmtId="3" fontId="41" fillId="12" borderId="31" xfId="0" applyNumberFormat="1" applyFont="1" applyFill="1" applyBorder="1"/>
    <xf numFmtId="0" fontId="41" fillId="12" borderId="31" xfId="0" applyFont="1" applyFill="1" applyBorder="1"/>
    <xf numFmtId="10" fontId="41" fillId="12" borderId="32" xfId="0" applyNumberFormat="1" applyFont="1" applyFill="1" applyBorder="1"/>
    <xf numFmtId="3" fontId="41" fillId="0" borderId="0" xfId="0" applyNumberFormat="1" applyFont="1" applyFill="1"/>
    <xf numFmtId="3" fontId="41" fillId="4" borderId="4" xfId="0" applyNumberFormat="1" applyFont="1" applyFill="1" applyBorder="1"/>
    <xf numFmtId="9" fontId="41" fillId="4" borderId="39" xfId="0" applyNumberFormat="1" applyFont="1" applyFill="1" applyBorder="1"/>
    <xf numFmtId="10" fontId="47" fillId="4" borderId="39" xfId="0" applyNumberFormat="1" applyFont="1" applyFill="1" applyBorder="1"/>
    <xf numFmtId="10" fontId="41" fillId="4" borderId="39" xfId="0" applyNumberFormat="1" applyFont="1" applyFill="1" applyBorder="1"/>
    <xf numFmtId="0" fontId="9" fillId="0" borderId="0" xfId="0" applyFont="1" applyFill="1" applyBorder="1"/>
    <xf numFmtId="0" fontId="46" fillId="13" borderId="7" xfId="0" applyNumberFormat="1" applyFont="1" applyFill="1" applyBorder="1" applyAlignment="1">
      <alignment horizontal="center"/>
    </xf>
    <xf numFmtId="0" fontId="46" fillId="9" borderId="4" xfId="0" applyFont="1" applyFill="1" applyBorder="1"/>
    <xf numFmtId="3" fontId="46" fillId="9" borderId="4" xfId="0" applyNumberFormat="1" applyFont="1" applyFill="1" applyBorder="1"/>
    <xf numFmtId="0" fontId="4" fillId="0" borderId="11" xfId="0" applyFont="1" applyBorder="1" applyAlignment="1">
      <alignment horizontal="center" wrapText="1"/>
    </xf>
    <xf numFmtId="0" fontId="0" fillId="0" borderId="26" xfId="0" applyBorder="1" applyAlignment="1"/>
    <xf numFmtId="0" fontId="0" fillId="0" borderId="30" xfId="0" applyBorder="1" applyAlignment="1"/>
    <xf numFmtId="0" fontId="0" fillId="0" borderId="0" xfId="0" applyBorder="1" applyAlignment="1"/>
    <xf numFmtId="0" fontId="0" fillId="0" borderId="49" xfId="0" applyBorder="1" applyAlignment="1"/>
    <xf numFmtId="0" fontId="0" fillId="0" borderId="50" xfId="0" applyBorder="1" applyAlignment="1"/>
    <xf numFmtId="0" fontId="49" fillId="0" borderId="0" xfId="4" applyFont="1"/>
    <xf numFmtId="0" fontId="33" fillId="8" borderId="7" xfId="0" applyFont="1" applyFill="1" applyBorder="1"/>
    <xf numFmtId="0" fontId="50" fillId="0" borderId="21" xfId="4" applyFont="1" applyBorder="1"/>
    <xf numFmtId="0" fontId="49" fillId="12" borderId="0" xfId="4" applyFont="1" applyFill="1"/>
    <xf numFmtId="10" fontId="46" fillId="14" borderId="0" xfId="2" applyNumberFormat="1" applyFont="1" applyFill="1" applyBorder="1"/>
    <xf numFmtId="0" fontId="4" fillId="0" borderId="12" xfId="0" applyFont="1" applyBorder="1"/>
    <xf numFmtId="10" fontId="4" fillId="0" borderId="13" xfId="2" applyNumberFormat="1" applyFont="1" applyBorder="1"/>
    <xf numFmtId="0" fontId="4" fillId="0" borderId="38" xfId="0" applyFont="1" applyBorder="1"/>
    <xf numFmtId="10" fontId="4" fillId="0" borderId="39" xfId="2" applyNumberFormat="1" applyFont="1" applyBorder="1"/>
    <xf numFmtId="164" fontId="4" fillId="0" borderId="39" xfId="5" applyFont="1" applyBorder="1"/>
    <xf numFmtId="0" fontId="4" fillId="0" borderId="14" xfId="0" applyFont="1" applyBorder="1"/>
    <xf numFmtId="2" fontId="4" fillId="0" borderId="15" xfId="0" applyNumberFormat="1" applyFont="1" applyBorder="1"/>
    <xf numFmtId="0" fontId="0" fillId="0" borderId="24" xfId="0" applyBorder="1"/>
    <xf numFmtId="0" fontId="0" fillId="0" borderId="25" xfId="0" applyBorder="1"/>
    <xf numFmtId="9" fontId="11" fillId="0" borderId="39" xfId="0" applyNumberFormat="1" applyFont="1" applyBorder="1"/>
    <xf numFmtId="0" fontId="11" fillId="0" borderId="38" xfId="0" applyFont="1" applyBorder="1"/>
    <xf numFmtId="171" fontId="10" fillId="0" borderId="39" xfId="1" applyNumberFormat="1" applyFont="1" applyBorder="1"/>
    <xf numFmtId="0" fontId="10" fillId="0" borderId="14" xfId="0" applyFont="1" applyBorder="1"/>
    <xf numFmtId="171" fontId="10" fillId="0" borderId="51" xfId="1" applyNumberFormat="1" applyFont="1" applyBorder="1"/>
    <xf numFmtId="0" fontId="0" fillId="0" borderId="0" xfId="0" applyProtection="1">
      <protection locked="0"/>
    </xf>
    <xf numFmtId="0" fontId="8" fillId="0" borderId="12" xfId="0" applyFont="1" applyBorder="1"/>
    <xf numFmtId="0" fontId="0" fillId="0" borderId="55" xfId="0" applyBorder="1"/>
    <xf numFmtId="0" fontId="0" fillId="0" borderId="13" xfId="0" applyBorder="1"/>
    <xf numFmtId="0" fontId="25" fillId="0" borderId="38" xfId="0" applyFont="1" applyBorder="1"/>
    <xf numFmtId="0" fontId="10" fillId="0" borderId="51" xfId="0" applyFont="1" applyBorder="1"/>
    <xf numFmtId="0" fontId="8" fillId="0" borderId="26" xfId="0" applyFont="1" applyBorder="1"/>
    <xf numFmtId="0" fontId="11" fillId="0" borderId="0" xfId="0" applyFont="1" applyBorder="1"/>
    <xf numFmtId="3" fontId="11" fillId="4" borderId="39" xfId="0" applyNumberFormat="1" applyFont="1" applyFill="1" applyBorder="1"/>
    <xf numFmtId="0" fontId="5" fillId="2" borderId="38" xfId="0" applyFont="1" applyFill="1" applyBorder="1"/>
    <xf numFmtId="0" fontId="7" fillId="0" borderId="0" xfId="0" applyFont="1" applyBorder="1"/>
    <xf numFmtId="3" fontId="12" fillId="2" borderId="39" xfId="0" applyNumberFormat="1" applyFont="1" applyFill="1" applyBorder="1"/>
    <xf numFmtId="0" fontId="11" fillId="0" borderId="56" xfId="0" applyFont="1" applyBorder="1"/>
    <xf numFmtId="171" fontId="11" fillId="4" borderId="39" xfId="1" applyNumberFormat="1" applyFont="1" applyFill="1" applyBorder="1"/>
    <xf numFmtId="0" fontId="12" fillId="2" borderId="38" xfId="0" applyFont="1" applyFill="1" applyBorder="1"/>
    <xf numFmtId="171" fontId="12" fillId="2" borderId="39" xfId="1" applyNumberFormat="1" applyFont="1" applyFill="1" applyBorder="1"/>
    <xf numFmtId="0" fontId="4" fillId="0" borderId="51" xfId="0" applyFont="1" applyBorder="1"/>
    <xf numFmtId="171" fontId="4" fillId="0" borderId="51" xfId="0" applyNumberFormat="1" applyFont="1" applyBorder="1"/>
    <xf numFmtId="171" fontId="4" fillId="0" borderId="15" xfId="0" applyNumberFormat="1" applyFont="1" applyBorder="1"/>
    <xf numFmtId="0" fontId="8" fillId="17" borderId="52" xfId="0" applyFont="1" applyFill="1" applyBorder="1"/>
    <xf numFmtId="0" fontId="8" fillId="17" borderId="53" xfId="0" applyFont="1" applyFill="1" applyBorder="1"/>
    <xf numFmtId="164" fontId="8" fillId="17" borderId="53" xfId="5" applyFont="1" applyFill="1" applyBorder="1"/>
    <xf numFmtId="164" fontId="8" fillId="17" borderId="54" xfId="5" applyFont="1" applyFill="1" applyBorder="1"/>
    <xf numFmtId="0" fontId="8" fillId="0" borderId="0" xfId="0" applyFont="1"/>
    <xf numFmtId="1" fontId="12" fillId="2" borderId="11" xfId="0" applyNumberFormat="1" applyFont="1" applyFill="1" applyBorder="1"/>
    <xf numFmtId="171" fontId="12" fillId="2" borderId="11" xfId="1" applyNumberFormat="1" applyFont="1" applyFill="1" applyBorder="1"/>
    <xf numFmtId="0" fontId="4" fillId="0" borderId="23" xfId="0" applyFont="1" applyBorder="1"/>
    <xf numFmtId="0" fontId="8" fillId="0" borderId="24" xfId="0" applyFont="1" applyBorder="1"/>
    <xf numFmtId="0" fontId="11" fillId="5" borderId="38" xfId="0" applyFont="1" applyFill="1" applyBorder="1"/>
    <xf numFmtId="9" fontId="11" fillId="4" borderId="39" xfId="0" applyNumberFormat="1" applyFont="1" applyFill="1" applyBorder="1"/>
    <xf numFmtId="0" fontId="4" fillId="0" borderId="26" xfId="0" applyFont="1" applyBorder="1"/>
    <xf numFmtId="0" fontId="9" fillId="0" borderId="38" xfId="0" applyFont="1" applyBorder="1"/>
    <xf numFmtId="171" fontId="10" fillId="0" borderId="39" xfId="0" applyNumberFormat="1" applyFont="1" applyBorder="1"/>
    <xf numFmtId="0" fontId="12" fillId="2" borderId="14" xfId="0" applyFont="1" applyFill="1" applyBorder="1"/>
    <xf numFmtId="1" fontId="12" fillId="2" borderId="51" xfId="0" applyNumberFormat="1" applyFont="1" applyFill="1" applyBorder="1"/>
    <xf numFmtId="171" fontId="12" fillId="2" borderId="51" xfId="1" applyNumberFormat="1" applyFont="1" applyFill="1" applyBorder="1"/>
    <xf numFmtId="171" fontId="12" fillId="2" borderId="15" xfId="1" applyNumberFormat="1" applyFont="1" applyFill="1" applyBorder="1"/>
    <xf numFmtId="0" fontId="9" fillId="0" borderId="12" xfId="0" applyFont="1" applyBorder="1"/>
    <xf numFmtId="0" fontId="9" fillId="0" borderId="55" xfId="0" applyFont="1" applyBorder="1"/>
    <xf numFmtId="171" fontId="10" fillId="0" borderId="55" xfId="0" applyNumberFormat="1" applyFont="1" applyBorder="1"/>
    <xf numFmtId="171" fontId="10" fillId="0" borderId="13" xfId="0" applyNumberFormat="1" applyFont="1" applyBorder="1"/>
    <xf numFmtId="0" fontId="10" fillId="0" borderId="38" xfId="0" applyFont="1" applyBorder="1"/>
    <xf numFmtId="0" fontId="9" fillId="4" borderId="38" xfId="0" applyFont="1" applyFill="1" applyBorder="1"/>
    <xf numFmtId="171" fontId="10" fillId="4" borderId="39" xfId="0" applyNumberFormat="1" applyFont="1" applyFill="1" applyBorder="1"/>
    <xf numFmtId="0" fontId="0" fillId="0" borderId="56" xfId="0" applyBorder="1"/>
    <xf numFmtId="171" fontId="2" fillId="0" borderId="39" xfId="0" applyNumberFormat="1" applyFont="1" applyBorder="1"/>
    <xf numFmtId="0" fontId="12" fillId="2" borderId="56" xfId="0" applyFont="1" applyFill="1" applyBorder="1"/>
    <xf numFmtId="171" fontId="12" fillId="2" borderId="22" xfId="1" applyNumberFormat="1" applyFont="1" applyFill="1" applyBorder="1"/>
    <xf numFmtId="0" fontId="4" fillId="18" borderId="12" xfId="0" applyFont="1" applyFill="1" applyBorder="1"/>
    <xf numFmtId="0" fontId="4" fillId="18" borderId="14" xfId="0" applyFont="1" applyFill="1" applyBorder="1"/>
    <xf numFmtId="0" fontId="4" fillId="18" borderId="55" xfId="0" applyFont="1" applyFill="1" applyBorder="1"/>
    <xf numFmtId="171" fontId="4" fillId="18" borderId="55" xfId="0" applyNumberFormat="1" applyFont="1" applyFill="1" applyBorder="1"/>
    <xf numFmtId="171" fontId="4" fillId="18" borderId="13" xfId="0" applyNumberFormat="1" applyFont="1" applyFill="1" applyBorder="1"/>
    <xf numFmtId="0" fontId="4" fillId="18" borderId="51" xfId="0" applyFont="1" applyFill="1" applyBorder="1"/>
    <xf numFmtId="171" fontId="4" fillId="18" borderId="51" xfId="0" applyNumberFormat="1" applyFont="1" applyFill="1" applyBorder="1"/>
    <xf numFmtId="171" fontId="4" fillId="18" borderId="15" xfId="0" applyNumberFormat="1" applyFont="1" applyFill="1" applyBorder="1"/>
    <xf numFmtId="0" fontId="9" fillId="0" borderId="8" xfId="0" applyFont="1" applyFill="1" applyBorder="1"/>
    <xf numFmtId="0" fontId="49" fillId="0" borderId="1" xfId="4" applyFont="1" applyBorder="1"/>
    <xf numFmtId="0" fontId="36" fillId="0" borderId="12" xfId="0" applyFont="1" applyBorder="1"/>
    <xf numFmtId="0" fontId="9" fillId="0" borderId="13" xfId="0" applyFont="1" applyBorder="1"/>
    <xf numFmtId="9" fontId="37" fillId="0" borderId="39" xfId="0" applyNumberFormat="1" applyFont="1" applyBorder="1"/>
    <xf numFmtId="9" fontId="9" fillId="0" borderId="39" xfId="0" applyNumberFormat="1" applyFont="1" applyBorder="1"/>
    <xf numFmtId="0" fontId="37" fillId="0" borderId="39" xfId="0" applyFont="1" applyBorder="1"/>
    <xf numFmtId="0" fontId="9" fillId="0" borderId="14" xfId="0" applyFont="1" applyBorder="1"/>
    <xf numFmtId="0" fontId="9" fillId="0" borderId="51" xfId="0" applyFont="1" applyBorder="1"/>
    <xf numFmtId="0" fontId="9" fillId="0" borderId="15" xfId="0" applyFont="1" applyBorder="1"/>
    <xf numFmtId="0" fontId="11" fillId="0" borderId="21" xfId="0" applyFont="1" applyBorder="1"/>
    <xf numFmtId="9" fontId="11" fillId="0" borderId="21" xfId="0" applyNumberFormat="1" applyFont="1" applyBorder="1"/>
    <xf numFmtId="0" fontId="0" fillId="0" borderId="0" xfId="0" applyProtection="1"/>
    <xf numFmtId="178" fontId="10" fillId="0" borderId="7" xfId="0" applyNumberFormat="1" applyFont="1" applyBorder="1"/>
    <xf numFmtId="164" fontId="0" fillId="0" borderId="0" xfId="5" applyFont="1"/>
    <xf numFmtId="0" fontId="9" fillId="0" borderId="56" xfId="0" applyFont="1" applyBorder="1"/>
    <xf numFmtId="0" fontId="9" fillId="0" borderId="11" xfId="0" applyFont="1" applyBorder="1"/>
    <xf numFmtId="0" fontId="9" fillId="0" borderId="22" xfId="0" applyFont="1" applyBorder="1"/>
    <xf numFmtId="0" fontId="9" fillId="0" borderId="14" xfId="0" applyFont="1" applyFill="1" applyBorder="1"/>
    <xf numFmtId="164" fontId="0" fillId="0" borderId="51" xfId="5" applyFont="1" applyBorder="1"/>
    <xf numFmtId="0" fontId="9" fillId="0" borderId="0" xfId="0" applyFont="1" applyBorder="1"/>
    <xf numFmtId="164" fontId="0" fillId="0" borderId="0" xfId="5" applyFont="1" applyBorder="1"/>
    <xf numFmtId="0" fontId="9" fillId="0" borderId="39" xfId="0" applyFont="1" applyBorder="1"/>
    <xf numFmtId="0" fontId="29" fillId="0" borderId="21" xfId="4" applyBorder="1"/>
    <xf numFmtId="0" fontId="9" fillId="7" borderId="52" xfId="0" applyFont="1" applyFill="1" applyBorder="1"/>
    <xf numFmtId="164" fontId="0" fillId="7" borderId="53" xfId="5" applyFont="1" applyFill="1" applyBorder="1"/>
    <xf numFmtId="164" fontId="0" fillId="7" borderId="54" xfId="5" applyFont="1" applyFill="1" applyBorder="1"/>
    <xf numFmtId="164" fontId="0" fillId="7" borderId="53" xfId="0" applyNumberFormat="1" applyFill="1" applyBorder="1"/>
    <xf numFmtId="164" fontId="0" fillId="7" borderId="54" xfId="0" applyNumberFormat="1" applyFill="1" applyBorder="1"/>
    <xf numFmtId="167" fontId="11" fillId="0" borderId="4" xfId="1" applyNumberFormat="1" applyFont="1" applyFill="1" applyBorder="1"/>
    <xf numFmtId="0" fontId="5" fillId="0" borderId="4" xfId="0" applyFont="1" applyFill="1" applyBorder="1"/>
    <xf numFmtId="0" fontId="10" fillId="0" borderId="4" xfId="0" applyFont="1" applyFill="1" applyBorder="1"/>
    <xf numFmtId="167" fontId="10" fillId="0" borderId="4" xfId="1" applyNumberFormat="1" applyFont="1" applyFill="1" applyBorder="1"/>
    <xf numFmtId="0" fontId="0" fillId="0" borderId="0" xfId="0" applyFill="1"/>
    <xf numFmtId="0" fontId="16" fillId="0" borderId="4" xfId="0" applyFont="1" applyFill="1" applyBorder="1"/>
    <xf numFmtId="167" fontId="0" fillId="0" borderId="4" xfId="0" applyNumberFormat="1" applyBorder="1"/>
    <xf numFmtId="44" fontId="0" fillId="0" borderId="4" xfId="0" applyNumberFormat="1" applyBorder="1"/>
    <xf numFmtId="9" fontId="11" fillId="0" borderId="11" xfId="2" applyFont="1" applyBorder="1"/>
    <xf numFmtId="0" fontId="20" fillId="0" borderId="4" xfId="0" applyFont="1" applyBorder="1" applyAlignment="1">
      <alignment horizontal="left"/>
    </xf>
    <xf numFmtId="0" fontId="11" fillId="0" borderId="11" xfId="0" applyFont="1" applyBorder="1"/>
    <xf numFmtId="0" fontId="14" fillId="0" borderId="7" xfId="0" applyFont="1" applyBorder="1"/>
    <xf numFmtId="167" fontId="11" fillId="4" borderId="7" xfId="1" applyNumberFormat="1" applyFont="1" applyFill="1" applyBorder="1"/>
    <xf numFmtId="167" fontId="10" fillId="0" borderId="7" xfId="0" applyNumberFormat="1" applyFont="1" applyBorder="1"/>
    <xf numFmtId="0" fontId="5" fillId="0" borderId="11" xfId="0" applyFont="1" applyBorder="1"/>
    <xf numFmtId="167" fontId="10" fillId="0" borderId="11" xfId="0" applyNumberFormat="1" applyFont="1" applyBorder="1"/>
    <xf numFmtId="0" fontId="10" fillId="0" borderId="12" xfId="0" applyFont="1" applyBorder="1"/>
    <xf numFmtId="0" fontId="10" fillId="0" borderId="55" xfId="0" applyFont="1" applyBorder="1"/>
    <xf numFmtId="167" fontId="10" fillId="0" borderId="55" xfId="0" applyNumberFormat="1" applyFont="1" applyBorder="1"/>
    <xf numFmtId="167" fontId="10" fillId="0" borderId="13" xfId="0" applyNumberFormat="1" applyFont="1" applyBorder="1"/>
    <xf numFmtId="167" fontId="10" fillId="0" borderId="39" xfId="0" applyNumberFormat="1" applyFont="1" applyBorder="1"/>
    <xf numFmtId="167" fontId="10" fillId="0" borderId="51" xfId="0" applyNumberFormat="1" applyFont="1" applyBorder="1"/>
    <xf numFmtId="167" fontId="10" fillId="0" borderId="15" xfId="0" applyNumberFormat="1" applyFont="1" applyBorder="1"/>
    <xf numFmtId="0" fontId="0" fillId="0" borderId="21" xfId="0" applyBorder="1"/>
    <xf numFmtId="0" fontId="11" fillId="0" borderId="52" xfId="0" applyFont="1" applyBorder="1"/>
    <xf numFmtId="164" fontId="11" fillId="0" borderId="53" xfId="5" applyFont="1" applyBorder="1"/>
    <xf numFmtId="164" fontId="11" fillId="0" borderId="54" xfId="5" applyFont="1" applyBorder="1"/>
    <xf numFmtId="0" fontId="4" fillId="0" borderId="55" xfId="0" applyFont="1" applyBorder="1"/>
    <xf numFmtId="0" fontId="4" fillId="0" borderId="13" xfId="0" applyFont="1" applyBorder="1"/>
    <xf numFmtId="10" fontId="4" fillId="0" borderId="14" xfId="2" applyNumberFormat="1" applyFont="1" applyBorder="1"/>
    <xf numFmtId="0" fontId="4" fillId="0" borderId="51" xfId="6" applyNumberFormat="1" applyFont="1" applyBorder="1"/>
    <xf numFmtId="10" fontId="4" fillId="0" borderId="51" xfId="2" applyNumberFormat="1" applyFont="1" applyBorder="1"/>
    <xf numFmtId="0" fontId="4" fillId="0" borderId="15" xfId="0" applyFont="1" applyBorder="1"/>
    <xf numFmtId="9" fontId="10" fillId="0" borderId="0" xfId="0" applyNumberFormat="1" applyFont="1"/>
    <xf numFmtId="0" fontId="9" fillId="0" borderId="0" xfId="0" applyFont="1"/>
    <xf numFmtId="0" fontId="51" fillId="0" borderId="0" xfId="4" applyFont="1"/>
    <xf numFmtId="0" fontId="11" fillId="0" borderId="12" xfId="0" applyFont="1" applyBorder="1"/>
    <xf numFmtId="183" fontId="11" fillId="0" borderId="13" xfId="2" applyNumberFormat="1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183" fontId="4" fillId="0" borderId="39" xfId="2" applyNumberFormat="1" applyFont="1" applyBorder="1" applyAlignment="1">
      <alignment horizontal="center"/>
    </xf>
    <xf numFmtId="0" fontId="11" fillId="0" borderId="14" xfId="0" applyFont="1" applyBorder="1"/>
    <xf numFmtId="0" fontId="11" fillId="0" borderId="15" xfId="0" applyFont="1" applyBorder="1" applyAlignment="1">
      <alignment horizontal="center" vertical="center"/>
    </xf>
    <xf numFmtId="0" fontId="52" fillId="0" borderId="11" xfId="0" applyFont="1" applyBorder="1" applyAlignment="1">
      <alignment horizontal="center" wrapText="1"/>
    </xf>
    <xf numFmtId="164" fontId="11" fillId="0" borderId="4" xfId="5" applyFont="1" applyBorder="1"/>
    <xf numFmtId="164" fontId="11" fillId="0" borderId="39" xfId="5" applyFont="1" applyBorder="1"/>
    <xf numFmtId="9" fontId="11" fillId="4" borderId="4" xfId="2" applyFont="1" applyFill="1" applyBorder="1"/>
    <xf numFmtId="9" fontId="11" fillId="4" borderId="39" xfId="2" applyFont="1" applyFill="1" applyBorder="1"/>
    <xf numFmtId="9" fontId="11" fillId="0" borderId="39" xfId="2" applyFont="1" applyBorder="1"/>
    <xf numFmtId="164" fontId="11" fillId="4" borderId="4" xfId="5" applyFont="1" applyFill="1" applyBorder="1"/>
    <xf numFmtId="164" fontId="11" fillId="4" borderId="39" xfId="5" applyFont="1" applyFill="1" applyBorder="1"/>
    <xf numFmtId="0" fontId="5" fillId="19" borderId="4" xfId="0" applyFont="1" applyFill="1" applyBorder="1"/>
    <xf numFmtId="0" fontId="5" fillId="20" borderId="4" xfId="0" applyFont="1" applyFill="1" applyBorder="1"/>
    <xf numFmtId="0" fontId="54" fillId="0" borderId="4" xfId="0" applyFont="1" applyBorder="1"/>
    <xf numFmtId="0" fontId="21" fillId="0" borderId="4" xfId="0" applyFont="1" applyBorder="1"/>
    <xf numFmtId="0" fontId="6" fillId="0" borderId="4" xfId="0" applyFont="1" applyBorder="1"/>
    <xf numFmtId="0" fontId="5" fillId="0" borderId="4" xfId="0" applyFont="1" applyBorder="1" applyAlignment="1">
      <alignment horizontal="right"/>
    </xf>
    <xf numFmtId="0" fontId="0" fillId="2" borderId="0" xfId="0" applyFill="1"/>
    <xf numFmtId="0" fontId="55" fillId="0" borderId="51" xfId="0" applyFont="1" applyBorder="1"/>
    <xf numFmtId="0" fontId="0" fillId="16" borderId="4" xfId="0" applyFill="1" applyBorder="1"/>
    <xf numFmtId="166" fontId="0" fillId="16" borderId="4" xfId="0" applyNumberFormat="1" applyFill="1" applyBorder="1"/>
    <xf numFmtId="167" fontId="10" fillId="0" borderId="0" xfId="1" applyNumberFormat="1" applyFont="1" applyBorder="1"/>
    <xf numFmtId="0" fontId="59" fillId="0" borderId="0" xfId="0" applyFont="1" applyBorder="1"/>
    <xf numFmtId="41" fontId="4" fillId="0" borderId="4" xfId="6" applyFont="1" applyBorder="1"/>
    <xf numFmtId="0" fontId="61" fillId="2" borderId="4" xfId="0" applyFont="1" applyFill="1" applyBorder="1"/>
    <xf numFmtId="0" fontId="35" fillId="21" borderId="0" xfId="4" applyFont="1" applyFill="1"/>
    <xf numFmtId="0" fontId="59" fillId="0" borderId="4" xfId="0" applyFont="1" applyBorder="1" applyAlignment="1">
      <alignment horizontal="center" vertical="center"/>
    </xf>
    <xf numFmtId="0" fontId="58" fillId="2" borderId="4" xfId="0" applyFont="1" applyFill="1" applyBorder="1" applyProtection="1"/>
    <xf numFmtId="0" fontId="59" fillId="0" borderId="7" xfId="0" applyFont="1" applyBorder="1"/>
    <xf numFmtId="0" fontId="62" fillId="2" borderId="4" xfId="0" applyFont="1" applyFill="1" applyBorder="1" applyProtection="1"/>
    <xf numFmtId="0" fontId="63" fillId="2" borderId="4" xfId="0" applyFont="1" applyFill="1" applyBorder="1" applyProtection="1"/>
    <xf numFmtId="0" fontId="0" fillId="22" borderId="4" xfId="0" applyFill="1" applyBorder="1"/>
    <xf numFmtId="171" fontId="10" fillId="22" borderId="4" xfId="0" applyNumberFormat="1" applyFont="1" applyFill="1" applyBorder="1"/>
    <xf numFmtId="0" fontId="0" fillId="6" borderId="4" xfId="0" applyFill="1" applyBorder="1"/>
    <xf numFmtId="171" fontId="10" fillId="6" borderId="4" xfId="0" applyNumberFormat="1" applyFont="1" applyFill="1" applyBorder="1"/>
    <xf numFmtId="0" fontId="57" fillId="0" borderId="4" xfId="0" applyFont="1" applyBorder="1"/>
    <xf numFmtId="0" fontId="4" fillId="23" borderId="4" xfId="0" applyFont="1" applyFill="1" applyBorder="1"/>
    <xf numFmtId="0" fontId="65" fillId="0" borderId="0" xfId="0" applyFont="1"/>
    <xf numFmtId="170" fontId="4" fillId="0" borderId="0" xfId="1" applyFont="1"/>
    <xf numFmtId="0" fontId="4" fillId="3" borderId="4" xfId="0" applyFont="1" applyFill="1" applyBorder="1"/>
    <xf numFmtId="0" fontId="66" fillId="0" borderId="0" xfId="0" applyFont="1"/>
    <xf numFmtId="164" fontId="0" fillId="0" borderId="0" xfId="0" applyNumberFormat="1"/>
    <xf numFmtId="0" fontId="0" fillId="24" borderId="0" xfId="0" applyFill="1"/>
    <xf numFmtId="0" fontId="33" fillId="8" borderId="4" xfId="0" applyFont="1" applyFill="1" applyBorder="1"/>
    <xf numFmtId="164" fontId="0" fillId="0" borderId="4" xfId="5" applyFont="1" applyBorder="1" applyAlignment="1"/>
    <xf numFmtId="164" fontId="68" fillId="0" borderId="4" xfId="5" applyFont="1" applyBorder="1" applyAlignment="1"/>
    <xf numFmtId="164" fontId="16" fillId="0" borderId="4" xfId="5" applyFont="1" applyBorder="1" applyAlignment="1"/>
    <xf numFmtId="0" fontId="0" fillId="0" borderId="4" xfId="0" applyBorder="1" applyAlignment="1">
      <alignment horizontal="left" indent="2"/>
    </xf>
    <xf numFmtId="0" fontId="20" fillId="2" borderId="4" xfId="0" applyFont="1" applyFill="1" applyBorder="1" applyAlignment="1">
      <alignment horizontal="left" indent="1"/>
    </xf>
    <xf numFmtId="164" fontId="68" fillId="2" borderId="4" xfId="5" applyFont="1" applyFill="1" applyBorder="1" applyAlignment="1"/>
    <xf numFmtId="0" fontId="20" fillId="0" borderId="4" xfId="0" applyFont="1" applyBorder="1" applyAlignment="1">
      <alignment horizontal="left" indent="1"/>
    </xf>
    <xf numFmtId="164" fontId="0" fillId="0" borderId="0" xfId="5" applyFont="1" applyAlignment="1"/>
    <xf numFmtId="0" fontId="69" fillId="0" borderId="4" xfId="0" applyFont="1" applyBorder="1"/>
    <xf numFmtId="164" fontId="69" fillId="0" borderId="4" xfId="5" applyFont="1" applyBorder="1" applyAlignment="1"/>
    <xf numFmtId="0" fontId="55" fillId="0" borderId="0" xfId="0" applyFont="1" applyBorder="1"/>
    <xf numFmtId="0" fontId="55" fillId="0" borderId="4" xfId="0" applyFont="1" applyBorder="1"/>
    <xf numFmtId="167" fontId="10" fillId="3" borderId="4" xfId="0" applyNumberFormat="1" applyFont="1" applyFill="1" applyBorder="1"/>
    <xf numFmtId="167" fontId="10" fillId="0" borderId="4" xfId="0" applyNumberFormat="1" applyFont="1" applyFill="1" applyBorder="1"/>
    <xf numFmtId="171" fontId="10" fillId="6" borderId="4" xfId="0" applyNumberFormat="1" applyFont="1" applyFill="1" applyBorder="1" applyAlignment="1"/>
    <xf numFmtId="0" fontId="10" fillId="0" borderId="11" xfId="0" applyFont="1" applyBorder="1"/>
    <xf numFmtId="0" fontId="10" fillId="0" borderId="5" xfId="0" applyFont="1" applyBorder="1"/>
    <xf numFmtId="9" fontId="0" fillId="0" borderId="4" xfId="0" applyNumberFormat="1" applyBorder="1"/>
    <xf numFmtId="0" fontId="4" fillId="25" borderId="4" xfId="0" applyFont="1" applyFill="1" applyBorder="1" applyAlignment="1">
      <alignment horizontal="center"/>
    </xf>
    <xf numFmtId="0" fontId="8" fillId="25" borderId="4" xfId="0" applyFont="1" applyFill="1" applyBorder="1" applyAlignment="1">
      <alignment horizontal="center"/>
    </xf>
    <xf numFmtId="0" fontId="0" fillId="25" borderId="4" xfId="0" applyFill="1" applyBorder="1" applyAlignment="1">
      <alignment horizontal="center"/>
    </xf>
    <xf numFmtId="0" fontId="10" fillId="25" borderId="4" xfId="0" applyFont="1" applyFill="1" applyBorder="1" applyAlignment="1">
      <alignment horizontal="center"/>
    </xf>
    <xf numFmtId="171" fontId="26" fillId="25" borderId="4" xfId="0" applyNumberFormat="1" applyFont="1" applyFill="1" applyBorder="1" applyAlignment="1">
      <alignment horizontal="center"/>
    </xf>
    <xf numFmtId="171" fontId="7" fillId="25" borderId="4" xfId="0" applyNumberFormat="1" applyFont="1" applyFill="1" applyBorder="1" applyAlignment="1">
      <alignment horizontal="center"/>
    </xf>
    <xf numFmtId="0" fontId="9" fillId="25" borderId="4" xfId="0" applyFont="1" applyFill="1" applyBorder="1" applyAlignment="1">
      <alignment horizontal="center"/>
    </xf>
    <xf numFmtId="9" fontId="11" fillId="25" borderId="4" xfId="0" applyNumberFormat="1" applyFont="1" applyFill="1" applyBorder="1" applyAlignment="1">
      <alignment horizontal="center"/>
    </xf>
    <xf numFmtId="0" fontId="9" fillId="25" borderId="4" xfId="0" quotePrefix="1" applyFont="1" applyFill="1" applyBorder="1" applyAlignment="1">
      <alignment horizontal="center"/>
    </xf>
    <xf numFmtId="0" fontId="0" fillId="25" borderId="4" xfId="0" quotePrefix="1" applyFill="1" applyBorder="1" applyAlignment="1">
      <alignment horizontal="center"/>
    </xf>
    <xf numFmtId="171" fontId="7" fillId="25" borderId="0" xfId="0" applyNumberFormat="1" applyFont="1" applyFill="1" applyBorder="1" applyAlignment="1">
      <alignment horizontal="center"/>
    </xf>
    <xf numFmtId="171" fontId="9" fillId="4" borderId="4" xfId="0" applyNumberFormat="1" applyFont="1" applyFill="1" applyBorder="1"/>
    <xf numFmtId="0" fontId="0" fillId="0" borderId="4" xfId="0" applyFont="1" applyBorder="1"/>
    <xf numFmtId="171" fontId="9" fillId="0" borderId="4" xfId="0" applyNumberFormat="1" applyFont="1" applyBorder="1"/>
    <xf numFmtId="0" fontId="0" fillId="0" borderId="0" xfId="0" applyFill="1" applyAlignment="1">
      <alignment horizontal="center"/>
    </xf>
    <xf numFmtId="171" fontId="26" fillId="0" borderId="0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9" fontId="11" fillId="0" borderId="4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10" fontId="4" fillId="0" borderId="4" xfId="0" applyNumberFormat="1" applyFont="1" applyFill="1" applyBorder="1"/>
    <xf numFmtId="169" fontId="4" fillId="0" borderId="4" xfId="0" applyNumberFormat="1" applyFont="1" applyFill="1" applyBorder="1"/>
    <xf numFmtId="40" fontId="0" fillId="0" borderId="4" xfId="0" applyNumberFormat="1" applyFill="1" applyBorder="1"/>
    <xf numFmtId="171" fontId="10" fillId="0" borderId="4" xfId="0" applyNumberFormat="1" applyFont="1" applyFill="1" applyBorder="1"/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48" fillId="0" borderId="43" xfId="0" applyFont="1" applyBorder="1" applyAlignment="1">
      <alignment horizontal="center" vertical="center"/>
    </xf>
    <xf numFmtId="0" fontId="48" fillId="0" borderId="44" xfId="0" applyFont="1" applyBorder="1" applyAlignment="1">
      <alignment horizontal="center" vertical="center"/>
    </xf>
    <xf numFmtId="0" fontId="48" fillId="0" borderId="47" xfId="0" applyFont="1" applyBorder="1" applyAlignment="1">
      <alignment horizontal="center" vertical="center"/>
    </xf>
    <xf numFmtId="0" fontId="48" fillId="0" borderId="48" xfId="0" applyFont="1" applyBorder="1" applyAlignment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60" fillId="0" borderId="18" xfId="4" applyFont="1" applyBorder="1" applyAlignment="1">
      <alignment horizontal="left" wrapText="1"/>
    </xf>
    <xf numFmtId="0" fontId="60" fillId="0" borderId="5" xfId="4" applyFont="1" applyBorder="1" applyAlignment="1">
      <alignment horizontal="left" wrapText="1"/>
    </xf>
    <xf numFmtId="0" fontId="29" fillId="2" borderId="8" xfId="4" applyFill="1" applyBorder="1" applyAlignment="1">
      <alignment horizontal="left"/>
    </xf>
    <xf numFmtId="0" fontId="29" fillId="2" borderId="10" xfId="4" applyFill="1" applyBorder="1" applyAlignment="1">
      <alignment horizontal="left"/>
    </xf>
    <xf numFmtId="0" fontId="0" fillId="0" borderId="4" xfId="0" applyBorder="1" applyAlignment="1">
      <alignment horizontal="center"/>
    </xf>
    <xf numFmtId="0" fontId="42" fillId="13" borderId="8" xfId="0" applyFont="1" applyFill="1" applyBorder="1" applyAlignment="1">
      <alignment horizontal="left"/>
    </xf>
    <xf numFmtId="0" fontId="42" fillId="13" borderId="9" xfId="0" applyFont="1" applyFill="1" applyBorder="1" applyAlignment="1">
      <alignment horizontal="left"/>
    </xf>
    <xf numFmtId="0" fontId="42" fillId="13" borderId="10" xfId="0" applyFont="1" applyFill="1" applyBorder="1" applyAlignment="1">
      <alignment horizontal="left"/>
    </xf>
    <xf numFmtId="10" fontId="46" fillId="14" borderId="8" xfId="2" applyNumberFormat="1" applyFont="1" applyFill="1" applyBorder="1" applyAlignment="1">
      <alignment horizontal="center"/>
    </xf>
    <xf numFmtId="10" fontId="46" fillId="14" borderId="10" xfId="2" applyNumberFormat="1" applyFont="1" applyFill="1" applyBorder="1" applyAlignment="1">
      <alignment horizontal="center"/>
    </xf>
    <xf numFmtId="0" fontId="41" fillId="15" borderId="33" xfId="0" applyFont="1" applyFill="1" applyBorder="1" applyAlignment="1">
      <alignment horizontal="left" vertical="top" wrapText="1"/>
    </xf>
    <xf numFmtId="0" fontId="41" fillId="15" borderId="20" xfId="0" applyFont="1" applyFill="1" applyBorder="1" applyAlignment="1">
      <alignment horizontal="left" vertical="top" wrapText="1"/>
    </xf>
    <xf numFmtId="0" fontId="41" fillId="15" borderId="40" xfId="0" applyFont="1" applyFill="1" applyBorder="1" applyAlignment="1">
      <alignment horizontal="left" vertical="top" wrapText="1"/>
    </xf>
    <xf numFmtId="0" fontId="41" fillId="15" borderId="34" xfId="0" applyFont="1" applyFill="1" applyBorder="1" applyAlignment="1">
      <alignment horizontal="left" vertical="top" wrapText="1"/>
    </xf>
    <xf numFmtId="0" fontId="41" fillId="15" borderId="0" xfId="0" applyFont="1" applyFill="1" applyBorder="1" applyAlignment="1">
      <alignment horizontal="left" vertical="top" wrapText="1"/>
    </xf>
    <xf numFmtId="0" fontId="41" fillId="15" borderId="41" xfId="0" applyFont="1" applyFill="1" applyBorder="1" applyAlignment="1">
      <alignment horizontal="left" vertical="top" wrapText="1"/>
    </xf>
    <xf numFmtId="0" fontId="41" fillId="15" borderId="42" xfId="0" applyFont="1" applyFill="1" applyBorder="1" applyAlignment="1">
      <alignment horizontal="left" vertical="top" wrapText="1"/>
    </xf>
    <xf numFmtId="0" fontId="41" fillId="15" borderId="19" xfId="0" applyFont="1" applyFill="1" applyBorder="1" applyAlignment="1">
      <alignment horizontal="left" vertical="top" wrapText="1"/>
    </xf>
    <xf numFmtId="0" fontId="41" fillId="15" borderId="6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</cellXfs>
  <cellStyles count="7">
    <cellStyle name="Hipervínculo" xfId="4" builtinId="8"/>
    <cellStyle name="Millares" xfId="3" builtinId="3"/>
    <cellStyle name="Millares [0]" xfId="6" builtinId="6"/>
    <cellStyle name="Moneda" xfId="1" builtinId="4"/>
    <cellStyle name="Moneda [0]" xfId="5" builtinId="7"/>
    <cellStyle name="Normal" xfId="0" builtinId="0"/>
    <cellStyle name="Porcentaje" xfId="2" builtinId="5"/>
  </cellStyles>
  <dxfs count="21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theme="3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b/>
        <i val="0"/>
        <color theme="3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3" tint="0.39994506668294322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theme="3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b/>
        <i val="0"/>
        <color theme="3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3" tint="0.39994506668294322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E4E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3336558328202661"/>
          <c:y val="0.1140875181232717"/>
          <c:w val="0.85065841940706"/>
          <c:h val="0.8761286608693237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'EdeR y F de C'!$E$102</c:f>
              <c:strCache>
                <c:ptCount val="1"/>
                <c:pt idx="0">
                  <c:v>VPN Acumulado en el Tiempo</c:v>
                </c:pt>
              </c:strCache>
            </c:strRef>
          </c:tx>
          <c:marker>
            <c:symbol val="none"/>
          </c:marker>
          <c:yVal>
            <c:numRef>
              <c:f>'EdeR y F de C'!$F$102:$AD$102</c:f>
              <c:numCache>
                <c:formatCode>"$"\ #,##0.00_);[Red]\("$"\ #,##0.00\)</c:formatCode>
                <c:ptCount val="6"/>
                <c:pt idx="0">
                  <c:v>-188207486</c:v>
                </c:pt>
                <c:pt idx="1">
                  <c:v>-248413840.54545453</c:v>
                </c:pt>
                <c:pt idx="2">
                  <c:v>-303369212.44628096</c:v>
                </c:pt>
                <c:pt idx="3">
                  <c:v>-350792428.07362884</c:v>
                </c:pt>
                <c:pt idx="4">
                  <c:v>-391114838.08660603</c:v>
                </c:pt>
                <c:pt idx="5">
                  <c:v>-424231902.81610167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A92-4A72-9D95-263FF4A22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792160"/>
        <c:axId val="228795968"/>
      </c:scatterChart>
      <c:valAx>
        <c:axId val="22879216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228795968"/>
        <c:crosses val="autoZero"/>
        <c:crossBetween val="midCat"/>
      </c:valAx>
      <c:valAx>
        <c:axId val="228795968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&quot;$&quot;\ #,##0.00_);[Red]\(&quot;$&quot;\ #,##0.00\)" sourceLinked="1"/>
        <c:majorTickMark val="none"/>
        <c:minorTickMark val="none"/>
        <c:tickLblPos val="nextTo"/>
        <c:crossAx val="22879216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'EdeR y F de C'!$R$133</c:f>
              <c:strCache>
                <c:ptCount val="1"/>
                <c:pt idx="0">
                  <c:v>VPN</c:v>
                </c:pt>
              </c:strCache>
            </c:strRef>
          </c:tx>
          <c:trendline>
            <c:trendlineType val="linear"/>
            <c:dispRSqr val="1"/>
            <c:dispEq val="1"/>
            <c:trendlineLbl>
              <c:layout>
                <c:manualLayout>
                  <c:x val="0.3698954505686789"/>
                  <c:y val="-0.25116324001166523"/>
                </c:manualLayout>
              </c:layout>
              <c:numFmt formatCode="General" sourceLinked="0"/>
            </c:trendlineLbl>
          </c:trendline>
          <c:xVal>
            <c:numRef>
              <c:f>'EdeR y F de C'!$Q$134:$Q$151</c:f>
            </c:numRef>
          </c:xVal>
          <c:yVal>
            <c:numRef>
              <c:f>'EdeR y F de C'!$R$134:$R$151</c:f>
            </c:numRef>
          </c:yVal>
          <c:smooth val="1"/>
          <c:extLst>
            <c:ext xmlns:c16="http://schemas.microsoft.com/office/drawing/2014/chart" uri="{C3380CC4-5D6E-409C-BE32-E72D297353CC}">
              <c16:uniqueId val="{00000001-36EF-4D42-AB50-8F62F16C2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787808"/>
        <c:axId val="228790528"/>
      </c:scatterChart>
      <c:valAx>
        <c:axId val="22878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8790528"/>
        <c:crosses val="autoZero"/>
        <c:crossBetween val="midCat"/>
      </c:valAx>
      <c:valAx>
        <c:axId val="228790528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2287878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3336558328202661"/>
          <c:y val="0.1140875181232717"/>
          <c:w val="0.85065841940706"/>
          <c:h val="0.8761286608693237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'EdeR y F de C'!$E$102</c:f>
              <c:strCache>
                <c:ptCount val="1"/>
                <c:pt idx="0">
                  <c:v>VPN Acumulado en el Tiempo</c:v>
                </c:pt>
              </c:strCache>
            </c:strRef>
          </c:tx>
          <c:marker>
            <c:symbol val="none"/>
          </c:marker>
          <c:yVal>
            <c:numRef>
              <c:f>'EdeR y F de C'!$F$102:$AD$102</c:f>
              <c:numCache>
                <c:formatCode>"$"\ #,##0.00_);[Red]\("$"\ #,##0.00\)</c:formatCode>
                <c:ptCount val="6"/>
                <c:pt idx="0">
                  <c:v>-188207486</c:v>
                </c:pt>
                <c:pt idx="1">
                  <c:v>-248413840.54545453</c:v>
                </c:pt>
                <c:pt idx="2">
                  <c:v>-303369212.44628096</c:v>
                </c:pt>
                <c:pt idx="3">
                  <c:v>-350792428.07362884</c:v>
                </c:pt>
                <c:pt idx="4">
                  <c:v>-391114838.08660603</c:v>
                </c:pt>
                <c:pt idx="5">
                  <c:v>-424231902.81610167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782-4BFA-A547-F40BB45D1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792160"/>
        <c:axId val="228795968"/>
      </c:scatterChart>
      <c:valAx>
        <c:axId val="22879216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228795968"/>
        <c:crosses val="autoZero"/>
        <c:crossBetween val="midCat"/>
      </c:valAx>
      <c:valAx>
        <c:axId val="228795968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&quot;$&quot;\ #,##0.00_);[Red]\(&quot;$&quot;\ #,##0.00\)" sourceLinked="1"/>
        <c:majorTickMark val="none"/>
        <c:minorTickMark val="none"/>
        <c:tickLblPos val="nextTo"/>
        <c:crossAx val="22879216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'EdeR y F de C'!$R$133</c:f>
              <c:strCache>
                <c:ptCount val="1"/>
                <c:pt idx="0">
                  <c:v>VPN</c:v>
                </c:pt>
              </c:strCache>
            </c:strRef>
          </c:tx>
          <c:trendline>
            <c:trendlineType val="linear"/>
            <c:dispRSqr val="1"/>
            <c:dispEq val="1"/>
            <c:trendlineLbl>
              <c:layout>
                <c:manualLayout>
                  <c:x val="0.3698954505686789"/>
                  <c:y val="-0.25116324001166523"/>
                </c:manualLayout>
              </c:layout>
              <c:numFmt formatCode="General" sourceLinked="0"/>
            </c:trendlineLbl>
          </c:trendline>
          <c:xVal>
            <c:numRef>
              <c:f>'EdeR y F de C'!$Q$134:$Q$151</c:f>
            </c:numRef>
          </c:xVal>
          <c:yVal>
            <c:numRef>
              <c:f>'EdeR y F de C'!$R$134:$R$151</c:f>
            </c:numRef>
          </c:yVal>
          <c:smooth val="1"/>
          <c:extLst>
            <c:ext xmlns:c16="http://schemas.microsoft.com/office/drawing/2014/chart" uri="{C3380CC4-5D6E-409C-BE32-E72D297353CC}">
              <c16:uniqueId val="{00000001-D0BF-4ECC-8ADC-74CC4684C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787808"/>
        <c:axId val="228790528"/>
      </c:scatterChart>
      <c:valAx>
        <c:axId val="22878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8790528"/>
        <c:crosses val="autoZero"/>
        <c:crossBetween val="midCat"/>
      </c:valAx>
      <c:valAx>
        <c:axId val="228790528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2287878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Spin" dx="20" fmlaLink="#REF!" max="5" page="10" val="5"/>
</file>

<file path=xl/ctrlProps/ctrlProp2.xml><?xml version="1.0" encoding="utf-8"?>
<formControlPr xmlns="http://schemas.microsoft.com/office/spreadsheetml/2009/9/main" objectType="Spin" dx="20" fmlaLink="$C$2" max="411" min="401" page="10" val="401"/>
</file>

<file path=xl/ctrlProps/ctrlProp3.xml><?xml version="1.0" encoding="utf-8"?>
<formControlPr xmlns="http://schemas.microsoft.com/office/spreadsheetml/2009/9/main" objectType="Spin" dx="20" fmlaLink="$C$3" max="304" min="301" page="10" val="301"/>
</file>

<file path=xl/ctrlProps/ctrlProp4.xml><?xml version="1.0" encoding="utf-8"?>
<formControlPr xmlns="http://schemas.microsoft.com/office/spreadsheetml/2009/9/main" objectType="Spin" dx="20" fmlaLink="#REF!" max="5" page="10" val="5"/>
</file>

<file path=xl/ctrlProps/ctrlProp5.xml><?xml version="1.0" encoding="utf-8"?>
<formControlPr xmlns="http://schemas.microsoft.com/office/spreadsheetml/2009/9/main" objectType="Spin" dx="20" fmlaLink="$C$2" max="411" min="401" page="10" val="401"/>
</file>

<file path=xl/ctrlProps/ctrlProp6.xml><?xml version="1.0" encoding="utf-8"?>
<formControlPr xmlns="http://schemas.microsoft.com/office/spreadsheetml/2009/9/main" objectType="Spin" dx="20" fmlaLink="$C$3" max="304" min="301" page="10" val="30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Balance!A1"/><Relationship Id="rId13" Type="http://schemas.openxmlformats.org/officeDocument/2006/relationships/hyperlink" Target="#'Conversion de tasa'!A1"/><Relationship Id="rId3" Type="http://schemas.openxmlformats.org/officeDocument/2006/relationships/hyperlink" Target="#'Ppto Costos y Gtos'!A1"/><Relationship Id="rId7" Type="http://schemas.openxmlformats.org/officeDocument/2006/relationships/hyperlink" Target="#'EdeR y F de C'!A1"/><Relationship Id="rId12" Type="http://schemas.openxmlformats.org/officeDocument/2006/relationships/hyperlink" Target="#ANALISIS!A1"/><Relationship Id="rId2" Type="http://schemas.openxmlformats.org/officeDocument/2006/relationships/hyperlink" Target="#'Capital de Trabajo'!A1"/><Relationship Id="rId1" Type="http://schemas.openxmlformats.org/officeDocument/2006/relationships/hyperlink" Target="#'Ppto Ing'!A1"/><Relationship Id="rId6" Type="http://schemas.openxmlformats.org/officeDocument/2006/relationships/hyperlink" Target="#'Flujo de Efectivo'!A1"/><Relationship Id="rId11" Type="http://schemas.openxmlformats.org/officeDocument/2006/relationships/hyperlink" Target="#'F de C Inv'!A1"/><Relationship Id="rId5" Type="http://schemas.openxmlformats.org/officeDocument/2006/relationships/hyperlink" Target="#'Ppto Financiaci&#243;n'!A1"/><Relationship Id="rId10" Type="http://schemas.openxmlformats.org/officeDocument/2006/relationships/hyperlink" Target="#'F de C Py'!A1"/><Relationship Id="rId4" Type="http://schemas.openxmlformats.org/officeDocument/2006/relationships/hyperlink" Target="#'Ppto Inv_Dep y Amt'!A1"/><Relationship Id="rId9" Type="http://schemas.openxmlformats.org/officeDocument/2006/relationships/hyperlink" Target="#TIO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3</xdr:row>
      <xdr:rowOff>15240</xdr:rowOff>
    </xdr:from>
    <xdr:to>
      <xdr:col>2</xdr:col>
      <xdr:colOff>784860</xdr:colOff>
      <xdr:row>6</xdr:row>
      <xdr:rowOff>15240</xdr:rowOff>
    </xdr:to>
    <xdr:sp macro="" textlink="">
      <xdr:nvSpPr>
        <xdr:cNvPr id="16" name="Rectángulo: esquinas redondeadas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19100" y="5334000"/>
          <a:ext cx="1562100" cy="548640"/>
        </a:xfrm>
        <a:prstGeom prst="roundRect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latin typeface="Arial" panose="020B0604020202020204" pitchFamily="34" charset="0"/>
              <a:cs typeface="Arial" panose="020B0604020202020204" pitchFamily="34" charset="0"/>
            </a:rPr>
            <a:t>Presupuesto</a:t>
          </a:r>
          <a:r>
            <a:rPr lang="es-CO" sz="1200" b="1" baseline="0">
              <a:latin typeface="Arial" panose="020B0604020202020204" pitchFamily="34" charset="0"/>
              <a:cs typeface="Arial" panose="020B0604020202020204" pitchFamily="34" charset="0"/>
            </a:rPr>
            <a:t> de ingresos</a:t>
          </a:r>
          <a:endParaRPr lang="es-CO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15240</xdr:colOff>
      <xdr:row>9</xdr:row>
      <xdr:rowOff>83820</xdr:rowOff>
    </xdr:from>
    <xdr:to>
      <xdr:col>2</xdr:col>
      <xdr:colOff>792480</xdr:colOff>
      <xdr:row>12</xdr:row>
      <xdr:rowOff>76200</xdr:rowOff>
    </xdr:to>
    <xdr:sp macro="" textlink="">
      <xdr:nvSpPr>
        <xdr:cNvPr id="19" name="Rectángulo: esquinas redondeada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419100" y="6499860"/>
          <a:ext cx="1569720" cy="541020"/>
        </a:xfrm>
        <a:prstGeom prst="roundRect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latin typeface="Arial" panose="020B0604020202020204" pitchFamily="34" charset="0"/>
              <a:cs typeface="Arial" panose="020B0604020202020204" pitchFamily="34" charset="0"/>
            </a:rPr>
            <a:t>Capital de trabajo</a:t>
          </a:r>
        </a:p>
      </xdr:txBody>
    </xdr:sp>
    <xdr:clientData/>
  </xdr:twoCellAnchor>
  <xdr:twoCellAnchor>
    <xdr:from>
      <xdr:col>1</xdr:col>
      <xdr:colOff>15240</xdr:colOff>
      <xdr:row>6</xdr:row>
      <xdr:rowOff>53340</xdr:rowOff>
    </xdr:from>
    <xdr:to>
      <xdr:col>2</xdr:col>
      <xdr:colOff>792480</xdr:colOff>
      <xdr:row>9</xdr:row>
      <xdr:rowOff>45720</xdr:rowOff>
    </xdr:to>
    <xdr:sp macro="" textlink="">
      <xdr:nvSpPr>
        <xdr:cNvPr id="21" name="Rectángulo: esquinas redondeadas 2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419100" y="5920740"/>
          <a:ext cx="1569720" cy="541020"/>
        </a:xfrm>
        <a:prstGeom prst="roundRect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latin typeface="Arial" panose="020B0604020202020204" pitchFamily="34" charset="0"/>
              <a:cs typeface="Arial" panose="020B0604020202020204" pitchFamily="34" charset="0"/>
            </a:rPr>
            <a:t>Presupuesto</a:t>
          </a:r>
          <a:r>
            <a:rPr lang="es-CO" sz="1200" b="1" baseline="0">
              <a:latin typeface="Arial" panose="020B0604020202020204" pitchFamily="34" charset="0"/>
              <a:cs typeface="Arial" panose="020B0604020202020204" pitchFamily="34" charset="0"/>
            </a:rPr>
            <a:t> de costos y gastos</a:t>
          </a:r>
          <a:endParaRPr lang="es-CO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7620</xdr:colOff>
      <xdr:row>12</xdr:row>
      <xdr:rowOff>121920</xdr:rowOff>
    </xdr:from>
    <xdr:to>
      <xdr:col>3</xdr:col>
      <xdr:colOff>0</xdr:colOff>
      <xdr:row>16</xdr:row>
      <xdr:rowOff>137160</xdr:rowOff>
    </xdr:to>
    <xdr:sp macro="" textlink="">
      <xdr:nvSpPr>
        <xdr:cNvPr id="22" name="Rectángulo: esquinas redondeadas 2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411480" y="7086600"/>
          <a:ext cx="1592580" cy="746760"/>
        </a:xfrm>
        <a:prstGeom prst="roundRect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latin typeface="Arial" panose="020B0604020202020204" pitchFamily="34" charset="0"/>
              <a:cs typeface="Arial" panose="020B0604020202020204" pitchFamily="34" charset="0"/>
            </a:rPr>
            <a:t>Presupuesto</a:t>
          </a:r>
          <a:r>
            <a:rPr lang="es-CO" sz="1200" b="1" baseline="0">
              <a:latin typeface="Arial" panose="020B0604020202020204" pitchFamily="34" charset="0"/>
              <a:cs typeface="Arial" panose="020B0604020202020204" pitchFamily="34" charset="0"/>
            </a:rPr>
            <a:t> de Inversiones, depreciaciones y amortizaciones</a:t>
          </a:r>
          <a:endParaRPr lang="es-CO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7620</xdr:colOff>
      <xdr:row>16</xdr:row>
      <xdr:rowOff>175260</xdr:rowOff>
    </xdr:from>
    <xdr:to>
      <xdr:col>3</xdr:col>
      <xdr:colOff>0</xdr:colOff>
      <xdr:row>19</xdr:row>
      <xdr:rowOff>167640</xdr:rowOff>
    </xdr:to>
    <xdr:sp macro="" textlink="">
      <xdr:nvSpPr>
        <xdr:cNvPr id="23" name="Rectángulo: esquinas redondeadas 2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411480" y="7871460"/>
          <a:ext cx="1592580" cy="541020"/>
        </a:xfrm>
        <a:prstGeom prst="roundRect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latin typeface="Arial" panose="020B0604020202020204" pitchFamily="34" charset="0"/>
              <a:cs typeface="Arial" panose="020B0604020202020204" pitchFamily="34" charset="0"/>
            </a:rPr>
            <a:t>Presupuesto</a:t>
          </a:r>
          <a:r>
            <a:rPr lang="es-CO" sz="1200" b="1" baseline="0">
              <a:latin typeface="Arial" panose="020B0604020202020204" pitchFamily="34" charset="0"/>
              <a:cs typeface="Arial" panose="020B0604020202020204" pitchFamily="34" charset="0"/>
            </a:rPr>
            <a:t> de financiacion</a:t>
          </a:r>
          <a:endParaRPr lang="es-CO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15240</xdr:colOff>
      <xdr:row>3</xdr:row>
      <xdr:rowOff>7620</xdr:rowOff>
    </xdr:from>
    <xdr:to>
      <xdr:col>6</xdr:col>
      <xdr:colOff>800100</xdr:colOff>
      <xdr:row>6</xdr:row>
      <xdr:rowOff>0</xdr:rowOff>
    </xdr:to>
    <xdr:sp macro="" textlink="">
      <xdr:nvSpPr>
        <xdr:cNvPr id="24" name="Rectángulo: esquinas redondeadas 2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185160" y="5311140"/>
          <a:ext cx="1577340" cy="541020"/>
        </a:xfrm>
        <a:prstGeom prst="roundRect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latin typeface="Arial" panose="020B0604020202020204" pitchFamily="34" charset="0"/>
              <a:cs typeface="Arial" panose="020B0604020202020204" pitchFamily="34" charset="0"/>
            </a:rPr>
            <a:t>Flujo de efectivo</a:t>
          </a:r>
        </a:p>
      </xdr:txBody>
    </xdr:sp>
    <xdr:clientData/>
  </xdr:twoCellAnchor>
  <xdr:twoCellAnchor>
    <xdr:from>
      <xdr:col>5</xdr:col>
      <xdr:colOff>15240</xdr:colOff>
      <xdr:row>8</xdr:row>
      <xdr:rowOff>108585</xdr:rowOff>
    </xdr:from>
    <xdr:to>
      <xdr:col>7</xdr:col>
      <xdr:colOff>0</xdr:colOff>
      <xdr:row>13</xdr:row>
      <xdr:rowOff>161925</xdr:rowOff>
    </xdr:to>
    <xdr:sp macro="" textlink="">
      <xdr:nvSpPr>
        <xdr:cNvPr id="25" name="Rectángulo: esquinas redondeadas 2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063240" y="1670685"/>
          <a:ext cx="1546860" cy="1005840"/>
        </a:xfrm>
        <a:prstGeom prst="roundRect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latin typeface="Arial" panose="020B0604020202020204" pitchFamily="34" charset="0"/>
              <a:cs typeface="Arial" panose="020B0604020202020204" pitchFamily="34" charset="0"/>
            </a:rPr>
            <a:t>Estado</a:t>
          </a:r>
          <a:r>
            <a:rPr lang="es-CO" sz="1200" b="1" baseline="0">
              <a:latin typeface="Arial" panose="020B0604020202020204" pitchFamily="34" charset="0"/>
              <a:cs typeface="Arial" panose="020B0604020202020204" pitchFamily="34" charset="0"/>
            </a:rPr>
            <a:t> de resultados y Flujo de Caja Neto</a:t>
          </a:r>
          <a:endParaRPr lang="es-CO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15240</xdr:colOff>
      <xdr:row>17</xdr:row>
      <xdr:rowOff>0</xdr:rowOff>
    </xdr:from>
    <xdr:to>
      <xdr:col>6</xdr:col>
      <xdr:colOff>800100</xdr:colOff>
      <xdr:row>19</xdr:row>
      <xdr:rowOff>175260</xdr:rowOff>
    </xdr:to>
    <xdr:sp macro="" textlink="">
      <xdr:nvSpPr>
        <xdr:cNvPr id="26" name="Rectángulo: esquinas redondeadas 2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185160" y="7863840"/>
          <a:ext cx="1577340" cy="541020"/>
        </a:xfrm>
        <a:prstGeom prst="roundRect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latin typeface="Arial" panose="020B0604020202020204" pitchFamily="34" charset="0"/>
              <a:cs typeface="Arial" panose="020B0604020202020204" pitchFamily="34" charset="0"/>
            </a:rPr>
            <a:t>Balance</a:t>
          </a:r>
        </a:p>
      </xdr:txBody>
    </xdr:sp>
    <xdr:clientData/>
  </xdr:twoCellAnchor>
  <xdr:twoCellAnchor>
    <xdr:from>
      <xdr:col>8</xdr:col>
      <xdr:colOff>22860</xdr:colOff>
      <xdr:row>7</xdr:row>
      <xdr:rowOff>99060</xdr:rowOff>
    </xdr:from>
    <xdr:to>
      <xdr:col>10</xdr:col>
      <xdr:colOff>434340</xdr:colOff>
      <xdr:row>10</xdr:row>
      <xdr:rowOff>91440</xdr:rowOff>
    </xdr:to>
    <xdr:sp macro="" textlink="">
      <xdr:nvSpPr>
        <xdr:cNvPr id="27" name="Rectángulo: esquinas redondeadas 2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5577840" y="1409700"/>
          <a:ext cx="1577340" cy="54102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latin typeface="Arial" panose="020B0604020202020204" pitchFamily="34" charset="0"/>
              <a:cs typeface="Arial" panose="020B0604020202020204" pitchFamily="34" charset="0"/>
            </a:rPr>
            <a:t>TIO</a:t>
          </a:r>
        </a:p>
      </xdr:txBody>
    </xdr:sp>
    <xdr:clientData/>
  </xdr:twoCellAnchor>
  <xdr:twoCellAnchor>
    <xdr:from>
      <xdr:col>8</xdr:col>
      <xdr:colOff>22860</xdr:colOff>
      <xdr:row>10</xdr:row>
      <xdr:rowOff>137160</xdr:rowOff>
    </xdr:from>
    <xdr:to>
      <xdr:col>10</xdr:col>
      <xdr:colOff>434340</xdr:colOff>
      <xdr:row>13</xdr:row>
      <xdr:rowOff>129540</xdr:rowOff>
    </xdr:to>
    <xdr:sp macro="" textlink="">
      <xdr:nvSpPr>
        <xdr:cNvPr id="28" name="Rectángulo: esquinas redondeadas 2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585460" y="6370320"/>
          <a:ext cx="1577340" cy="541020"/>
        </a:xfrm>
        <a:prstGeom prst="roundRect">
          <a:avLst/>
        </a:prstGeom>
        <a:solidFill>
          <a:srgbClr val="E4EA00"/>
        </a:solidFill>
        <a:ln>
          <a:solidFill>
            <a:srgbClr val="E4EA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ln>
                <a:noFill/>
              </a:ln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Flujo de caja PROYECTO</a:t>
          </a:r>
        </a:p>
      </xdr:txBody>
    </xdr:sp>
    <xdr:clientData/>
  </xdr:twoCellAnchor>
  <xdr:twoCellAnchor>
    <xdr:from>
      <xdr:col>8</xdr:col>
      <xdr:colOff>15240</xdr:colOff>
      <xdr:row>13</xdr:row>
      <xdr:rowOff>167640</xdr:rowOff>
    </xdr:from>
    <xdr:to>
      <xdr:col>10</xdr:col>
      <xdr:colOff>426720</xdr:colOff>
      <xdr:row>16</xdr:row>
      <xdr:rowOff>160020</xdr:rowOff>
    </xdr:to>
    <xdr:sp macro="" textlink="">
      <xdr:nvSpPr>
        <xdr:cNvPr id="29" name="Rectángulo: esquinas redondeadas 2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5577840" y="6949440"/>
          <a:ext cx="1577340" cy="541020"/>
        </a:xfrm>
        <a:prstGeom prst="roundRect">
          <a:avLst/>
        </a:prstGeom>
        <a:solidFill>
          <a:srgbClr val="E4EA00"/>
        </a:solidFill>
        <a:ln>
          <a:solidFill>
            <a:srgbClr val="E4EA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ln>
                <a:noFill/>
              </a:ln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Flujo de caja INVERSIONISTA</a:t>
          </a:r>
        </a:p>
      </xdr:txBody>
    </xdr:sp>
    <xdr:clientData/>
  </xdr:twoCellAnchor>
  <xdr:twoCellAnchor>
    <xdr:from>
      <xdr:col>3</xdr:col>
      <xdr:colOff>6096</xdr:colOff>
      <xdr:row>11</xdr:row>
      <xdr:rowOff>80010</xdr:rowOff>
    </xdr:from>
    <xdr:to>
      <xdr:col>4</xdr:col>
      <xdr:colOff>789432</xdr:colOff>
      <xdr:row>11</xdr:row>
      <xdr:rowOff>85344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V="1">
          <a:off x="2011680" y="6864858"/>
          <a:ext cx="1133856" cy="5334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</xdr:colOff>
      <xdr:row>1</xdr:row>
      <xdr:rowOff>30480</xdr:rowOff>
    </xdr:from>
    <xdr:to>
      <xdr:col>10</xdr:col>
      <xdr:colOff>419100</xdr:colOff>
      <xdr:row>4</xdr:row>
      <xdr:rowOff>0</xdr:rowOff>
    </xdr:to>
    <xdr:sp macro="" textlink="">
      <xdr:nvSpPr>
        <xdr:cNvPr id="30" name="Rectángulo: esquinas redondeadas 29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562600" y="220980"/>
          <a:ext cx="1577340" cy="541020"/>
        </a:xfrm>
        <a:prstGeom prst="roundRect">
          <a:avLst/>
        </a:prstGeom>
        <a:solidFill>
          <a:schemeClr val="accent1"/>
        </a:solidFill>
        <a:ln w="25400" cap="flat" cmpd="sng" algn="ctr">
          <a:solidFill>
            <a:schemeClr val="accent1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2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ANALISIS</a:t>
          </a:r>
        </a:p>
      </xdr:txBody>
    </xdr:sp>
    <xdr:clientData/>
  </xdr:twoCellAnchor>
  <xdr:twoCellAnchor>
    <xdr:from>
      <xdr:col>8</xdr:col>
      <xdr:colOff>15240</xdr:colOff>
      <xdr:row>4</xdr:row>
      <xdr:rowOff>38100</xdr:rowOff>
    </xdr:from>
    <xdr:to>
      <xdr:col>10</xdr:col>
      <xdr:colOff>426720</xdr:colOff>
      <xdr:row>7</xdr:row>
      <xdr:rowOff>30480</xdr:rowOff>
    </xdr:to>
    <xdr:sp macro="" textlink="">
      <xdr:nvSpPr>
        <xdr:cNvPr id="15" name="Rectángulo: esquinas redondeadas 1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570220" y="800100"/>
          <a:ext cx="1577340" cy="541020"/>
        </a:xfrm>
        <a:prstGeom prst="roundRect">
          <a:avLst/>
        </a:prstGeom>
        <a:solidFill>
          <a:schemeClr val="accent1"/>
        </a:solidFill>
        <a:ln w="25400" cap="flat" cmpd="sng" algn="ctr">
          <a:solidFill>
            <a:schemeClr val="accent1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2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Cambio de tasa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11905</xdr:colOff>
      <xdr:row>62</xdr:row>
      <xdr:rowOff>11906</xdr:rowOff>
    </xdr:from>
    <xdr:to>
      <xdr:col>3</xdr:col>
      <xdr:colOff>11905</xdr:colOff>
      <xdr:row>63</xdr:row>
      <xdr:rowOff>23814</xdr:rowOff>
    </xdr:to>
    <xdr:pic>
      <xdr:nvPicPr>
        <xdr:cNvPr id="3" name="Imagen 2" descr="activos fijos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49" y="18692812"/>
          <a:ext cx="3119437" cy="2321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582084</xdr:colOff>
      <xdr:row>15</xdr:row>
      <xdr:rowOff>222250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3196167" y="317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oneCellAnchor>
    <xdr:from>
      <xdr:col>2</xdr:col>
      <xdr:colOff>582084</xdr:colOff>
      <xdr:row>94</xdr:row>
      <xdr:rowOff>222250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732617" y="311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oneCellAnchor>
    <xdr:from>
      <xdr:col>2</xdr:col>
      <xdr:colOff>582084</xdr:colOff>
      <xdr:row>105</xdr:row>
      <xdr:rowOff>222250</xdr:rowOff>
    </xdr:from>
    <xdr:ext cx="184731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732617" y="188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3003176</xdr:colOff>
      <xdr:row>130</xdr:row>
      <xdr:rowOff>190498</xdr:rowOff>
    </xdr:from>
    <xdr:to>
      <xdr:col>8</xdr:col>
      <xdr:colOff>952499</xdr:colOff>
      <xdr:row>165</xdr:row>
      <xdr:rowOff>126739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123824</xdr:colOff>
      <xdr:row>152</xdr:row>
      <xdr:rowOff>57150</xdr:rowOff>
    </xdr:from>
    <xdr:to>
      <xdr:col>21</xdr:col>
      <xdr:colOff>1057274</xdr:colOff>
      <xdr:row>166</xdr:row>
      <xdr:rowOff>133350</xdr:rowOff>
    </xdr:to>
    <xdr:graphicFrame macro="">
      <xdr:nvGraphicFramePr>
        <xdr:cNvPr id="3" name="5 Gráfi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5</xdr:row>
          <xdr:rowOff>38100</xdr:rowOff>
        </xdr:from>
        <xdr:to>
          <xdr:col>11</xdr:col>
          <xdr:colOff>0</xdr:colOff>
          <xdr:row>13</xdr:row>
          <xdr:rowOff>0</xdr:rowOff>
        </xdr:to>
        <xdr:sp macro="" textlink="">
          <xdr:nvSpPr>
            <xdr:cNvPr id="6145" name="Spinner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8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1</xdr:row>
          <xdr:rowOff>28575</xdr:rowOff>
        </xdr:from>
        <xdr:to>
          <xdr:col>0</xdr:col>
          <xdr:colOff>371475</xdr:colOff>
          <xdr:row>2</xdr:row>
          <xdr:rowOff>333375</xdr:rowOff>
        </xdr:to>
        <xdr:sp macro="" textlink="">
          <xdr:nvSpPr>
            <xdr:cNvPr id="6146" name="Spinner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8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2</xdr:row>
          <xdr:rowOff>47625</xdr:rowOff>
        </xdr:from>
        <xdr:to>
          <xdr:col>1</xdr:col>
          <xdr:colOff>600075</xdr:colOff>
          <xdr:row>4</xdr:row>
          <xdr:rowOff>85725</xdr:rowOff>
        </xdr:to>
        <xdr:sp macro="" textlink="">
          <xdr:nvSpPr>
            <xdr:cNvPr id="6147" name="Spinner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8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3003176</xdr:colOff>
      <xdr:row>140</xdr:row>
      <xdr:rowOff>190498</xdr:rowOff>
    </xdr:from>
    <xdr:to>
      <xdr:col>9</xdr:col>
      <xdr:colOff>952499</xdr:colOff>
      <xdr:row>175</xdr:row>
      <xdr:rowOff>126739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123824</xdr:colOff>
      <xdr:row>162</xdr:row>
      <xdr:rowOff>57150</xdr:rowOff>
    </xdr:from>
    <xdr:to>
      <xdr:col>22</xdr:col>
      <xdr:colOff>1057274</xdr:colOff>
      <xdr:row>176</xdr:row>
      <xdr:rowOff>133350</xdr:rowOff>
    </xdr:to>
    <xdr:graphicFrame macro="">
      <xdr:nvGraphicFramePr>
        <xdr:cNvPr id="3" name="5 Gráfic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5</xdr:row>
          <xdr:rowOff>38100</xdr:rowOff>
        </xdr:from>
        <xdr:to>
          <xdr:col>12</xdr:col>
          <xdr:colOff>0</xdr:colOff>
          <xdr:row>13</xdr:row>
          <xdr:rowOff>0</xdr:rowOff>
        </xdr:to>
        <xdr:sp macro="" textlink="">
          <xdr:nvSpPr>
            <xdr:cNvPr id="22529" name="Spinner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9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1</xdr:row>
          <xdr:rowOff>28575</xdr:rowOff>
        </xdr:from>
        <xdr:to>
          <xdr:col>0</xdr:col>
          <xdr:colOff>371475</xdr:colOff>
          <xdr:row>2</xdr:row>
          <xdr:rowOff>333375</xdr:rowOff>
        </xdr:to>
        <xdr:sp macro="" textlink="">
          <xdr:nvSpPr>
            <xdr:cNvPr id="22530" name="Spinner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9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2</xdr:row>
          <xdr:rowOff>47625</xdr:rowOff>
        </xdr:from>
        <xdr:to>
          <xdr:col>1</xdr:col>
          <xdr:colOff>600075</xdr:colOff>
          <xdr:row>4</xdr:row>
          <xdr:rowOff>85725</xdr:rowOff>
        </xdr:to>
        <xdr:sp macro="" textlink="">
          <xdr:nvSpPr>
            <xdr:cNvPr id="22531" name="Spinner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9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st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odos%20los%20archivos\Mis%20documentos\Universidades\Evaluaci&#243;n%20financiera\Clases%20Virtuales\Capitulo%205\plantilla%20evaluacion%20financiera%20sin%20datos%20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odos%20los%20archivos\Mis%20documentos\Universidades\Evaluaci&#243;n%20financiera\Libro%20Elkin%20Gomez%20-%20Jhon%20M%20Diez\Capitulo%205\Taller%201%20A%20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ublicidad"/>
      <sheetName val="Materiales"/>
      <sheetName val="MO. Adec."/>
      <sheetName val="MO. Operación"/>
      <sheetName val="Muebles y enseres"/>
      <sheetName val="Equipos informáticos"/>
      <sheetName val="Articulos de cocina"/>
      <sheetName val="Tera Recreativos y deportivos "/>
      <sheetName val="artísticas y culturales "/>
    </sheetNames>
    <sheetDataSet>
      <sheetData sheetId="0"/>
      <sheetData sheetId="1">
        <row r="2">
          <cell r="D2">
            <v>0.95899999999999996</v>
          </cell>
        </row>
        <row r="7">
          <cell r="C7">
            <v>1026990</v>
          </cell>
        </row>
      </sheetData>
      <sheetData sheetId="2">
        <row r="48">
          <cell r="G48">
            <v>71933071</v>
          </cell>
        </row>
      </sheetData>
      <sheetData sheetId="3">
        <row r="23">
          <cell r="F23">
            <v>48484650</v>
          </cell>
        </row>
      </sheetData>
      <sheetData sheetId="4">
        <row r="2">
          <cell r="L2" t="str">
            <v xml:space="preserve">Energía </v>
          </cell>
          <cell r="N2">
            <v>7200000</v>
          </cell>
          <cell r="O2">
            <v>0.79</v>
          </cell>
        </row>
        <row r="3">
          <cell r="L3" t="str">
            <v>Acueducto</v>
          </cell>
          <cell r="N3">
            <v>1200000</v>
          </cell>
          <cell r="O3">
            <v>0.85899999999999999</v>
          </cell>
        </row>
        <row r="4">
          <cell r="L4" t="str">
            <v>Teléfono</v>
          </cell>
          <cell r="N4">
            <v>1800000</v>
          </cell>
          <cell r="O4">
            <v>0.89</v>
          </cell>
        </row>
        <row r="5">
          <cell r="L5" t="str">
            <v xml:space="preserve">Insumos Papelería </v>
          </cell>
          <cell r="N5">
            <v>2400000</v>
          </cell>
          <cell r="O5">
            <v>0.97799999999999998</v>
          </cell>
        </row>
        <row r="6">
          <cell r="L6" t="str">
            <v>Suministros de Aseo</v>
          </cell>
          <cell r="N6">
            <v>1800000</v>
          </cell>
          <cell r="O6">
            <v>0.92400000000000004</v>
          </cell>
        </row>
        <row r="7">
          <cell r="L7" t="str">
            <v>Mantenimiento</v>
          </cell>
          <cell r="N7">
            <v>2400000</v>
          </cell>
          <cell r="O7">
            <v>0.90500000000000003</v>
          </cell>
        </row>
        <row r="9">
          <cell r="M9">
            <v>16800000</v>
          </cell>
        </row>
        <row r="10">
          <cell r="E10">
            <v>180400000</v>
          </cell>
        </row>
      </sheetData>
      <sheetData sheetId="5">
        <row r="9">
          <cell r="D9">
            <v>8028800</v>
          </cell>
        </row>
        <row r="16">
          <cell r="D16">
            <v>9517250</v>
          </cell>
        </row>
      </sheetData>
      <sheetData sheetId="6">
        <row r="10">
          <cell r="D10">
            <v>14610050</v>
          </cell>
        </row>
      </sheetData>
      <sheetData sheetId="7">
        <row r="21">
          <cell r="D21">
            <v>2957460</v>
          </cell>
        </row>
      </sheetData>
      <sheetData sheetId="8">
        <row r="38">
          <cell r="D38">
            <v>21316485</v>
          </cell>
        </row>
      </sheetData>
      <sheetData sheetId="9">
        <row r="26">
          <cell r="D26">
            <v>11359720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pto Ing"/>
      <sheetName val="Ppto Costos y Gtos"/>
      <sheetName val="Capital de Trabajo"/>
      <sheetName val="Ppto Inv_Dep y Amt"/>
      <sheetName val="Ppto Financiación"/>
      <sheetName val="Conversion de tasa"/>
      <sheetName val="Flujo de Efectivo"/>
      <sheetName val="EdeR y F de C"/>
      <sheetName val="F de C 2"/>
      <sheetName val="Balance"/>
      <sheetName val="TIO"/>
      <sheetName val="F de C Py"/>
      <sheetName val="F de C Inv"/>
      <sheetName val="ANALI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F5">
            <v>0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o Ingresos"/>
      <sheetName val="Inv Dep Y Dif"/>
      <sheetName val="Pto Costos y Gtos"/>
      <sheetName val="S de Deuda"/>
      <sheetName val="E de R"/>
      <sheetName val="F de E"/>
      <sheetName val="Balance"/>
      <sheetName val="F de C"/>
      <sheetName val="Resumen de escenario"/>
      <sheetName val="Hoja2"/>
    </sheetNames>
    <sheetDataSet>
      <sheetData sheetId="0"/>
      <sheetData sheetId="1">
        <row r="2">
          <cell r="B2">
            <v>485000</v>
          </cell>
        </row>
      </sheetData>
      <sheetData sheetId="2"/>
      <sheetData sheetId="3">
        <row r="3">
          <cell r="C3">
            <v>200000</v>
          </cell>
        </row>
      </sheetData>
      <sheetData sheetId="4"/>
      <sheetData sheetId="5">
        <row r="9">
          <cell r="B9">
            <v>200000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21">
          <cell r="B21"/>
          <cell r="C21">
            <v>20000</v>
          </cell>
          <cell r="D21">
            <v>18251.119648503733</v>
          </cell>
          <cell r="E21">
            <v>16327.351261857833</v>
          </cell>
          <cell r="F21">
            <v>14211.206036547348</v>
          </cell>
          <cell r="G21">
            <v>11883.446288705813</v>
          </cell>
          <cell r="H21">
            <v>9322.9105660801233</v>
          </cell>
          <cell r="I21">
            <v>6506.3212711918659</v>
          </cell>
          <cell r="J21">
            <v>3408.0730468147831</v>
          </cell>
        </row>
        <row r="22">
          <cell r="B22"/>
          <cell r="C22">
            <v>17488.803514962696</v>
          </cell>
          <cell r="D22">
            <v>19237.683866458963</v>
          </cell>
          <cell r="E22">
            <v>21161.452253104864</v>
          </cell>
          <cell r="F22">
            <v>23277.597478415348</v>
          </cell>
          <cell r="G22">
            <v>25605.357226256885</v>
          </cell>
          <cell r="H22">
            <v>28165.892948882574</v>
          </cell>
          <cell r="I22">
            <v>30982.482243770828</v>
          </cell>
          <cell r="J22">
            <v>34080.730468147915</v>
          </cell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</row>
        <row r="31">
          <cell r="C31">
            <v>281951.19648503733</v>
          </cell>
          <cell r="D31">
            <v>227545.16315170395</v>
          </cell>
          <cell r="E31">
            <v>236751.53263571014</v>
          </cell>
          <cell r="F31">
            <v>245900.189068117</v>
          </cell>
          <cell r="G31">
            <v>254985.36114376457</v>
          </cell>
          <cell r="H31">
            <v>264000.70042697689</v>
          </cell>
          <cell r="I31">
            <v>272939.22363851039</v>
          </cell>
          <cell r="J31">
            <v>366793.2491711973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M47"/>
  <sheetViews>
    <sheetView tabSelected="1" topLeftCell="A4" zoomScaleNormal="100" workbookViewId="0">
      <selection activeCell="E20" sqref="E20"/>
    </sheetView>
  </sheetViews>
  <sheetFormatPr baseColWidth="10" defaultRowHeight="15" x14ac:dyDescent="0.25"/>
  <cols>
    <col min="1" max="1" width="5.85546875" customWidth="1"/>
    <col min="3" max="3" width="11.85546875" customWidth="1"/>
    <col min="4" max="4" width="5.140625" customWidth="1"/>
    <col min="7" max="7" width="12" customWidth="1"/>
    <col min="10" max="10" width="5.42578125" customWidth="1"/>
  </cols>
  <sheetData>
    <row r="1" spans="2:13" ht="15.75" thickBot="1" x14ac:dyDescent="0.3"/>
    <row r="2" spans="2:13" ht="15.75" thickTop="1" x14ac:dyDescent="0.25">
      <c r="B2" s="524" t="s">
        <v>235</v>
      </c>
      <c r="C2" s="525"/>
      <c r="F2" s="524" t="s">
        <v>236</v>
      </c>
      <c r="G2" s="525"/>
    </row>
    <row r="3" spans="2:13" ht="15.75" thickBot="1" x14ac:dyDescent="0.3">
      <c r="B3" s="526"/>
      <c r="C3" s="527"/>
      <c r="F3" s="526"/>
      <c r="G3" s="527"/>
    </row>
    <row r="4" spans="2:13" ht="15.75" thickTop="1" x14ac:dyDescent="0.25">
      <c r="B4" s="286"/>
      <c r="C4" s="289"/>
      <c r="F4" s="520"/>
      <c r="G4" s="521"/>
      <c r="M4" s="144"/>
    </row>
    <row r="5" spans="2:13" x14ac:dyDescent="0.25">
      <c r="B5" s="286"/>
      <c r="C5" s="289"/>
      <c r="F5" s="520"/>
      <c r="G5" s="521"/>
    </row>
    <row r="6" spans="2:13" x14ac:dyDescent="0.25">
      <c r="B6" s="286"/>
      <c r="C6" s="289"/>
      <c r="F6" s="520"/>
      <c r="G6" s="521"/>
    </row>
    <row r="7" spans="2:13" x14ac:dyDescent="0.25">
      <c r="B7" s="286"/>
      <c r="C7" s="289"/>
      <c r="F7" s="520"/>
      <c r="G7" s="521"/>
    </row>
    <row r="8" spans="2:13" x14ac:dyDescent="0.25">
      <c r="B8" s="286"/>
      <c r="C8" s="289"/>
      <c r="F8" s="520"/>
      <c r="G8" s="521"/>
    </row>
    <row r="9" spans="2:13" x14ac:dyDescent="0.25">
      <c r="B9" s="286"/>
      <c r="C9" s="289"/>
      <c r="F9" s="520"/>
      <c r="G9" s="521"/>
    </row>
    <row r="10" spans="2:13" x14ac:dyDescent="0.25">
      <c r="B10" s="286"/>
      <c r="C10" s="289"/>
      <c r="F10" s="520"/>
      <c r="G10" s="521"/>
    </row>
    <row r="11" spans="2:13" x14ac:dyDescent="0.25">
      <c r="B11" s="286"/>
      <c r="C11" s="289"/>
      <c r="F11" s="520"/>
      <c r="G11" s="521"/>
    </row>
    <row r="12" spans="2:13" x14ac:dyDescent="0.25">
      <c r="B12" s="286"/>
      <c r="C12" s="289"/>
      <c r="F12" s="520"/>
      <c r="G12" s="521"/>
    </row>
    <row r="13" spans="2:13" x14ac:dyDescent="0.25">
      <c r="B13" s="286"/>
      <c r="C13" s="289"/>
      <c r="F13" s="520"/>
      <c r="G13" s="521"/>
    </row>
    <row r="14" spans="2:13" x14ac:dyDescent="0.25">
      <c r="B14" s="286"/>
      <c r="C14" s="289"/>
      <c r="F14" s="520"/>
      <c r="G14" s="521"/>
    </row>
    <row r="15" spans="2:13" x14ac:dyDescent="0.25">
      <c r="B15" s="286"/>
      <c r="C15" s="289"/>
      <c r="F15" s="520"/>
      <c r="G15" s="521"/>
    </row>
    <row r="16" spans="2:13" ht="33.75" customHeight="1" x14ac:dyDescent="0.25">
      <c r="B16" s="286"/>
      <c r="C16" s="289"/>
      <c r="F16" s="520"/>
      <c r="G16" s="521"/>
    </row>
    <row r="17" spans="2:7" x14ac:dyDescent="0.25">
      <c r="B17" s="286"/>
      <c r="C17" s="289"/>
      <c r="F17" s="520"/>
      <c r="G17" s="521"/>
    </row>
    <row r="18" spans="2:7" x14ac:dyDescent="0.25">
      <c r="B18" s="286"/>
      <c r="C18" s="289"/>
      <c r="F18" s="520"/>
      <c r="G18" s="521"/>
    </row>
    <row r="19" spans="2:7" x14ac:dyDescent="0.25">
      <c r="B19" s="286"/>
      <c r="C19" s="289"/>
      <c r="F19" s="520"/>
      <c r="G19" s="521"/>
    </row>
    <row r="20" spans="2:7" ht="15.75" thickBot="1" x14ac:dyDescent="0.3">
      <c r="B20" s="287"/>
      <c r="C20" s="290"/>
      <c r="F20" s="522"/>
      <c r="G20" s="523"/>
    </row>
    <row r="47" spans="2:3" x14ac:dyDescent="0.25">
      <c r="B47" s="288"/>
      <c r="C47" s="288"/>
    </row>
  </sheetData>
  <mergeCells count="3">
    <mergeCell ref="F4:G20"/>
    <mergeCell ref="B2:C3"/>
    <mergeCell ref="F2:G3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/>
  <dimension ref="A1:AE96"/>
  <sheetViews>
    <sheetView zoomScale="120" zoomScaleNormal="120" workbookViewId="0">
      <pane xSplit="3" ySplit="2" topLeftCell="D72" activePane="bottomRight" state="frozen"/>
      <selection activeCell="E17" sqref="E17"/>
      <selection pane="topRight" activeCell="E17" sqref="E17"/>
      <selection pane="bottomLeft" activeCell="E17" sqref="E17"/>
      <selection pane="bottomRight"/>
    </sheetView>
  </sheetViews>
  <sheetFormatPr baseColWidth="10" defaultColWidth="12.28515625" defaultRowHeight="15" x14ac:dyDescent="0.25"/>
  <cols>
    <col min="1" max="1" width="28.85546875" bestFit="1" customWidth="1"/>
    <col min="2" max="2" width="4.140625" bestFit="1" customWidth="1"/>
    <col min="3" max="3" width="14.42578125" bestFit="1" customWidth="1"/>
    <col min="4" max="4" width="6.5703125" bestFit="1" customWidth="1"/>
    <col min="5" max="6" width="13.85546875" bestFit="1" customWidth="1"/>
    <col min="7" max="7" width="14.42578125" bestFit="1" customWidth="1"/>
    <col min="8" max="8" width="13.85546875" bestFit="1" customWidth="1"/>
    <col min="9" max="9" width="14.42578125" bestFit="1" customWidth="1"/>
    <col min="10" max="10" width="14.42578125" hidden="1" customWidth="1"/>
    <col min="11" max="28" width="13.85546875" hidden="1" customWidth="1"/>
  </cols>
  <sheetData>
    <row r="1" spans="1:31" ht="23.25" x14ac:dyDescent="0.35">
      <c r="A1" s="143" t="s">
        <v>149</v>
      </c>
      <c r="D1" s="14">
        <v>0</v>
      </c>
      <c r="E1" s="14">
        <f>+D1+1</f>
        <v>1</v>
      </c>
      <c r="F1" s="14">
        <f t="shared" ref="F1:I1" si="0">+E1+1</f>
        <v>2</v>
      </c>
      <c r="G1" s="14">
        <f t="shared" si="0"/>
        <v>3</v>
      </c>
      <c r="H1" s="14">
        <f t="shared" si="0"/>
        <v>4</v>
      </c>
      <c r="I1" s="14">
        <f t="shared" si="0"/>
        <v>5</v>
      </c>
      <c r="J1" s="14">
        <f t="shared" ref="J1" si="1">+I1+1</f>
        <v>6</v>
      </c>
      <c r="K1" s="14">
        <f t="shared" ref="K1" si="2">+J1+1</f>
        <v>7</v>
      </c>
      <c r="L1" s="14">
        <f t="shared" ref="L1" si="3">+K1+1</f>
        <v>8</v>
      </c>
      <c r="M1" s="14">
        <f t="shared" ref="M1" si="4">+L1+1</f>
        <v>9</v>
      </c>
      <c r="N1" s="14">
        <v>10</v>
      </c>
      <c r="O1" s="14">
        <f t="shared" ref="O1" si="5">+N1+1</f>
        <v>11</v>
      </c>
      <c r="P1" s="14">
        <f t="shared" ref="P1" si="6">+O1+1</f>
        <v>12</v>
      </c>
      <c r="Q1" s="14">
        <f t="shared" ref="Q1" si="7">+P1+1</f>
        <v>13</v>
      </c>
      <c r="R1" s="14">
        <f t="shared" ref="R1" si="8">+Q1+1</f>
        <v>14</v>
      </c>
      <c r="S1" s="14">
        <f t="shared" ref="S1" si="9">+R1+1</f>
        <v>15</v>
      </c>
      <c r="T1" s="14">
        <f t="shared" ref="T1" si="10">+S1+1</f>
        <v>16</v>
      </c>
      <c r="U1" s="14">
        <f t="shared" ref="U1" si="11">+T1+1</f>
        <v>17</v>
      </c>
      <c r="V1" s="14">
        <f t="shared" ref="V1" si="12">+U1+1</f>
        <v>18</v>
      </c>
      <c r="W1" s="14">
        <f t="shared" ref="W1" si="13">+V1+1</f>
        <v>19</v>
      </c>
      <c r="X1" s="14">
        <f t="shared" ref="X1" si="14">+W1+1</f>
        <v>20</v>
      </c>
      <c r="Y1" s="14">
        <f t="shared" ref="Y1" si="15">+X1+1</f>
        <v>21</v>
      </c>
      <c r="Z1" s="14">
        <f t="shared" ref="Z1" si="16">+Y1+1</f>
        <v>22</v>
      </c>
      <c r="AA1" s="14">
        <f t="shared" ref="AA1" si="17">+Z1+1</f>
        <v>23</v>
      </c>
      <c r="AB1" s="14">
        <f t="shared" ref="AB1" si="18">+AA1+1</f>
        <v>24</v>
      </c>
      <c r="AC1" s="14"/>
      <c r="AD1" s="14"/>
      <c r="AE1" s="14"/>
    </row>
    <row r="2" spans="1:31" s="310" customFormat="1" ht="15.75" thickBot="1" x14ac:dyDescent="0.3"/>
    <row r="3" spans="1:31" s="310" customFormat="1" ht="16.5" thickBot="1" x14ac:dyDescent="0.3">
      <c r="A3" s="528" t="s">
        <v>246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529"/>
      <c r="S3" s="529"/>
      <c r="T3" s="529"/>
      <c r="U3" s="529"/>
      <c r="V3" s="529"/>
      <c r="W3" s="529"/>
      <c r="X3" s="529"/>
      <c r="Y3" s="529"/>
      <c r="Z3" s="529"/>
      <c r="AA3" s="529"/>
      <c r="AB3" s="530"/>
    </row>
    <row r="4" spans="1:31" x14ac:dyDescent="0.25">
      <c r="A4" s="316" t="s">
        <v>82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96"/>
    </row>
    <row r="5" spans="1:31" ht="15.75" x14ac:dyDescent="0.25">
      <c r="A5" s="306" t="s">
        <v>345</v>
      </c>
      <c r="B5" s="18"/>
      <c r="C5" s="317"/>
      <c r="D5" s="21"/>
      <c r="E5" s="116">
        <v>1</v>
      </c>
      <c r="F5" s="116">
        <v>1</v>
      </c>
      <c r="G5" s="116">
        <v>1</v>
      </c>
      <c r="H5" s="116">
        <v>1</v>
      </c>
      <c r="I5" s="116">
        <v>1</v>
      </c>
      <c r="J5" s="133"/>
      <c r="K5" s="116"/>
      <c r="L5" s="116"/>
      <c r="M5" s="116"/>
      <c r="N5" s="133"/>
      <c r="O5" s="116"/>
      <c r="P5" s="116"/>
      <c r="Q5" s="116"/>
      <c r="R5" s="133"/>
      <c r="S5" s="116"/>
      <c r="T5" s="116"/>
      <c r="U5" s="116"/>
      <c r="V5" s="133"/>
      <c r="W5" s="116"/>
      <c r="X5" s="116"/>
      <c r="Y5" s="116"/>
      <c r="Z5" s="116"/>
      <c r="AA5" s="133"/>
      <c r="AB5" s="318"/>
    </row>
    <row r="6" spans="1:31" x14ac:dyDescent="0.25">
      <c r="A6" s="306" t="s">
        <v>155</v>
      </c>
      <c r="B6" s="317"/>
      <c r="C6" s="317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442"/>
    </row>
    <row r="7" spans="1:31" x14ac:dyDescent="0.25">
      <c r="A7" s="306" t="s">
        <v>156</v>
      </c>
      <c r="B7" s="18"/>
      <c r="C7" s="317"/>
      <c r="D7" s="438"/>
      <c r="E7" s="443"/>
      <c r="F7" s="443"/>
      <c r="G7" s="443"/>
      <c r="H7" s="443"/>
      <c r="I7" s="443"/>
      <c r="J7" s="438"/>
      <c r="K7" s="443"/>
      <c r="L7" s="443"/>
      <c r="M7" s="443"/>
      <c r="N7" s="438"/>
      <c r="O7" s="443"/>
      <c r="P7" s="443"/>
      <c r="Q7" s="443"/>
      <c r="R7" s="438"/>
      <c r="S7" s="443"/>
      <c r="T7" s="443"/>
      <c r="U7" s="443"/>
      <c r="V7" s="438"/>
      <c r="W7" s="443"/>
      <c r="X7" s="443"/>
      <c r="Y7" s="443"/>
      <c r="Z7" s="443"/>
      <c r="AA7" s="438"/>
      <c r="AB7" s="444"/>
    </row>
    <row r="8" spans="1:31" ht="15.75" x14ac:dyDescent="0.25">
      <c r="A8" s="319" t="s">
        <v>40</v>
      </c>
      <c r="B8" s="488">
        <v>1</v>
      </c>
      <c r="C8" s="18"/>
      <c r="D8" s="23">
        <f>IF($B$8=1,D5*(1+D6))+IF($B$8=2,D5+D7)</f>
        <v>0</v>
      </c>
      <c r="E8" s="23">
        <v>1</v>
      </c>
      <c r="F8" s="23">
        <v>1</v>
      </c>
      <c r="G8" s="23">
        <v>1</v>
      </c>
      <c r="H8" s="23">
        <v>1</v>
      </c>
      <c r="I8" s="23">
        <v>1</v>
      </c>
      <c r="J8" s="23">
        <f t="shared" ref="J8" si="19">J5*(1+J6)</f>
        <v>0</v>
      </c>
      <c r="K8" s="23">
        <f>IF($B$8=1,K5*(1+K6))+IF($B$8=2,(K5+K7))</f>
        <v>0</v>
      </c>
      <c r="L8" s="23">
        <f>IF($B$8=1,L5*(1+L6))+IF($B$8=2,(L5+L7))</f>
        <v>0</v>
      </c>
      <c r="M8" s="23">
        <f>IF($B$8=1,M5*(1+M6))+IF($B$8=2,(M5+M7))</f>
        <v>0</v>
      </c>
      <c r="N8" s="23">
        <f t="shared" ref="N8" si="20">N5*(1+N6)</f>
        <v>0</v>
      </c>
      <c r="O8" s="23">
        <f t="shared" ref="O8:Q8" si="21">IF($B$8=1,O5*(1+O6))+IF($B$8=2,(O5+O7))</f>
        <v>0</v>
      </c>
      <c r="P8" s="23">
        <f t="shared" si="21"/>
        <v>0</v>
      </c>
      <c r="Q8" s="23">
        <f t="shared" si="21"/>
        <v>0</v>
      </c>
      <c r="R8" s="23">
        <f t="shared" ref="R8" si="22">R5*(1+R6)</f>
        <v>0</v>
      </c>
      <c r="S8" s="23">
        <f t="shared" ref="S8:U8" si="23">IF($B$8=1,S5*(1+S6))+IF($B$8=2,(S5+S7))</f>
        <v>0</v>
      </c>
      <c r="T8" s="23">
        <f t="shared" si="23"/>
        <v>0</v>
      </c>
      <c r="U8" s="23">
        <f t="shared" si="23"/>
        <v>0</v>
      </c>
      <c r="V8" s="23">
        <f t="shared" ref="V8" si="24">V5*(1+V6)</f>
        <v>0</v>
      </c>
      <c r="W8" s="23">
        <f t="shared" ref="W8" si="25">IF($B$8=1,W5*(1+W6))+IF($B$8=2,(W5+W7))</f>
        <v>0</v>
      </c>
      <c r="X8" s="23">
        <f>IF($B$8=1,X5*(1+X6))+IF($B$8=2,(X5+X7))</f>
        <v>0</v>
      </c>
      <c r="Y8" s="23">
        <f>IF($B$8=1,Y5*(1+Y6))+IF($B$8=2,(Y5+Y7))</f>
        <v>0</v>
      </c>
      <c r="Z8" s="23">
        <f>IF($B$8=1,Z5*(1+Z6))+IF($B$8=2,(Z5+Z7))</f>
        <v>0</v>
      </c>
      <c r="AA8" s="23">
        <f t="shared" ref="AA8" si="26">AA5*(1+AA6)</f>
        <v>0</v>
      </c>
      <c r="AB8" s="321">
        <f>IF($B$8=1,AB5*(1+AB6))+IF($B$8=2,(AB5+AB7))</f>
        <v>0</v>
      </c>
    </row>
    <row r="9" spans="1:31" ht="15.75" thickBot="1" x14ac:dyDescent="0.3">
      <c r="A9" s="322" t="s">
        <v>346</v>
      </c>
      <c r="B9" s="18"/>
      <c r="C9" s="18"/>
      <c r="D9" s="21"/>
      <c r="E9" s="443">
        <v>0</v>
      </c>
      <c r="F9" s="443">
        <v>0</v>
      </c>
      <c r="G9" s="443">
        <v>0</v>
      </c>
      <c r="H9" s="443">
        <v>0</v>
      </c>
      <c r="I9" s="443">
        <v>0</v>
      </c>
      <c r="J9" s="133"/>
      <c r="K9" s="116"/>
      <c r="L9" s="116"/>
      <c r="M9" s="116"/>
      <c r="N9" s="133"/>
      <c r="O9" s="116"/>
      <c r="P9" s="116"/>
      <c r="Q9" s="116"/>
      <c r="R9" s="133"/>
      <c r="S9" s="116"/>
      <c r="T9" s="116"/>
      <c r="U9" s="116"/>
      <c r="V9" s="133"/>
      <c r="W9" s="116"/>
      <c r="X9" s="116"/>
      <c r="Y9" s="116"/>
      <c r="Z9" s="116"/>
      <c r="AA9" s="133"/>
      <c r="AB9" s="318"/>
    </row>
    <row r="10" spans="1:31" ht="15.75" x14ac:dyDescent="0.25">
      <c r="A10" s="67" t="s">
        <v>42</v>
      </c>
      <c r="B10" s="27" t="s">
        <v>78</v>
      </c>
      <c r="C10" s="11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8"/>
      <c r="S10" s="438"/>
      <c r="T10" s="438"/>
      <c r="U10" s="438"/>
      <c r="V10" s="438"/>
      <c r="W10" s="438"/>
      <c r="X10" s="438"/>
      <c r="Y10" s="438"/>
      <c r="Z10" s="438"/>
      <c r="AA10" s="438"/>
      <c r="AB10" s="439"/>
    </row>
    <row r="11" spans="1:31" ht="16.5" thickBot="1" x14ac:dyDescent="0.3">
      <c r="A11" s="28"/>
      <c r="B11" s="147" t="s">
        <v>79</v>
      </c>
      <c r="C11" s="119"/>
      <c r="D11" s="33"/>
      <c r="E11" s="440"/>
      <c r="F11" s="440"/>
      <c r="G11" s="440"/>
      <c r="H11" s="440"/>
      <c r="I11" s="440"/>
      <c r="J11" s="33"/>
      <c r="K11" s="440"/>
      <c r="L11" s="440"/>
      <c r="M11" s="440"/>
      <c r="N11" s="33"/>
      <c r="O11" s="440"/>
      <c r="P11" s="440"/>
      <c r="Q11" s="440"/>
      <c r="R11" s="33"/>
      <c r="S11" s="440"/>
      <c r="T11" s="440"/>
      <c r="U11" s="440"/>
      <c r="V11" s="33"/>
      <c r="W11" s="440"/>
      <c r="X11" s="440"/>
      <c r="Y11" s="440"/>
      <c r="Z11" s="440"/>
      <c r="AA11" s="33"/>
      <c r="AB11" s="441"/>
    </row>
    <row r="12" spans="1:31" ht="21" x14ac:dyDescent="0.35">
      <c r="A12" s="324" t="s">
        <v>41</v>
      </c>
      <c r="B12" s="489">
        <v>1</v>
      </c>
      <c r="C12" s="110"/>
      <c r="D12" s="34">
        <f t="shared" ref="D12:AB12" si="27">IF($B$12=1,(D9+D10),IF($B$12=2,(D9*(1+D11)),IF($B$12=3,(D9+D10)*(1+D11))))</f>
        <v>0</v>
      </c>
      <c r="E12" s="34">
        <f t="shared" si="27"/>
        <v>0</v>
      </c>
      <c r="F12" s="34">
        <f t="shared" si="27"/>
        <v>0</v>
      </c>
      <c r="G12" s="34">
        <f t="shared" si="27"/>
        <v>0</v>
      </c>
      <c r="H12" s="34">
        <f t="shared" si="27"/>
        <v>0</v>
      </c>
      <c r="I12" s="34">
        <f t="shared" si="27"/>
        <v>0</v>
      </c>
      <c r="J12" s="34">
        <f t="shared" si="27"/>
        <v>0</v>
      </c>
      <c r="K12" s="34">
        <f t="shared" si="27"/>
        <v>0</v>
      </c>
      <c r="L12" s="34">
        <f t="shared" si="27"/>
        <v>0</v>
      </c>
      <c r="M12" s="34">
        <f t="shared" si="27"/>
        <v>0</v>
      </c>
      <c r="N12" s="34">
        <f t="shared" si="27"/>
        <v>0</v>
      </c>
      <c r="O12" s="34">
        <f t="shared" si="27"/>
        <v>0</v>
      </c>
      <c r="P12" s="34">
        <f t="shared" si="27"/>
        <v>0</v>
      </c>
      <c r="Q12" s="34">
        <f t="shared" si="27"/>
        <v>0</v>
      </c>
      <c r="R12" s="34">
        <f t="shared" si="27"/>
        <v>0</v>
      </c>
      <c r="S12" s="34">
        <f t="shared" si="27"/>
        <v>0</v>
      </c>
      <c r="T12" s="34">
        <f t="shared" si="27"/>
        <v>0</v>
      </c>
      <c r="U12" s="34">
        <f t="shared" si="27"/>
        <v>0</v>
      </c>
      <c r="V12" s="34">
        <f t="shared" si="27"/>
        <v>0</v>
      </c>
      <c r="W12" s="34">
        <f t="shared" si="27"/>
        <v>0</v>
      </c>
      <c r="X12" s="34">
        <f t="shared" si="27"/>
        <v>0</v>
      </c>
      <c r="Y12" s="34">
        <f t="shared" si="27"/>
        <v>0</v>
      </c>
      <c r="Z12" s="34">
        <f t="shared" si="27"/>
        <v>0</v>
      </c>
      <c r="AA12" s="34">
        <f t="shared" si="27"/>
        <v>0</v>
      </c>
      <c r="AB12" s="34">
        <f t="shared" si="27"/>
        <v>0</v>
      </c>
    </row>
    <row r="13" spans="1:31" ht="15.75" thickBot="1" x14ac:dyDescent="0.3">
      <c r="A13" s="301" t="s">
        <v>256</v>
      </c>
      <c r="B13" s="326"/>
      <c r="C13" s="452" t="s">
        <v>347</v>
      </c>
      <c r="D13" s="326"/>
      <c r="E13" s="327">
        <f>+E8*E12</f>
        <v>0</v>
      </c>
      <c r="F13" s="327">
        <f t="shared" ref="F13:J13" si="28">+F8*F12</f>
        <v>0</v>
      </c>
      <c r="G13" s="327">
        <f t="shared" si="28"/>
        <v>0</v>
      </c>
      <c r="H13" s="327">
        <f t="shared" si="28"/>
        <v>0</v>
      </c>
      <c r="I13" s="327">
        <f t="shared" si="28"/>
        <v>0</v>
      </c>
      <c r="J13" s="327">
        <f t="shared" si="28"/>
        <v>0</v>
      </c>
      <c r="K13" s="327">
        <f t="shared" ref="K13:R13" si="29">+K8*K12</f>
        <v>0</v>
      </c>
      <c r="L13" s="327">
        <f t="shared" si="29"/>
        <v>0</v>
      </c>
      <c r="M13" s="327">
        <f t="shared" si="29"/>
        <v>0</v>
      </c>
      <c r="N13" s="327">
        <f t="shared" si="29"/>
        <v>0</v>
      </c>
      <c r="O13" s="327">
        <f t="shared" si="29"/>
        <v>0</v>
      </c>
      <c r="P13" s="327">
        <f t="shared" si="29"/>
        <v>0</v>
      </c>
      <c r="Q13" s="327">
        <f t="shared" si="29"/>
        <v>0</v>
      </c>
      <c r="R13" s="327">
        <f t="shared" si="29"/>
        <v>0</v>
      </c>
      <c r="S13" s="327">
        <f t="shared" ref="S13:AB13" si="30">+S8*S12</f>
        <v>0</v>
      </c>
      <c r="T13" s="327">
        <f t="shared" si="30"/>
        <v>0</v>
      </c>
      <c r="U13" s="327">
        <f t="shared" si="30"/>
        <v>0</v>
      </c>
      <c r="V13" s="327">
        <f t="shared" si="30"/>
        <v>0</v>
      </c>
      <c r="W13" s="327">
        <f t="shared" si="30"/>
        <v>0</v>
      </c>
      <c r="X13" s="327">
        <f t="shared" si="30"/>
        <v>0</v>
      </c>
      <c r="Y13" s="327">
        <f t="shared" si="30"/>
        <v>0</v>
      </c>
      <c r="Z13" s="327">
        <f t="shared" si="30"/>
        <v>0</v>
      </c>
      <c r="AA13" s="327">
        <f t="shared" si="30"/>
        <v>0</v>
      </c>
      <c r="AB13" s="328">
        <f t="shared" si="30"/>
        <v>0</v>
      </c>
    </row>
    <row r="14" spans="1:31" ht="15.75" x14ac:dyDescent="0.25">
      <c r="A14" s="531" t="s">
        <v>247</v>
      </c>
      <c r="B14" s="532"/>
      <c r="C14" s="532"/>
      <c r="D14" s="532"/>
      <c r="E14" s="532"/>
      <c r="F14" s="532"/>
      <c r="G14" s="532"/>
      <c r="H14" s="532"/>
      <c r="I14" s="532"/>
      <c r="J14" s="532"/>
      <c r="K14" s="532"/>
      <c r="L14" s="532"/>
      <c r="M14" s="532"/>
      <c r="N14" s="532"/>
      <c r="O14" s="532"/>
      <c r="P14" s="532"/>
      <c r="Q14" s="532"/>
      <c r="R14" s="532"/>
      <c r="S14" s="532"/>
      <c r="T14" s="532"/>
      <c r="U14" s="532"/>
      <c r="V14" s="532"/>
      <c r="W14" s="532"/>
      <c r="X14" s="532"/>
      <c r="Y14" s="532"/>
      <c r="Z14" s="532"/>
      <c r="AA14" s="532"/>
      <c r="AB14" s="533"/>
    </row>
    <row r="15" spans="1:31" x14ac:dyDescent="0.25">
      <c r="A15" s="316" t="s">
        <v>82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96"/>
    </row>
    <row r="16" spans="1:31" x14ac:dyDescent="0.25">
      <c r="A16" s="306" t="s">
        <v>154</v>
      </c>
      <c r="B16" s="317"/>
      <c r="C16" s="317"/>
      <c r="D16" s="21"/>
      <c r="E16" s="116"/>
      <c r="F16" s="116"/>
      <c r="G16" s="116"/>
      <c r="H16" s="116"/>
      <c r="I16" s="116"/>
      <c r="J16" s="133"/>
      <c r="K16" s="116"/>
      <c r="L16" s="116"/>
      <c r="M16" s="116"/>
      <c r="N16" s="133"/>
      <c r="O16" s="116"/>
      <c r="P16" s="116"/>
      <c r="Q16" s="116"/>
      <c r="R16" s="133"/>
      <c r="S16" s="116"/>
      <c r="T16" s="116"/>
      <c r="U16" s="116"/>
      <c r="V16" s="133"/>
      <c r="W16" s="116"/>
      <c r="X16" s="116"/>
      <c r="Y16" s="116"/>
      <c r="Z16" s="116"/>
      <c r="AA16" s="133"/>
      <c r="AB16" s="318"/>
    </row>
    <row r="17" spans="1:28" x14ac:dyDescent="0.25">
      <c r="A17" s="306" t="s">
        <v>155</v>
      </c>
      <c r="B17" s="317"/>
      <c r="C17" s="317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305"/>
    </row>
    <row r="18" spans="1:28" x14ac:dyDescent="0.25">
      <c r="A18" s="306" t="s">
        <v>156</v>
      </c>
      <c r="B18" s="18"/>
      <c r="C18" s="317"/>
      <c r="D18" s="22"/>
      <c r="E18" s="116"/>
      <c r="F18" s="116"/>
      <c r="G18" s="116"/>
      <c r="H18" s="116"/>
      <c r="I18" s="116"/>
      <c r="J18" s="22"/>
      <c r="K18" s="116"/>
      <c r="L18" s="116"/>
      <c r="M18" s="116"/>
      <c r="N18" s="22"/>
      <c r="O18" s="116"/>
      <c r="P18" s="116"/>
      <c r="Q18" s="116"/>
      <c r="R18" s="22"/>
      <c r="S18" s="116"/>
      <c r="T18" s="116"/>
      <c r="U18" s="116"/>
      <c r="V18" s="22"/>
      <c r="W18" s="116"/>
      <c r="X18" s="116"/>
      <c r="Y18" s="116"/>
      <c r="Z18" s="116"/>
      <c r="AA18" s="22"/>
      <c r="AB18" s="318"/>
    </row>
    <row r="19" spans="1:28" ht="15.75" x14ac:dyDescent="0.25">
      <c r="A19" s="319" t="s">
        <v>40</v>
      </c>
      <c r="B19" s="488">
        <v>1</v>
      </c>
      <c r="C19" s="18"/>
      <c r="D19" s="23">
        <f>IF($B$19=1,D16*(1+D17))+IF($B$19=2,D16+D18)</f>
        <v>0</v>
      </c>
      <c r="E19" s="23">
        <f t="shared" ref="E19:J19" si="31">IF($B$19=1,E16*(1+E17))+IF($B$19=2,E16+E18)</f>
        <v>0</v>
      </c>
      <c r="F19" s="23">
        <f t="shared" si="31"/>
        <v>0</v>
      </c>
      <c r="G19" s="23">
        <f t="shared" si="31"/>
        <v>0</v>
      </c>
      <c r="H19" s="23">
        <f t="shared" si="31"/>
        <v>0</v>
      </c>
      <c r="I19" s="23">
        <f t="shared" si="31"/>
        <v>0</v>
      </c>
      <c r="J19" s="23">
        <f t="shared" si="31"/>
        <v>0</v>
      </c>
      <c r="K19" s="23">
        <f t="shared" ref="K19" si="32">IF($B$19=1,K16*(1+K17))+IF($B$19=2,K16+K18)</f>
        <v>0</v>
      </c>
      <c r="L19" s="23">
        <f t="shared" ref="L19" si="33">IF($B$19=1,L16*(1+L17))+IF($B$19=2,L16+L18)</f>
        <v>0</v>
      </c>
      <c r="M19" s="23">
        <f t="shared" ref="M19" si="34">IF($B$19=1,M16*(1+M17))+IF($B$19=2,M16+M18)</f>
        <v>0</v>
      </c>
      <c r="N19" s="23">
        <f t="shared" ref="N19" si="35">IF($B$19=1,N16*(1+N17))+IF($B$19=2,N16+N18)</f>
        <v>0</v>
      </c>
      <c r="O19" s="23">
        <f t="shared" ref="O19" si="36">IF($B$19=1,O16*(1+O17))+IF($B$19=2,O16+O18)</f>
        <v>0</v>
      </c>
      <c r="P19" s="23">
        <f t="shared" ref="P19" si="37">IF($B$19=1,P16*(1+P17))+IF($B$19=2,P16+P18)</f>
        <v>0</v>
      </c>
      <c r="Q19" s="23">
        <f t="shared" ref="Q19" si="38">IF($B$19=1,Q16*(1+Q17))+IF($B$19=2,Q16+Q18)</f>
        <v>0</v>
      </c>
      <c r="R19" s="23">
        <f t="shared" ref="R19" si="39">IF($B$19=1,R16*(1+R17))+IF($B$19=2,R16+R18)</f>
        <v>0</v>
      </c>
      <c r="S19" s="23">
        <f t="shared" ref="S19" si="40">IF($B$19=1,S16*(1+S17))+IF($B$19=2,S16+S18)</f>
        <v>0</v>
      </c>
      <c r="T19" s="23">
        <f t="shared" ref="T19" si="41">IF($B$19=1,T16*(1+T17))+IF($B$19=2,T16+T18)</f>
        <v>0</v>
      </c>
      <c r="U19" s="23">
        <f t="shared" ref="U19" si="42">IF($B$19=1,U16*(1+U17))+IF($B$19=2,U16+U18)</f>
        <v>0</v>
      </c>
      <c r="V19" s="23">
        <f t="shared" ref="V19" si="43">IF($B$19=1,V16*(1+V17))+IF($B$19=2,V16+V18)</f>
        <v>0</v>
      </c>
      <c r="W19" s="23">
        <f t="shared" ref="W19" si="44">IF($B$19=1,W16*(1+W17))+IF($B$19=2,W16+W18)</f>
        <v>0</v>
      </c>
      <c r="X19" s="23">
        <f t="shared" ref="X19" si="45">IF($B$19=1,X16*(1+X17))+IF($B$19=2,X16+X18)</f>
        <v>0</v>
      </c>
      <c r="Y19" s="23">
        <f t="shared" ref="Y19" si="46">IF($B$19=1,Y16*(1+Y17))+IF($B$19=2,Y16+Y18)</f>
        <v>0</v>
      </c>
      <c r="Z19" s="23">
        <f t="shared" ref="Z19" si="47">IF($B$19=1,Z16*(1+Z17))+IF($B$19=2,Z16+Z18)</f>
        <v>0</v>
      </c>
      <c r="AA19" s="23">
        <f t="shared" ref="AA19" si="48">IF($B$19=1,AA16*(1+AA17))+IF($B$19=2,AA16+AA18)</f>
        <v>0</v>
      </c>
      <c r="AB19" s="321">
        <f t="shared" ref="AB19" si="49">IF($B$19=1,AB16*(1+AB17))+IF($B$19=2,AB16+AB18)</f>
        <v>0</v>
      </c>
    </row>
    <row r="20" spans="1:28" ht="15.75" thickBot="1" x14ac:dyDescent="0.3">
      <c r="A20" s="322" t="s">
        <v>41</v>
      </c>
      <c r="B20" s="18"/>
      <c r="C20" s="18"/>
      <c r="D20" s="21"/>
      <c r="E20" s="116"/>
      <c r="F20" s="116"/>
      <c r="G20" s="116"/>
      <c r="H20" s="116"/>
      <c r="I20" s="116"/>
      <c r="J20" s="133"/>
      <c r="K20" s="116"/>
      <c r="L20" s="116"/>
      <c r="M20" s="116"/>
      <c r="N20" s="133"/>
      <c r="O20" s="116"/>
      <c r="P20" s="116"/>
      <c r="Q20" s="116"/>
      <c r="R20" s="133"/>
      <c r="S20" s="116"/>
      <c r="T20" s="116"/>
      <c r="U20" s="116"/>
      <c r="V20" s="133"/>
      <c r="W20" s="116"/>
      <c r="X20" s="116"/>
      <c r="Y20" s="116"/>
      <c r="Z20" s="116"/>
      <c r="AA20" s="133"/>
      <c r="AB20" s="318"/>
    </row>
    <row r="21" spans="1:28" ht="15.75" x14ac:dyDescent="0.25">
      <c r="A21" s="67" t="s">
        <v>42</v>
      </c>
      <c r="B21" s="27" t="s">
        <v>78</v>
      </c>
      <c r="C21" s="118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305"/>
    </row>
    <row r="22" spans="1:28" ht="16.5" thickBot="1" x14ac:dyDescent="0.3">
      <c r="A22" s="28"/>
      <c r="B22" s="147" t="s">
        <v>79</v>
      </c>
      <c r="C22" s="119"/>
      <c r="D22" s="22"/>
      <c r="E22" s="116"/>
      <c r="F22" s="116"/>
      <c r="G22" s="116"/>
      <c r="H22" s="116"/>
      <c r="I22" s="116"/>
      <c r="J22" s="22"/>
      <c r="K22" s="116"/>
      <c r="L22" s="116"/>
      <c r="M22" s="116"/>
      <c r="N22" s="22"/>
      <c r="O22" s="116"/>
      <c r="P22" s="116"/>
      <c r="Q22" s="116"/>
      <c r="R22" s="22"/>
      <c r="S22" s="116"/>
      <c r="T22" s="116"/>
      <c r="U22" s="116"/>
      <c r="V22" s="22"/>
      <c r="W22" s="116"/>
      <c r="X22" s="116"/>
      <c r="Y22" s="116"/>
      <c r="Z22" s="116"/>
      <c r="AA22" s="22"/>
      <c r="AB22" s="318"/>
    </row>
    <row r="23" spans="1:28" ht="21" x14ac:dyDescent="0.35">
      <c r="A23" s="324" t="s">
        <v>41</v>
      </c>
      <c r="B23" s="489">
        <v>2</v>
      </c>
      <c r="C23" s="110"/>
      <c r="D23" s="34">
        <f>IF($B$23=1,(D20+D21),IF($B$23=2,(D20*(1+D22)),IF($B$23=3,(D20+D21)*(1+D22))))</f>
        <v>0</v>
      </c>
      <c r="E23" s="34">
        <f t="shared" ref="E23:J23" si="50">IF($B$23=1,(E20+E21),IF($B$23=2,(E20*(1+E22)),IF($B$23=3,(E20+E21)*(1+E22))))</f>
        <v>0</v>
      </c>
      <c r="F23" s="34">
        <f t="shared" si="50"/>
        <v>0</v>
      </c>
      <c r="G23" s="34">
        <f t="shared" si="50"/>
        <v>0</v>
      </c>
      <c r="H23" s="34">
        <f t="shared" si="50"/>
        <v>0</v>
      </c>
      <c r="I23" s="34">
        <f t="shared" si="50"/>
        <v>0</v>
      </c>
      <c r="J23" s="34">
        <f t="shared" si="50"/>
        <v>0</v>
      </c>
      <c r="K23" s="34">
        <f t="shared" ref="K23" si="51">IF($B$23=1,(K20+K21),IF($B$23=2,(K20*(1+K22)),IF($B$23=3,(K20+K21)*(1+K22))))</f>
        <v>0</v>
      </c>
      <c r="L23" s="34">
        <f t="shared" ref="L23" si="52">IF($B$23=1,(L20+L21),IF($B$23=2,(L20*(1+L22)),IF($B$23=3,(L20+L21)*(1+L22))))</f>
        <v>0</v>
      </c>
      <c r="M23" s="34">
        <f t="shared" ref="M23" si="53">IF($B$23=1,(M20+M21),IF($B$23=2,(M20*(1+M22)),IF($B$23=3,(M20+M21)*(1+M22))))</f>
        <v>0</v>
      </c>
      <c r="N23" s="34">
        <f t="shared" ref="N23" si="54">IF($B$23=1,(N20+N21),IF($B$23=2,(N20*(1+N22)),IF($B$23=3,(N20+N21)*(1+N22))))</f>
        <v>0</v>
      </c>
      <c r="O23" s="34">
        <f t="shared" ref="O23" si="55">IF($B$23=1,(O20+O21),IF($B$23=2,(O20*(1+O22)),IF($B$23=3,(O20+O21)*(1+O22))))</f>
        <v>0</v>
      </c>
      <c r="P23" s="34">
        <f t="shared" ref="P23" si="56">IF($B$23=1,(P20+P21),IF($B$23=2,(P20*(1+P22)),IF($B$23=3,(P20+P21)*(1+P22))))</f>
        <v>0</v>
      </c>
      <c r="Q23" s="34">
        <f t="shared" ref="Q23" si="57">IF($B$23=1,(Q20+Q21),IF($B$23=2,(Q20*(1+Q22)),IF($B$23=3,(Q20+Q21)*(1+Q22))))</f>
        <v>0</v>
      </c>
      <c r="R23" s="34">
        <f t="shared" ref="R23" si="58">IF($B$23=1,(R20+R21),IF($B$23=2,(R20*(1+R22)),IF($B$23=3,(R20+R21)*(1+R22))))</f>
        <v>0</v>
      </c>
      <c r="S23" s="34">
        <f t="shared" ref="S23" si="59">IF($B$23=1,(S20+S21),IF($B$23=2,(S20*(1+S22)),IF($B$23=3,(S20+S21)*(1+S22))))</f>
        <v>0</v>
      </c>
      <c r="T23" s="34">
        <f t="shared" ref="T23" si="60">IF($B$23=1,(T20+T21),IF($B$23=2,(T20*(1+T22)),IF($B$23=3,(T20+T21)*(1+T22))))</f>
        <v>0</v>
      </c>
      <c r="U23" s="34">
        <f t="shared" ref="U23" si="61">IF($B$23=1,(U20+U21),IF($B$23=2,(U20*(1+U22)),IF($B$23=3,(U20+U21)*(1+U22))))</f>
        <v>0</v>
      </c>
      <c r="V23" s="34">
        <f t="shared" ref="V23" si="62">IF($B$23=1,(V20+V21),IF($B$23=2,(V20*(1+V22)),IF($B$23=3,(V20+V21)*(1+V22))))</f>
        <v>0</v>
      </c>
      <c r="W23" s="34">
        <f t="shared" ref="W23" si="63">IF($B$23=1,(W20+W21),IF($B$23=2,(W20*(1+W22)),IF($B$23=3,(W20+W21)*(1+W22))))</f>
        <v>0</v>
      </c>
      <c r="X23" s="34">
        <f t="shared" ref="X23" si="64">IF($B$23=1,(X20+X21),IF($B$23=2,(X20*(1+X22)),IF($B$23=3,(X20+X21)*(1+X22))))</f>
        <v>0</v>
      </c>
      <c r="Y23" s="34">
        <f t="shared" ref="Y23" si="65">IF($B$23=1,(Y20+Y21),IF($B$23=2,(Y20*(1+Y22)),IF($B$23=3,(Y20+Y21)*(1+Y22))))</f>
        <v>0</v>
      </c>
      <c r="Z23" s="34">
        <f t="shared" ref="Z23" si="66">IF($B$23=1,(Z20+Z21),IF($B$23=2,(Z20*(1+Z22)),IF($B$23=3,(Z20+Z21)*(1+Z22))))</f>
        <v>0</v>
      </c>
      <c r="AA23" s="34">
        <f t="shared" ref="AA23" si="67">IF($B$23=1,(AA20+AA21),IF($B$23=2,(AA20*(1+AA22)),IF($B$23=3,(AA20+AA21)*(1+AA22))))</f>
        <v>0</v>
      </c>
      <c r="AB23" s="325">
        <f t="shared" ref="AB23" si="68">IF($B$23=1,(AB20+AB21),IF($B$23=2,(AB20*(1+AB22)),IF($B$23=3,(AB20+AB21)*(1+AB22))))</f>
        <v>0</v>
      </c>
    </row>
    <row r="24" spans="1:28" ht="15.75" thickBot="1" x14ac:dyDescent="0.3">
      <c r="A24" s="301" t="s">
        <v>255</v>
      </c>
      <c r="B24" s="326"/>
      <c r="C24" s="326"/>
      <c r="D24" s="326"/>
      <c r="E24" s="327">
        <f>+E19*E23</f>
        <v>0</v>
      </c>
      <c r="F24" s="327">
        <f t="shared" ref="F24:J24" si="69">+F19*F23</f>
        <v>0</v>
      </c>
      <c r="G24" s="327">
        <f t="shared" si="69"/>
        <v>0</v>
      </c>
      <c r="H24" s="327">
        <f t="shared" si="69"/>
        <v>0</v>
      </c>
      <c r="I24" s="327">
        <f t="shared" si="69"/>
        <v>0</v>
      </c>
      <c r="J24" s="327">
        <f t="shared" si="69"/>
        <v>0</v>
      </c>
      <c r="K24" s="327">
        <f t="shared" ref="K24:R24" si="70">+K19*K23</f>
        <v>0</v>
      </c>
      <c r="L24" s="327">
        <f t="shared" si="70"/>
        <v>0</v>
      </c>
      <c r="M24" s="327">
        <f t="shared" si="70"/>
        <v>0</v>
      </c>
      <c r="N24" s="327">
        <f t="shared" si="70"/>
        <v>0</v>
      </c>
      <c r="O24" s="327">
        <f t="shared" si="70"/>
        <v>0</v>
      </c>
      <c r="P24" s="327">
        <f t="shared" si="70"/>
        <v>0</v>
      </c>
      <c r="Q24" s="327">
        <f t="shared" si="70"/>
        <v>0</v>
      </c>
      <c r="R24" s="327">
        <f t="shared" si="70"/>
        <v>0</v>
      </c>
      <c r="S24" s="327">
        <f t="shared" ref="S24:AB24" si="71">+S19*S23</f>
        <v>0</v>
      </c>
      <c r="T24" s="327">
        <f t="shared" si="71"/>
        <v>0</v>
      </c>
      <c r="U24" s="327">
        <f t="shared" si="71"/>
        <v>0</v>
      </c>
      <c r="V24" s="327">
        <f t="shared" si="71"/>
        <v>0</v>
      </c>
      <c r="W24" s="327">
        <f t="shared" si="71"/>
        <v>0</v>
      </c>
      <c r="X24" s="327">
        <f t="shared" si="71"/>
        <v>0</v>
      </c>
      <c r="Y24" s="327">
        <f t="shared" si="71"/>
        <v>0</v>
      </c>
      <c r="Z24" s="327">
        <f t="shared" si="71"/>
        <v>0</v>
      </c>
      <c r="AA24" s="327">
        <f t="shared" si="71"/>
        <v>0</v>
      </c>
      <c r="AB24" s="328">
        <f t="shared" si="71"/>
        <v>0</v>
      </c>
    </row>
    <row r="25" spans="1:28" ht="15.75" x14ac:dyDescent="0.25">
      <c r="A25" s="531" t="s">
        <v>248</v>
      </c>
      <c r="B25" s="532"/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532"/>
      <c r="O25" s="532"/>
      <c r="P25" s="532"/>
      <c r="Q25" s="532"/>
      <c r="R25" s="532"/>
      <c r="S25" s="532"/>
      <c r="T25" s="532"/>
      <c r="U25" s="532"/>
      <c r="V25" s="532"/>
      <c r="W25" s="532"/>
      <c r="X25" s="532"/>
      <c r="Y25" s="532"/>
      <c r="Z25" s="532"/>
      <c r="AA25" s="532"/>
      <c r="AB25" s="533"/>
    </row>
    <row r="26" spans="1:28" x14ac:dyDescent="0.25">
      <c r="A26" s="316" t="s">
        <v>82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96"/>
    </row>
    <row r="27" spans="1:28" x14ac:dyDescent="0.25">
      <c r="A27" s="306" t="s">
        <v>154</v>
      </c>
      <c r="B27" s="317"/>
      <c r="C27" s="317"/>
      <c r="D27" s="21"/>
      <c r="E27" s="116"/>
      <c r="F27" s="116"/>
      <c r="G27" s="116"/>
      <c r="H27" s="116"/>
      <c r="I27" s="116"/>
      <c r="J27" s="133"/>
      <c r="K27" s="116"/>
      <c r="L27" s="116"/>
      <c r="M27" s="116"/>
      <c r="N27" s="133"/>
      <c r="O27" s="116"/>
      <c r="P27" s="116"/>
      <c r="Q27" s="116"/>
      <c r="R27" s="133"/>
      <c r="S27" s="116"/>
      <c r="T27" s="116"/>
      <c r="U27" s="116"/>
      <c r="V27" s="133"/>
      <c r="W27" s="116"/>
      <c r="X27" s="116"/>
      <c r="Y27" s="116"/>
      <c r="Z27" s="116"/>
      <c r="AA27" s="133"/>
      <c r="AB27" s="318"/>
    </row>
    <row r="28" spans="1:28" x14ac:dyDescent="0.25">
      <c r="A28" s="306" t="s">
        <v>155</v>
      </c>
      <c r="B28" s="317"/>
      <c r="C28" s="317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305"/>
    </row>
    <row r="29" spans="1:28" x14ac:dyDescent="0.25">
      <c r="A29" s="306" t="s">
        <v>156</v>
      </c>
      <c r="B29" s="18"/>
      <c r="C29" s="317"/>
      <c r="D29" s="22"/>
      <c r="E29" s="116"/>
      <c r="F29" s="116"/>
      <c r="G29" s="116"/>
      <c r="H29" s="116"/>
      <c r="I29" s="116"/>
      <c r="J29" s="22"/>
      <c r="K29" s="116"/>
      <c r="L29" s="116"/>
      <c r="M29" s="116"/>
      <c r="N29" s="22"/>
      <c r="O29" s="116"/>
      <c r="P29" s="116"/>
      <c r="Q29" s="116"/>
      <c r="R29" s="22"/>
      <c r="S29" s="116"/>
      <c r="T29" s="116"/>
      <c r="U29" s="116"/>
      <c r="V29" s="22"/>
      <c r="W29" s="116"/>
      <c r="X29" s="116"/>
      <c r="Y29" s="116"/>
      <c r="Z29" s="116"/>
      <c r="AA29" s="22"/>
      <c r="AB29" s="318"/>
    </row>
    <row r="30" spans="1:28" ht="15.75" x14ac:dyDescent="0.25">
      <c r="A30" s="319" t="s">
        <v>40</v>
      </c>
      <c r="B30" s="320">
        <v>1</v>
      </c>
      <c r="C30" s="18"/>
      <c r="D30" s="23">
        <f>IF($B$30=1,D27*(1+D28))+IF($B$30=2,D27+D29)</f>
        <v>0</v>
      </c>
      <c r="E30" s="23">
        <f t="shared" ref="E30:J30" si="72">IF($B$30=1,E27*(1+E28))+IF($B$30=2,E27+E29)</f>
        <v>0</v>
      </c>
      <c r="F30" s="23">
        <f t="shared" si="72"/>
        <v>0</v>
      </c>
      <c r="G30" s="23">
        <f t="shared" si="72"/>
        <v>0</v>
      </c>
      <c r="H30" s="23">
        <f t="shared" si="72"/>
        <v>0</v>
      </c>
      <c r="I30" s="23">
        <f t="shared" si="72"/>
        <v>0</v>
      </c>
      <c r="J30" s="23">
        <f t="shared" si="72"/>
        <v>0</v>
      </c>
      <c r="K30" s="23">
        <f t="shared" ref="K30" si="73">IF($B$30=1,K27*(1+K28))+IF($B$30=2,K27+K29)</f>
        <v>0</v>
      </c>
      <c r="L30" s="23">
        <f t="shared" ref="L30" si="74">IF($B$30=1,L27*(1+L28))+IF($B$30=2,L27+L29)</f>
        <v>0</v>
      </c>
      <c r="M30" s="23">
        <f t="shared" ref="M30" si="75">IF($B$30=1,M27*(1+M28))+IF($B$30=2,M27+M29)</f>
        <v>0</v>
      </c>
      <c r="N30" s="23">
        <f t="shared" ref="N30" si="76">IF($B$30=1,N27*(1+N28))+IF($B$30=2,N27+N29)</f>
        <v>0</v>
      </c>
      <c r="O30" s="23">
        <f t="shared" ref="O30" si="77">IF($B$30=1,O27*(1+O28))+IF($B$30=2,O27+O29)</f>
        <v>0</v>
      </c>
      <c r="P30" s="23">
        <f t="shared" ref="P30" si="78">IF($B$30=1,P27*(1+P28))+IF($B$30=2,P27+P29)</f>
        <v>0</v>
      </c>
      <c r="Q30" s="23">
        <f t="shared" ref="Q30" si="79">IF($B$30=1,Q27*(1+Q28))+IF($B$30=2,Q27+Q29)</f>
        <v>0</v>
      </c>
      <c r="R30" s="23">
        <f t="shared" ref="R30" si="80">IF($B$30=1,R27*(1+R28))+IF($B$30=2,R27+R29)</f>
        <v>0</v>
      </c>
      <c r="S30" s="23">
        <f t="shared" ref="S30" si="81">IF($B$30=1,S27*(1+S28))+IF($B$30=2,S27+S29)</f>
        <v>0</v>
      </c>
      <c r="T30" s="23">
        <f t="shared" ref="T30" si="82">IF($B$30=1,T27*(1+T28))+IF($B$30=2,T27+T29)</f>
        <v>0</v>
      </c>
      <c r="U30" s="23">
        <f t="shared" ref="U30" si="83">IF($B$30=1,U27*(1+U28))+IF($B$30=2,U27+U29)</f>
        <v>0</v>
      </c>
      <c r="V30" s="23">
        <f t="shared" ref="V30" si="84">IF($B$30=1,V27*(1+V28))+IF($B$30=2,V27+V29)</f>
        <v>0</v>
      </c>
      <c r="W30" s="23">
        <f t="shared" ref="W30" si="85">IF($B$30=1,W27*(1+W28))+IF($B$30=2,W27+W29)</f>
        <v>0</v>
      </c>
      <c r="X30" s="23">
        <f t="shared" ref="X30" si="86">IF($B$30=1,X27*(1+X28))+IF($B$30=2,X27+X29)</f>
        <v>0</v>
      </c>
      <c r="Y30" s="23">
        <f t="shared" ref="Y30" si="87">IF($B$30=1,Y27*(1+Y28))+IF($B$30=2,Y27+Y29)</f>
        <v>0</v>
      </c>
      <c r="Z30" s="23">
        <f t="shared" ref="Z30" si="88">IF($B$30=1,Z27*(1+Z28))+IF($B$30=2,Z27+Z29)</f>
        <v>0</v>
      </c>
      <c r="AA30" s="23">
        <f t="shared" ref="AA30" si="89">IF($B$30=1,AA27*(1+AA28))+IF($B$30=2,AA27+AA29)</f>
        <v>0</v>
      </c>
      <c r="AB30" s="321">
        <f t="shared" ref="AB30" si="90">IF($B$30=1,AB27*(1+AB28))+IF($B$30=2,AB27+AB29)</f>
        <v>0</v>
      </c>
    </row>
    <row r="31" spans="1:28" ht="15.75" thickBot="1" x14ac:dyDescent="0.3">
      <c r="A31" s="322" t="s">
        <v>41</v>
      </c>
      <c r="B31" s="18"/>
      <c r="C31" s="18"/>
      <c r="D31" s="21"/>
      <c r="E31" s="116"/>
      <c r="F31" s="116"/>
      <c r="G31" s="116"/>
      <c r="H31" s="116"/>
      <c r="I31" s="116"/>
      <c r="J31" s="133"/>
      <c r="K31" s="116"/>
      <c r="L31" s="116"/>
      <c r="M31" s="116"/>
      <c r="N31" s="133"/>
      <c r="O31" s="116"/>
      <c r="P31" s="116"/>
      <c r="Q31" s="116"/>
      <c r="R31" s="133"/>
      <c r="S31" s="116"/>
      <c r="T31" s="116"/>
      <c r="U31" s="116"/>
      <c r="V31" s="133"/>
      <c r="W31" s="116"/>
      <c r="X31" s="116"/>
      <c r="Y31" s="116"/>
      <c r="Z31" s="116"/>
      <c r="AA31" s="133"/>
      <c r="AB31" s="318"/>
    </row>
    <row r="32" spans="1:28" ht="15.75" x14ac:dyDescent="0.25">
      <c r="A32" s="67" t="s">
        <v>42</v>
      </c>
      <c r="B32" s="27" t="s">
        <v>78</v>
      </c>
      <c r="C32" s="118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305"/>
    </row>
    <row r="33" spans="1:28" ht="16.5" thickBot="1" x14ac:dyDescent="0.3">
      <c r="A33" s="28"/>
      <c r="B33" s="147" t="s">
        <v>79</v>
      </c>
      <c r="C33" s="119"/>
      <c r="D33" s="22"/>
      <c r="E33" s="116"/>
      <c r="F33" s="116"/>
      <c r="G33" s="116"/>
      <c r="H33" s="116"/>
      <c r="I33" s="116"/>
      <c r="J33" s="22"/>
      <c r="K33" s="116"/>
      <c r="L33" s="116"/>
      <c r="M33" s="116"/>
      <c r="N33" s="22"/>
      <c r="O33" s="116"/>
      <c r="P33" s="116"/>
      <c r="Q33" s="116"/>
      <c r="R33" s="22"/>
      <c r="S33" s="116"/>
      <c r="T33" s="116"/>
      <c r="U33" s="116"/>
      <c r="V33" s="22"/>
      <c r="W33" s="116"/>
      <c r="X33" s="116"/>
      <c r="Y33" s="116"/>
      <c r="Z33" s="116"/>
      <c r="AA33" s="22"/>
      <c r="AB33" s="318"/>
    </row>
    <row r="34" spans="1:28" ht="21" x14ac:dyDescent="0.35">
      <c r="A34" s="324" t="s">
        <v>41</v>
      </c>
      <c r="B34" s="98">
        <v>2</v>
      </c>
      <c r="C34" s="110"/>
      <c r="D34" s="34">
        <f>IF($B$34=1,(D31+D32),IF($B$34=2,(D31*(1+D33)),IF($B$34=3,(D31+D32)*(1+D33))))</f>
        <v>0</v>
      </c>
      <c r="E34" s="34">
        <f t="shared" ref="E34:J34" si="91">IF($B$34=1,(E31+E32),IF($B$34=2,(E31*(1+E33)),IF($B$34=3,(E31+E32)*(1+E33))))</f>
        <v>0</v>
      </c>
      <c r="F34" s="34">
        <f t="shared" si="91"/>
        <v>0</v>
      </c>
      <c r="G34" s="34">
        <f t="shared" si="91"/>
        <v>0</v>
      </c>
      <c r="H34" s="34">
        <f t="shared" si="91"/>
        <v>0</v>
      </c>
      <c r="I34" s="34">
        <f t="shared" si="91"/>
        <v>0</v>
      </c>
      <c r="J34" s="34">
        <f t="shared" si="91"/>
        <v>0</v>
      </c>
      <c r="K34" s="34">
        <f t="shared" ref="K34" si="92">IF($B$34=1,(K31+K32),IF($B$34=2,(K31*(1+K33)),IF($B$34=3,(K31+K32)*(1+K33))))</f>
        <v>0</v>
      </c>
      <c r="L34" s="34">
        <f t="shared" ref="L34" si="93">IF($B$34=1,(L31+L32),IF($B$34=2,(L31*(1+L33)),IF($B$34=3,(L31+L32)*(1+L33))))</f>
        <v>0</v>
      </c>
      <c r="M34" s="34">
        <f t="shared" ref="M34" si="94">IF($B$34=1,(M31+M32),IF($B$34=2,(M31*(1+M33)),IF($B$34=3,(M31+M32)*(1+M33))))</f>
        <v>0</v>
      </c>
      <c r="N34" s="34">
        <f t="shared" ref="N34" si="95">IF($B$34=1,(N31+N32),IF($B$34=2,(N31*(1+N33)),IF($B$34=3,(N31+N32)*(1+N33))))</f>
        <v>0</v>
      </c>
      <c r="O34" s="34">
        <f t="shared" ref="O34" si="96">IF($B$34=1,(O31+O32),IF($B$34=2,(O31*(1+O33)),IF($B$34=3,(O31+O32)*(1+O33))))</f>
        <v>0</v>
      </c>
      <c r="P34" s="34">
        <f t="shared" ref="P34" si="97">IF($B$34=1,(P31+P32),IF($B$34=2,(P31*(1+P33)),IF($B$34=3,(P31+P32)*(1+P33))))</f>
        <v>0</v>
      </c>
      <c r="Q34" s="34">
        <f t="shared" ref="Q34" si="98">IF($B$34=1,(Q31+Q32),IF($B$34=2,(Q31*(1+Q33)),IF($B$34=3,(Q31+Q32)*(1+Q33))))</f>
        <v>0</v>
      </c>
      <c r="R34" s="34">
        <f t="shared" ref="R34" si="99">IF($B$34=1,(R31+R32),IF($B$34=2,(R31*(1+R33)),IF($B$34=3,(R31+R32)*(1+R33))))</f>
        <v>0</v>
      </c>
      <c r="S34" s="34">
        <f t="shared" ref="S34" si="100">IF($B$34=1,(S31+S32),IF($B$34=2,(S31*(1+S33)),IF($B$34=3,(S31+S32)*(1+S33))))</f>
        <v>0</v>
      </c>
      <c r="T34" s="34">
        <f t="shared" ref="T34" si="101">IF($B$34=1,(T31+T32),IF($B$34=2,(T31*(1+T33)),IF($B$34=3,(T31+T32)*(1+T33))))</f>
        <v>0</v>
      </c>
      <c r="U34" s="34">
        <f t="shared" ref="U34" si="102">IF($B$34=1,(U31+U32),IF($B$34=2,(U31*(1+U33)),IF($B$34=3,(U31+U32)*(1+U33))))</f>
        <v>0</v>
      </c>
      <c r="V34" s="34">
        <f t="shared" ref="V34" si="103">IF($B$34=1,(V31+V32),IF($B$34=2,(V31*(1+V33)),IF($B$34=3,(V31+V32)*(1+V33))))</f>
        <v>0</v>
      </c>
      <c r="W34" s="34">
        <f t="shared" ref="W34" si="104">IF($B$34=1,(W31+W32),IF($B$34=2,(W31*(1+W33)),IF($B$34=3,(W31+W32)*(1+W33))))</f>
        <v>0</v>
      </c>
      <c r="X34" s="34">
        <f t="shared" ref="X34" si="105">IF($B$34=1,(X31+X32),IF($B$34=2,(X31*(1+X33)),IF($B$34=3,(X31+X32)*(1+X33))))</f>
        <v>0</v>
      </c>
      <c r="Y34" s="34">
        <f t="shared" ref="Y34" si="106">IF($B$34=1,(Y31+Y32),IF($B$34=2,(Y31*(1+Y33)),IF($B$34=3,(Y31+Y32)*(1+Y33))))</f>
        <v>0</v>
      </c>
      <c r="Z34" s="34">
        <f t="shared" ref="Z34" si="107">IF($B$34=1,(Z31+Z32),IF($B$34=2,(Z31*(1+Z33)),IF($B$34=3,(Z31+Z32)*(1+Z33))))</f>
        <v>0</v>
      </c>
      <c r="AA34" s="34">
        <f t="shared" ref="AA34" si="108">IF($B$34=1,(AA31+AA32),IF($B$34=2,(AA31*(1+AA33)),IF($B$34=3,(AA31+AA32)*(1+AA33))))</f>
        <v>0</v>
      </c>
      <c r="AB34" s="325">
        <f t="shared" ref="AB34" si="109">IF($B$34=1,(AB31+AB32),IF($B$34=2,(AB31*(1+AB33)),IF($B$34=3,(AB31+AB32)*(1+AB33))))</f>
        <v>0</v>
      </c>
    </row>
    <row r="35" spans="1:28" ht="15.75" thickBot="1" x14ac:dyDescent="0.3">
      <c r="A35" s="301" t="s">
        <v>254</v>
      </c>
      <c r="B35" s="326"/>
      <c r="C35" s="326"/>
      <c r="D35" s="326"/>
      <c r="E35" s="327">
        <f>+E30*E34</f>
        <v>0</v>
      </c>
      <c r="F35" s="327">
        <f t="shared" ref="F35:J35" si="110">+F30*F34</f>
        <v>0</v>
      </c>
      <c r="G35" s="327">
        <f t="shared" si="110"/>
        <v>0</v>
      </c>
      <c r="H35" s="327">
        <f t="shared" si="110"/>
        <v>0</v>
      </c>
      <c r="I35" s="327">
        <f t="shared" si="110"/>
        <v>0</v>
      </c>
      <c r="J35" s="327">
        <f t="shared" si="110"/>
        <v>0</v>
      </c>
      <c r="K35" s="327">
        <f t="shared" ref="K35:R35" si="111">+K30*K34</f>
        <v>0</v>
      </c>
      <c r="L35" s="327">
        <f t="shared" si="111"/>
        <v>0</v>
      </c>
      <c r="M35" s="327">
        <f t="shared" si="111"/>
        <v>0</v>
      </c>
      <c r="N35" s="327">
        <f t="shared" si="111"/>
        <v>0</v>
      </c>
      <c r="O35" s="327">
        <f t="shared" si="111"/>
        <v>0</v>
      </c>
      <c r="P35" s="327">
        <f t="shared" si="111"/>
        <v>0</v>
      </c>
      <c r="Q35" s="327">
        <f t="shared" si="111"/>
        <v>0</v>
      </c>
      <c r="R35" s="327">
        <f t="shared" si="111"/>
        <v>0</v>
      </c>
      <c r="S35" s="327">
        <f t="shared" ref="S35:AB35" si="112">+S30*S34</f>
        <v>0</v>
      </c>
      <c r="T35" s="327">
        <f t="shared" si="112"/>
        <v>0</v>
      </c>
      <c r="U35" s="327">
        <f t="shared" si="112"/>
        <v>0</v>
      </c>
      <c r="V35" s="327">
        <f t="shared" si="112"/>
        <v>0</v>
      </c>
      <c r="W35" s="327">
        <f t="shared" si="112"/>
        <v>0</v>
      </c>
      <c r="X35" s="327">
        <f t="shared" si="112"/>
        <v>0</v>
      </c>
      <c r="Y35" s="327">
        <f t="shared" si="112"/>
        <v>0</v>
      </c>
      <c r="Z35" s="327">
        <f t="shared" si="112"/>
        <v>0</v>
      </c>
      <c r="AA35" s="327">
        <f t="shared" si="112"/>
        <v>0</v>
      </c>
      <c r="AB35" s="328">
        <f t="shared" si="112"/>
        <v>0</v>
      </c>
    </row>
    <row r="36" spans="1:28" ht="15.75" x14ac:dyDescent="0.25">
      <c r="A36" s="531" t="s">
        <v>249</v>
      </c>
      <c r="B36" s="532"/>
      <c r="C36" s="532"/>
      <c r="D36" s="532"/>
      <c r="E36" s="532"/>
      <c r="F36" s="532"/>
      <c r="G36" s="532"/>
      <c r="H36" s="532"/>
      <c r="I36" s="532"/>
      <c r="J36" s="532"/>
      <c r="K36" s="532"/>
      <c r="L36" s="532"/>
      <c r="M36" s="532"/>
      <c r="N36" s="532"/>
      <c r="O36" s="532"/>
      <c r="P36" s="532"/>
      <c r="Q36" s="532"/>
      <c r="R36" s="532"/>
      <c r="S36" s="532"/>
      <c r="T36" s="532"/>
      <c r="U36" s="532"/>
      <c r="V36" s="532"/>
      <c r="W36" s="532"/>
      <c r="X36" s="532"/>
      <c r="Y36" s="532"/>
      <c r="Z36" s="532"/>
      <c r="AA36" s="532"/>
      <c r="AB36" s="533"/>
    </row>
    <row r="37" spans="1:28" x14ac:dyDescent="0.25">
      <c r="A37" s="316" t="s">
        <v>82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96"/>
    </row>
    <row r="38" spans="1:28" x14ac:dyDescent="0.25">
      <c r="A38" s="306" t="s">
        <v>154</v>
      </c>
      <c r="B38" s="317"/>
      <c r="C38" s="317"/>
      <c r="D38" s="21"/>
      <c r="E38" s="116"/>
      <c r="F38" s="116"/>
      <c r="G38" s="116"/>
      <c r="H38" s="116"/>
      <c r="I38" s="116"/>
      <c r="J38" s="133"/>
      <c r="K38" s="116"/>
      <c r="L38" s="116"/>
      <c r="M38" s="116"/>
      <c r="N38" s="133"/>
      <c r="O38" s="116"/>
      <c r="P38" s="116"/>
      <c r="Q38" s="116"/>
      <c r="R38" s="133"/>
      <c r="S38" s="116"/>
      <c r="T38" s="116"/>
      <c r="U38" s="116"/>
      <c r="V38" s="133"/>
      <c r="W38" s="116"/>
      <c r="X38" s="116"/>
      <c r="Y38" s="116"/>
      <c r="Z38" s="116"/>
      <c r="AA38" s="133"/>
      <c r="AB38" s="318"/>
    </row>
    <row r="39" spans="1:28" x14ac:dyDescent="0.25">
      <c r="A39" s="306" t="s">
        <v>155</v>
      </c>
      <c r="B39" s="317"/>
      <c r="C39" s="317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305"/>
    </row>
    <row r="40" spans="1:28" x14ac:dyDescent="0.25">
      <c r="A40" s="306" t="s">
        <v>156</v>
      </c>
      <c r="B40" s="18"/>
      <c r="C40" s="317"/>
      <c r="D40" s="22"/>
      <c r="E40" s="116"/>
      <c r="F40" s="116"/>
      <c r="G40" s="116"/>
      <c r="H40" s="116"/>
      <c r="I40" s="116"/>
      <c r="J40" s="22"/>
      <c r="K40" s="116"/>
      <c r="L40" s="116"/>
      <c r="M40" s="116"/>
      <c r="N40" s="22"/>
      <c r="O40" s="116"/>
      <c r="P40" s="116"/>
      <c r="Q40" s="116"/>
      <c r="R40" s="22"/>
      <c r="S40" s="116"/>
      <c r="T40" s="116"/>
      <c r="U40" s="116"/>
      <c r="V40" s="22"/>
      <c r="W40" s="116"/>
      <c r="X40" s="116"/>
      <c r="Y40" s="116"/>
      <c r="Z40" s="116"/>
      <c r="AA40" s="22"/>
      <c r="AB40" s="318"/>
    </row>
    <row r="41" spans="1:28" ht="15.75" x14ac:dyDescent="0.25">
      <c r="A41" s="319" t="s">
        <v>40</v>
      </c>
      <c r="B41" s="320">
        <v>1</v>
      </c>
      <c r="C41" s="18"/>
      <c r="D41" s="23">
        <f>IF($B$41=1,D38*(1+D39))+IF($B$41=2,D38+D40)</f>
        <v>0</v>
      </c>
      <c r="E41" s="23">
        <f t="shared" ref="E41:J41" si="113">IF($B$41=1,E38*(1+E39))+IF($B$41=2,E38+E40)</f>
        <v>0</v>
      </c>
      <c r="F41" s="23">
        <f t="shared" si="113"/>
        <v>0</v>
      </c>
      <c r="G41" s="23">
        <f t="shared" si="113"/>
        <v>0</v>
      </c>
      <c r="H41" s="23">
        <f t="shared" si="113"/>
        <v>0</v>
      </c>
      <c r="I41" s="23">
        <f t="shared" si="113"/>
        <v>0</v>
      </c>
      <c r="J41" s="23">
        <f t="shared" si="113"/>
        <v>0</v>
      </c>
      <c r="K41" s="23">
        <f t="shared" ref="K41" si="114">IF($B$41=1,K38*(1+K39))+IF($B$41=2,K38+K40)</f>
        <v>0</v>
      </c>
      <c r="L41" s="23">
        <f t="shared" ref="L41" si="115">IF($B$41=1,L38*(1+L39))+IF($B$41=2,L38+L40)</f>
        <v>0</v>
      </c>
      <c r="M41" s="23">
        <f t="shared" ref="M41" si="116">IF($B$41=1,M38*(1+M39))+IF($B$41=2,M38+M40)</f>
        <v>0</v>
      </c>
      <c r="N41" s="23">
        <f t="shared" ref="N41" si="117">IF($B$41=1,N38*(1+N39))+IF($B$41=2,N38+N40)</f>
        <v>0</v>
      </c>
      <c r="O41" s="23">
        <f t="shared" ref="O41" si="118">IF($B$41=1,O38*(1+O39))+IF($B$41=2,O38+O40)</f>
        <v>0</v>
      </c>
      <c r="P41" s="23">
        <f t="shared" ref="P41" si="119">IF($B$41=1,P38*(1+P39))+IF($B$41=2,P38+P40)</f>
        <v>0</v>
      </c>
      <c r="Q41" s="23">
        <f t="shared" ref="Q41" si="120">IF($B$41=1,Q38*(1+Q39))+IF($B$41=2,Q38+Q40)</f>
        <v>0</v>
      </c>
      <c r="R41" s="23">
        <f t="shared" ref="R41" si="121">IF($B$41=1,R38*(1+R39))+IF($B$41=2,R38+R40)</f>
        <v>0</v>
      </c>
      <c r="S41" s="23">
        <f t="shared" ref="S41" si="122">IF($B$41=1,S38*(1+S39))+IF($B$41=2,S38+S40)</f>
        <v>0</v>
      </c>
      <c r="T41" s="23">
        <f t="shared" ref="T41" si="123">IF($B$41=1,T38*(1+T39))+IF($B$41=2,T38+T40)</f>
        <v>0</v>
      </c>
      <c r="U41" s="23">
        <f t="shared" ref="U41" si="124">IF($B$41=1,U38*(1+U39))+IF($B$41=2,U38+U40)</f>
        <v>0</v>
      </c>
      <c r="V41" s="23">
        <f t="shared" ref="V41" si="125">IF($B$41=1,V38*(1+V39))+IF($B$41=2,V38+V40)</f>
        <v>0</v>
      </c>
      <c r="W41" s="23">
        <f t="shared" ref="W41" si="126">IF($B$41=1,W38*(1+W39))+IF($B$41=2,W38+W40)</f>
        <v>0</v>
      </c>
      <c r="X41" s="23">
        <f t="shared" ref="X41" si="127">IF($B$41=1,X38*(1+X39))+IF($B$41=2,X38+X40)</f>
        <v>0</v>
      </c>
      <c r="Y41" s="23">
        <f t="shared" ref="Y41" si="128">IF($B$41=1,Y38*(1+Y39))+IF($B$41=2,Y38+Y40)</f>
        <v>0</v>
      </c>
      <c r="Z41" s="23">
        <f t="shared" ref="Z41" si="129">IF($B$41=1,Z38*(1+Z39))+IF($B$41=2,Z38+Z40)</f>
        <v>0</v>
      </c>
      <c r="AA41" s="23">
        <f t="shared" ref="AA41" si="130">IF($B$41=1,AA38*(1+AA39))+IF($B$41=2,AA38+AA40)</f>
        <v>0</v>
      </c>
      <c r="AB41" s="321">
        <f t="shared" ref="AB41" si="131">IF($B$41=1,AB38*(1+AB39))+IF($B$41=2,AB38+AB40)</f>
        <v>0</v>
      </c>
    </row>
    <row r="42" spans="1:28" ht="15.75" thickBot="1" x14ac:dyDescent="0.3">
      <c r="A42" s="322" t="s">
        <v>41</v>
      </c>
      <c r="B42" s="18"/>
      <c r="C42" s="18"/>
      <c r="D42" s="21"/>
      <c r="E42" s="116"/>
      <c r="F42" s="116"/>
      <c r="G42" s="116"/>
      <c r="H42" s="116"/>
      <c r="I42" s="116"/>
      <c r="J42" s="133"/>
      <c r="K42" s="116"/>
      <c r="L42" s="116"/>
      <c r="M42" s="116"/>
      <c r="N42" s="133"/>
      <c r="O42" s="116"/>
      <c r="P42" s="116"/>
      <c r="Q42" s="116"/>
      <c r="R42" s="133"/>
      <c r="S42" s="116"/>
      <c r="T42" s="116"/>
      <c r="U42" s="116"/>
      <c r="V42" s="133"/>
      <c r="W42" s="116"/>
      <c r="X42" s="116"/>
      <c r="Y42" s="116"/>
      <c r="Z42" s="116"/>
      <c r="AA42" s="133"/>
      <c r="AB42" s="318"/>
    </row>
    <row r="43" spans="1:28" ht="15.75" x14ac:dyDescent="0.25">
      <c r="A43" s="67" t="s">
        <v>42</v>
      </c>
      <c r="B43" s="27" t="s">
        <v>78</v>
      </c>
      <c r="C43" s="118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305"/>
    </row>
    <row r="44" spans="1:28" ht="16.5" thickBot="1" x14ac:dyDescent="0.3">
      <c r="A44" s="28"/>
      <c r="B44" s="147" t="s">
        <v>79</v>
      </c>
      <c r="C44" s="119"/>
      <c r="D44" s="22"/>
      <c r="E44" s="116"/>
      <c r="F44" s="116"/>
      <c r="G44" s="116"/>
      <c r="H44" s="116"/>
      <c r="I44" s="116"/>
      <c r="J44" s="22"/>
      <c r="K44" s="116"/>
      <c r="L44" s="116"/>
      <c r="M44" s="116"/>
      <c r="N44" s="22"/>
      <c r="O44" s="116"/>
      <c r="P44" s="116"/>
      <c r="Q44" s="116"/>
      <c r="R44" s="22"/>
      <c r="S44" s="116"/>
      <c r="T44" s="116"/>
      <c r="U44" s="116"/>
      <c r="V44" s="22"/>
      <c r="W44" s="116"/>
      <c r="X44" s="116"/>
      <c r="Y44" s="116"/>
      <c r="Z44" s="116"/>
      <c r="AA44" s="22"/>
      <c r="AB44" s="318"/>
    </row>
    <row r="45" spans="1:28" ht="21" x14ac:dyDescent="0.35">
      <c r="A45" s="324" t="s">
        <v>41</v>
      </c>
      <c r="B45" s="98">
        <v>2</v>
      </c>
      <c r="C45" s="110"/>
      <c r="D45" s="34">
        <f>IF($B$45=1,(D42+D43),IF($B$45=2,(D42*(1+D44)),IF($B$45=3,(D42+D43)*(1+D44))))</f>
        <v>0</v>
      </c>
      <c r="E45" s="34">
        <f t="shared" ref="E45:J45" si="132">IF($B$45=1,(E42+E43),IF($B$45=2,(E42*(1+E44)),IF($B$45=3,(E42+E43)*(1+E44))))</f>
        <v>0</v>
      </c>
      <c r="F45" s="34">
        <f t="shared" si="132"/>
        <v>0</v>
      </c>
      <c r="G45" s="34">
        <f t="shared" si="132"/>
        <v>0</v>
      </c>
      <c r="H45" s="34">
        <f t="shared" si="132"/>
        <v>0</v>
      </c>
      <c r="I45" s="34">
        <f t="shared" si="132"/>
        <v>0</v>
      </c>
      <c r="J45" s="34">
        <f t="shared" si="132"/>
        <v>0</v>
      </c>
      <c r="K45" s="34">
        <f t="shared" ref="K45" si="133">IF($B$45=1,(K42+K43),IF($B$45=2,(K42*(1+K44)),IF($B$45=3,(K42+K43)*(1+K44))))</f>
        <v>0</v>
      </c>
      <c r="L45" s="34">
        <f t="shared" ref="L45" si="134">IF($B$45=1,(L42+L43),IF($B$45=2,(L42*(1+L44)),IF($B$45=3,(L42+L43)*(1+L44))))</f>
        <v>0</v>
      </c>
      <c r="M45" s="34">
        <f t="shared" ref="M45" si="135">IF($B$45=1,(M42+M43),IF($B$45=2,(M42*(1+M44)),IF($B$45=3,(M42+M43)*(1+M44))))</f>
        <v>0</v>
      </c>
      <c r="N45" s="34">
        <f t="shared" ref="N45" si="136">IF($B$45=1,(N42+N43),IF($B$45=2,(N42*(1+N44)),IF($B$45=3,(N42+N43)*(1+N44))))</f>
        <v>0</v>
      </c>
      <c r="O45" s="34">
        <f t="shared" ref="O45" si="137">IF($B$45=1,(O42+O43),IF($B$45=2,(O42*(1+O44)),IF($B$45=3,(O42+O43)*(1+O44))))</f>
        <v>0</v>
      </c>
      <c r="P45" s="34">
        <f t="shared" ref="P45" si="138">IF($B$45=1,(P42+P43),IF($B$45=2,(P42*(1+P44)),IF($B$45=3,(P42+P43)*(1+P44))))</f>
        <v>0</v>
      </c>
      <c r="Q45" s="34">
        <f t="shared" ref="Q45" si="139">IF($B$45=1,(Q42+Q43),IF($B$45=2,(Q42*(1+Q44)),IF($B$45=3,(Q42+Q43)*(1+Q44))))</f>
        <v>0</v>
      </c>
      <c r="R45" s="34">
        <f t="shared" ref="R45" si="140">IF($B$45=1,(R42+R43),IF($B$45=2,(R42*(1+R44)),IF($B$45=3,(R42+R43)*(1+R44))))</f>
        <v>0</v>
      </c>
      <c r="S45" s="34">
        <f t="shared" ref="S45" si="141">IF($B$45=1,(S42+S43),IF($B$45=2,(S42*(1+S44)),IF($B$45=3,(S42+S43)*(1+S44))))</f>
        <v>0</v>
      </c>
      <c r="T45" s="34">
        <f t="shared" ref="T45" si="142">IF($B$45=1,(T42+T43),IF($B$45=2,(T42*(1+T44)),IF($B$45=3,(T42+T43)*(1+T44))))</f>
        <v>0</v>
      </c>
      <c r="U45" s="34">
        <f t="shared" ref="U45" si="143">IF($B$45=1,(U42+U43),IF($B$45=2,(U42*(1+U44)),IF($B$45=3,(U42+U43)*(1+U44))))</f>
        <v>0</v>
      </c>
      <c r="V45" s="34">
        <f t="shared" ref="V45" si="144">IF($B$45=1,(V42+V43),IF($B$45=2,(V42*(1+V44)),IF($B$45=3,(V42+V43)*(1+V44))))</f>
        <v>0</v>
      </c>
      <c r="W45" s="34">
        <f t="shared" ref="W45" si="145">IF($B$45=1,(W42+W43),IF($B$45=2,(W42*(1+W44)),IF($B$45=3,(W42+W43)*(1+W44))))</f>
        <v>0</v>
      </c>
      <c r="X45" s="34">
        <f t="shared" ref="X45" si="146">IF($B$45=1,(X42+X43),IF($B$45=2,(X42*(1+X44)),IF($B$45=3,(X42+X43)*(1+X44))))</f>
        <v>0</v>
      </c>
      <c r="Y45" s="34">
        <f t="shared" ref="Y45" si="147">IF($B$45=1,(Y42+Y43),IF($B$45=2,(Y42*(1+Y44)),IF($B$45=3,(Y42+Y43)*(1+Y44))))</f>
        <v>0</v>
      </c>
      <c r="Z45" s="34">
        <f t="shared" ref="Z45" si="148">IF($B$45=1,(Z42+Z43),IF($B$45=2,(Z42*(1+Z44)),IF($B$45=3,(Z42+Z43)*(1+Z44))))</f>
        <v>0</v>
      </c>
      <c r="AA45" s="34">
        <f t="shared" ref="AA45" si="149">IF($B$45=1,(AA42+AA43),IF($B$45=2,(AA42*(1+AA44)),IF($B$45=3,(AA42+AA43)*(1+AA44))))</f>
        <v>0</v>
      </c>
      <c r="AB45" s="325">
        <f t="shared" ref="AB45" si="150">IF($B$45=1,(AB42+AB43),IF($B$45=2,(AB42*(1+AB44)),IF($B$45=3,(AB42+AB43)*(1+AB44))))</f>
        <v>0</v>
      </c>
    </row>
    <row r="46" spans="1:28" ht="15.75" thickBot="1" x14ac:dyDescent="0.3">
      <c r="A46" s="301" t="s">
        <v>253</v>
      </c>
      <c r="B46" s="326"/>
      <c r="C46" s="326"/>
      <c r="D46" s="326"/>
      <c r="E46" s="327">
        <f>+E41*E45</f>
        <v>0</v>
      </c>
      <c r="F46" s="327">
        <f t="shared" ref="F46:J46" si="151">+F41*F45</f>
        <v>0</v>
      </c>
      <c r="G46" s="327">
        <f t="shared" si="151"/>
        <v>0</v>
      </c>
      <c r="H46" s="327">
        <f t="shared" si="151"/>
        <v>0</v>
      </c>
      <c r="I46" s="327">
        <f t="shared" si="151"/>
        <v>0</v>
      </c>
      <c r="J46" s="327">
        <f t="shared" si="151"/>
        <v>0</v>
      </c>
      <c r="K46" s="327">
        <f t="shared" ref="K46:R46" si="152">+K41*K45</f>
        <v>0</v>
      </c>
      <c r="L46" s="327">
        <f t="shared" si="152"/>
        <v>0</v>
      </c>
      <c r="M46" s="327">
        <f t="shared" si="152"/>
        <v>0</v>
      </c>
      <c r="N46" s="327">
        <f t="shared" si="152"/>
        <v>0</v>
      </c>
      <c r="O46" s="327">
        <f t="shared" si="152"/>
        <v>0</v>
      </c>
      <c r="P46" s="327">
        <f t="shared" si="152"/>
        <v>0</v>
      </c>
      <c r="Q46" s="327">
        <f t="shared" si="152"/>
        <v>0</v>
      </c>
      <c r="R46" s="327">
        <f t="shared" si="152"/>
        <v>0</v>
      </c>
      <c r="S46" s="327">
        <f t="shared" ref="S46:AB46" si="153">+S41*S45</f>
        <v>0</v>
      </c>
      <c r="T46" s="327">
        <f t="shared" si="153"/>
        <v>0</v>
      </c>
      <c r="U46" s="327">
        <f t="shared" si="153"/>
        <v>0</v>
      </c>
      <c r="V46" s="327">
        <f t="shared" si="153"/>
        <v>0</v>
      </c>
      <c r="W46" s="327">
        <f t="shared" si="153"/>
        <v>0</v>
      </c>
      <c r="X46" s="327">
        <f t="shared" si="153"/>
        <v>0</v>
      </c>
      <c r="Y46" s="327">
        <f t="shared" si="153"/>
        <v>0</v>
      </c>
      <c r="Z46" s="327">
        <f t="shared" si="153"/>
        <v>0</v>
      </c>
      <c r="AA46" s="327">
        <f t="shared" si="153"/>
        <v>0</v>
      </c>
      <c r="AB46" s="328">
        <f t="shared" si="153"/>
        <v>0</v>
      </c>
    </row>
    <row r="47" spans="1:28" x14ac:dyDescent="0.25">
      <c r="A47" s="534" t="s">
        <v>250</v>
      </c>
      <c r="B47" s="535"/>
      <c r="C47" s="535"/>
      <c r="D47" s="535"/>
      <c r="E47" s="535"/>
      <c r="F47" s="535"/>
      <c r="G47" s="535"/>
      <c r="H47" s="535"/>
      <c r="I47" s="535"/>
      <c r="J47" s="535"/>
      <c r="K47" s="535"/>
      <c r="L47" s="535"/>
      <c r="M47" s="535"/>
      <c r="N47" s="535"/>
      <c r="O47" s="535"/>
      <c r="P47" s="535"/>
      <c r="Q47" s="535"/>
      <c r="R47" s="535"/>
      <c r="S47" s="535"/>
      <c r="T47" s="535"/>
      <c r="U47" s="535"/>
      <c r="V47" s="535"/>
      <c r="W47" s="535"/>
      <c r="X47" s="535"/>
      <c r="Y47" s="535"/>
      <c r="Z47" s="535"/>
      <c r="AA47" s="535"/>
      <c r="AB47" s="536"/>
    </row>
    <row r="48" spans="1:28" x14ac:dyDescent="0.25">
      <c r="A48" s="316" t="s">
        <v>82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96"/>
    </row>
    <row r="49" spans="1:28" x14ac:dyDescent="0.25">
      <c r="A49" s="306" t="s">
        <v>154</v>
      </c>
      <c r="B49" s="317"/>
      <c r="C49" s="317"/>
      <c r="D49" s="21"/>
      <c r="E49" s="116"/>
      <c r="F49" s="116"/>
      <c r="G49" s="116"/>
      <c r="H49" s="116"/>
      <c r="I49" s="116"/>
      <c r="J49" s="133"/>
      <c r="K49" s="116"/>
      <c r="L49" s="116"/>
      <c r="M49" s="116"/>
      <c r="N49" s="133"/>
      <c r="O49" s="116"/>
      <c r="P49" s="116"/>
      <c r="Q49" s="116"/>
      <c r="R49" s="133"/>
      <c r="S49" s="116"/>
      <c r="T49" s="116"/>
      <c r="U49" s="116"/>
      <c r="V49" s="133"/>
      <c r="W49" s="116"/>
      <c r="X49" s="116"/>
      <c r="Y49" s="116"/>
      <c r="Z49" s="116"/>
      <c r="AA49" s="133"/>
      <c r="AB49" s="318"/>
    </row>
    <row r="50" spans="1:28" x14ac:dyDescent="0.25">
      <c r="A50" s="306" t="s">
        <v>155</v>
      </c>
      <c r="B50" s="317"/>
      <c r="C50" s="317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305"/>
    </row>
    <row r="51" spans="1:28" x14ac:dyDescent="0.25">
      <c r="A51" s="306" t="s">
        <v>156</v>
      </c>
      <c r="B51" s="18"/>
      <c r="C51" s="317"/>
      <c r="D51" s="22"/>
      <c r="E51" s="116"/>
      <c r="F51" s="116"/>
      <c r="G51" s="116"/>
      <c r="H51" s="116"/>
      <c r="I51" s="116"/>
      <c r="J51" s="22"/>
      <c r="K51" s="116"/>
      <c r="L51" s="116"/>
      <c r="M51" s="116"/>
      <c r="N51" s="22"/>
      <c r="O51" s="116"/>
      <c r="P51" s="116"/>
      <c r="Q51" s="116"/>
      <c r="R51" s="22"/>
      <c r="S51" s="116"/>
      <c r="T51" s="116"/>
      <c r="U51" s="116"/>
      <c r="V51" s="22"/>
      <c r="W51" s="116"/>
      <c r="X51" s="116"/>
      <c r="Y51" s="116"/>
      <c r="Z51" s="116"/>
      <c r="AA51" s="22"/>
      <c r="AB51" s="318"/>
    </row>
    <row r="52" spans="1:28" ht="15.75" x14ac:dyDescent="0.25">
      <c r="A52" s="319" t="s">
        <v>40</v>
      </c>
      <c r="B52" s="320">
        <v>1</v>
      </c>
      <c r="C52" s="18"/>
      <c r="D52" s="23">
        <f>IF($B$52=1,D49*(1+D50))+IF($B$52=2,D49+D51)</f>
        <v>0</v>
      </c>
      <c r="E52" s="23">
        <f t="shared" ref="E52:J52" si="154">IF($B$52=1,E49*(1+E50))+IF($B$52=2,E49+E51)</f>
        <v>0</v>
      </c>
      <c r="F52" s="23">
        <f t="shared" si="154"/>
        <v>0</v>
      </c>
      <c r="G52" s="23">
        <f t="shared" si="154"/>
        <v>0</v>
      </c>
      <c r="H52" s="23">
        <f t="shared" si="154"/>
        <v>0</v>
      </c>
      <c r="I52" s="23">
        <f t="shared" si="154"/>
        <v>0</v>
      </c>
      <c r="J52" s="23">
        <f t="shared" si="154"/>
        <v>0</v>
      </c>
      <c r="K52" s="23">
        <f t="shared" ref="K52" si="155">IF($B$52=1,K49*(1+K50))+IF($B$52=2,K49+K51)</f>
        <v>0</v>
      </c>
      <c r="L52" s="23">
        <f t="shared" ref="L52" si="156">IF($B$52=1,L49*(1+L50))+IF($B$52=2,L49+L51)</f>
        <v>0</v>
      </c>
      <c r="M52" s="23">
        <f t="shared" ref="M52" si="157">IF($B$52=1,M49*(1+M50))+IF($B$52=2,M49+M51)</f>
        <v>0</v>
      </c>
      <c r="N52" s="23">
        <f t="shared" ref="N52" si="158">IF($B$52=1,N49*(1+N50))+IF($B$52=2,N49+N51)</f>
        <v>0</v>
      </c>
      <c r="O52" s="23">
        <f t="shared" ref="O52" si="159">IF($B$52=1,O49*(1+O50))+IF($B$52=2,O49+O51)</f>
        <v>0</v>
      </c>
      <c r="P52" s="23">
        <f t="shared" ref="P52" si="160">IF($B$52=1,P49*(1+P50))+IF($B$52=2,P49+P51)</f>
        <v>0</v>
      </c>
      <c r="Q52" s="23">
        <f t="shared" ref="Q52" si="161">IF($B$52=1,Q49*(1+Q50))+IF($B$52=2,Q49+Q51)</f>
        <v>0</v>
      </c>
      <c r="R52" s="23">
        <f t="shared" ref="R52" si="162">IF($B$52=1,R49*(1+R50))+IF($B$52=2,R49+R51)</f>
        <v>0</v>
      </c>
      <c r="S52" s="23">
        <f t="shared" ref="S52" si="163">IF($B$52=1,S49*(1+S50))+IF($B$52=2,S49+S51)</f>
        <v>0</v>
      </c>
      <c r="T52" s="23">
        <f t="shared" ref="T52" si="164">IF($B$52=1,T49*(1+T50))+IF($B$52=2,T49+T51)</f>
        <v>0</v>
      </c>
      <c r="U52" s="23">
        <f t="shared" ref="U52" si="165">IF($B$52=1,U49*(1+U50))+IF($B$52=2,U49+U51)</f>
        <v>0</v>
      </c>
      <c r="V52" s="23">
        <f t="shared" ref="V52" si="166">IF($B$52=1,V49*(1+V50))+IF($B$52=2,V49+V51)</f>
        <v>0</v>
      </c>
      <c r="W52" s="23">
        <f t="shared" ref="W52" si="167">IF($B$52=1,W49*(1+W50))+IF($B$52=2,W49+W51)</f>
        <v>0</v>
      </c>
      <c r="X52" s="23">
        <f t="shared" ref="X52" si="168">IF($B$52=1,X49*(1+X50))+IF($B$52=2,X49+X51)</f>
        <v>0</v>
      </c>
      <c r="Y52" s="23">
        <f t="shared" ref="Y52" si="169">IF($B$52=1,Y49*(1+Y50))+IF($B$52=2,Y49+Y51)</f>
        <v>0</v>
      </c>
      <c r="Z52" s="23">
        <f t="shared" ref="Z52" si="170">IF($B$52=1,Z49*(1+Z50))+IF($B$52=2,Z49+Z51)</f>
        <v>0</v>
      </c>
      <c r="AA52" s="23">
        <f t="shared" ref="AA52" si="171">IF($B$52=1,AA49*(1+AA50))+IF($B$52=2,AA49+AA51)</f>
        <v>0</v>
      </c>
      <c r="AB52" s="321">
        <f t="shared" ref="AB52" si="172">IF($B$52=1,AB49*(1+AB50))+IF($B$52=2,AB49+AB51)</f>
        <v>0</v>
      </c>
    </row>
    <row r="53" spans="1:28" ht="15.75" thickBot="1" x14ac:dyDescent="0.3">
      <c r="A53" s="322" t="s">
        <v>41</v>
      </c>
      <c r="B53" s="18"/>
      <c r="C53" s="18"/>
      <c r="D53" s="21"/>
      <c r="E53" s="116"/>
      <c r="F53" s="116"/>
      <c r="G53" s="116"/>
      <c r="H53" s="116"/>
      <c r="I53" s="116"/>
      <c r="J53" s="133"/>
      <c r="K53" s="116"/>
      <c r="L53" s="116"/>
      <c r="M53" s="116"/>
      <c r="N53" s="133"/>
      <c r="O53" s="116"/>
      <c r="P53" s="116"/>
      <c r="Q53" s="116"/>
      <c r="R53" s="133"/>
      <c r="S53" s="116"/>
      <c r="T53" s="116"/>
      <c r="U53" s="116"/>
      <c r="V53" s="133"/>
      <c r="W53" s="116"/>
      <c r="X53" s="116"/>
      <c r="Y53" s="116"/>
      <c r="Z53" s="116"/>
      <c r="AA53" s="133"/>
      <c r="AB53" s="318"/>
    </row>
    <row r="54" spans="1:28" ht="15.75" x14ac:dyDescent="0.25">
      <c r="A54" s="67" t="s">
        <v>42</v>
      </c>
      <c r="B54" s="27" t="s">
        <v>78</v>
      </c>
      <c r="C54" s="118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305"/>
    </row>
    <row r="55" spans="1:28" ht="16.5" thickBot="1" x14ac:dyDescent="0.3">
      <c r="A55" s="28"/>
      <c r="B55" s="147" t="s">
        <v>79</v>
      </c>
      <c r="C55" s="119"/>
      <c r="D55" s="22"/>
      <c r="E55" s="116"/>
      <c r="F55" s="116"/>
      <c r="G55" s="116"/>
      <c r="H55" s="116"/>
      <c r="I55" s="116"/>
      <c r="J55" s="22"/>
      <c r="K55" s="116"/>
      <c r="L55" s="116"/>
      <c r="M55" s="116"/>
      <c r="N55" s="22"/>
      <c r="O55" s="116"/>
      <c r="P55" s="116"/>
      <c r="Q55" s="116"/>
      <c r="R55" s="22"/>
      <c r="S55" s="116"/>
      <c r="T55" s="116"/>
      <c r="U55" s="116"/>
      <c r="V55" s="22"/>
      <c r="W55" s="116"/>
      <c r="X55" s="116"/>
      <c r="Y55" s="116"/>
      <c r="Z55" s="116"/>
      <c r="AA55" s="22"/>
      <c r="AB55" s="318"/>
    </row>
    <row r="56" spans="1:28" ht="21" x14ac:dyDescent="0.35">
      <c r="A56" s="324" t="s">
        <v>41</v>
      </c>
      <c r="B56" s="98">
        <v>2</v>
      </c>
      <c r="C56" s="110"/>
      <c r="D56" s="34">
        <f>IF($B$56=1,(D53+D54),IF($B$56=2,(D53*(1+D55)),IF($B$56=3,(D53+D54)*(1+D55))))</f>
        <v>0</v>
      </c>
      <c r="E56" s="34">
        <f t="shared" ref="E56:J56" si="173">IF($B$56=1,(E53+E54),IF($B$56=2,(E53*(1+E55)),IF($B$56=3,(E53+E54)*(1+E55))))</f>
        <v>0</v>
      </c>
      <c r="F56" s="34">
        <f t="shared" si="173"/>
        <v>0</v>
      </c>
      <c r="G56" s="34">
        <f t="shared" si="173"/>
        <v>0</v>
      </c>
      <c r="H56" s="34">
        <f t="shared" si="173"/>
        <v>0</v>
      </c>
      <c r="I56" s="34">
        <f t="shared" si="173"/>
        <v>0</v>
      </c>
      <c r="J56" s="34">
        <f t="shared" si="173"/>
        <v>0</v>
      </c>
      <c r="K56" s="34">
        <f t="shared" ref="K56" si="174">IF($B$56=1,(K53+K54),IF($B$56=2,(K53*(1+K55)),IF($B$56=3,(K53+K54)*(1+K55))))</f>
        <v>0</v>
      </c>
      <c r="L56" s="34">
        <f t="shared" ref="L56" si="175">IF($B$56=1,(L53+L54),IF($B$56=2,(L53*(1+L55)),IF($B$56=3,(L53+L54)*(1+L55))))</f>
        <v>0</v>
      </c>
      <c r="M56" s="34">
        <f t="shared" ref="M56" si="176">IF($B$56=1,(M53+M54),IF($B$56=2,(M53*(1+M55)),IF($B$56=3,(M53+M54)*(1+M55))))</f>
        <v>0</v>
      </c>
      <c r="N56" s="34">
        <f t="shared" ref="N56" si="177">IF($B$56=1,(N53+N54),IF($B$56=2,(N53*(1+N55)),IF($B$56=3,(N53+N54)*(1+N55))))</f>
        <v>0</v>
      </c>
      <c r="O56" s="34">
        <f t="shared" ref="O56" si="178">IF($B$56=1,(O53+O54),IF($B$56=2,(O53*(1+O55)),IF($B$56=3,(O53+O54)*(1+O55))))</f>
        <v>0</v>
      </c>
      <c r="P56" s="34">
        <f t="shared" ref="P56" si="179">IF($B$56=1,(P53+P54),IF($B$56=2,(P53*(1+P55)),IF($B$56=3,(P53+P54)*(1+P55))))</f>
        <v>0</v>
      </c>
      <c r="Q56" s="34">
        <f t="shared" ref="Q56" si="180">IF($B$56=1,(Q53+Q54),IF($B$56=2,(Q53*(1+Q55)),IF($B$56=3,(Q53+Q54)*(1+Q55))))</f>
        <v>0</v>
      </c>
      <c r="R56" s="34">
        <f t="shared" ref="R56" si="181">IF($B$56=1,(R53+R54),IF($B$56=2,(R53*(1+R55)),IF($B$56=3,(R53+R54)*(1+R55))))</f>
        <v>0</v>
      </c>
      <c r="S56" s="34">
        <f t="shared" ref="S56" si="182">IF($B$56=1,(S53+S54),IF($B$56=2,(S53*(1+S55)),IF($B$56=3,(S53+S54)*(1+S55))))</f>
        <v>0</v>
      </c>
      <c r="T56" s="34">
        <f t="shared" ref="T56" si="183">IF($B$56=1,(T53+T54),IF($B$56=2,(T53*(1+T55)),IF($B$56=3,(T53+T54)*(1+T55))))</f>
        <v>0</v>
      </c>
      <c r="U56" s="34">
        <f t="shared" ref="U56" si="184">IF($B$56=1,(U53+U54),IF($B$56=2,(U53*(1+U55)),IF($B$56=3,(U53+U54)*(1+U55))))</f>
        <v>0</v>
      </c>
      <c r="V56" s="34">
        <f t="shared" ref="V56" si="185">IF($B$56=1,(V53+V54),IF($B$56=2,(V53*(1+V55)),IF($B$56=3,(V53+V54)*(1+V55))))</f>
        <v>0</v>
      </c>
      <c r="W56" s="34">
        <f t="shared" ref="W56" si="186">IF($B$56=1,(W53+W54),IF($B$56=2,(W53*(1+W55)),IF($B$56=3,(W53+W54)*(1+W55))))</f>
        <v>0</v>
      </c>
      <c r="X56" s="34">
        <f t="shared" ref="X56" si="187">IF($B$56=1,(X53+X54),IF($B$56=2,(X53*(1+X55)),IF($B$56=3,(X53+X54)*(1+X55))))</f>
        <v>0</v>
      </c>
      <c r="Y56" s="34">
        <f t="shared" ref="Y56" si="188">IF($B$56=1,(Y53+Y54),IF($B$56=2,(Y53*(1+Y55)),IF($B$56=3,(Y53+Y54)*(1+Y55))))</f>
        <v>0</v>
      </c>
      <c r="Z56" s="34">
        <f t="shared" ref="Z56" si="189">IF($B$56=1,(Z53+Z54),IF($B$56=2,(Z53*(1+Z55)),IF($B$56=3,(Z53+Z54)*(1+Z55))))</f>
        <v>0</v>
      </c>
      <c r="AA56" s="34">
        <f t="shared" ref="AA56" si="190">IF($B$56=1,(AA53+AA54),IF($B$56=2,(AA53*(1+AA55)),IF($B$56=3,(AA53+AA54)*(1+AA55))))</f>
        <v>0</v>
      </c>
      <c r="AB56" s="325">
        <f t="shared" ref="AB56" si="191">IF($B$56=1,(AB53+AB54),IF($B$56=2,(AB53*(1+AB55)),IF($B$56=3,(AB53+AB54)*(1+AB55))))</f>
        <v>0</v>
      </c>
    </row>
    <row r="57" spans="1:28" ht="15.75" thickBot="1" x14ac:dyDescent="0.3">
      <c r="A57" s="301" t="s">
        <v>252</v>
      </c>
      <c r="B57" s="326"/>
      <c r="C57" s="326"/>
      <c r="D57" s="326"/>
      <c r="E57" s="327">
        <f>+E52*E56</f>
        <v>0</v>
      </c>
      <c r="F57" s="327">
        <f t="shared" ref="F57:J57" si="192">+F52*F56</f>
        <v>0</v>
      </c>
      <c r="G57" s="327">
        <f t="shared" si="192"/>
        <v>0</v>
      </c>
      <c r="H57" s="327">
        <f t="shared" si="192"/>
        <v>0</v>
      </c>
      <c r="I57" s="327">
        <f t="shared" si="192"/>
        <v>0</v>
      </c>
      <c r="J57" s="327">
        <f t="shared" si="192"/>
        <v>0</v>
      </c>
      <c r="K57" s="327">
        <f t="shared" ref="K57:R57" si="193">+K52*K56</f>
        <v>0</v>
      </c>
      <c r="L57" s="327">
        <f t="shared" si="193"/>
        <v>0</v>
      </c>
      <c r="M57" s="327">
        <f t="shared" si="193"/>
        <v>0</v>
      </c>
      <c r="N57" s="327">
        <f t="shared" si="193"/>
        <v>0</v>
      </c>
      <c r="O57" s="327">
        <f t="shared" si="193"/>
        <v>0</v>
      </c>
      <c r="P57" s="327">
        <f t="shared" si="193"/>
        <v>0</v>
      </c>
      <c r="Q57" s="327">
        <f t="shared" si="193"/>
        <v>0</v>
      </c>
      <c r="R57" s="327">
        <f t="shared" si="193"/>
        <v>0</v>
      </c>
      <c r="S57" s="327">
        <f t="shared" ref="S57:AB57" si="194">+S52*S56</f>
        <v>0</v>
      </c>
      <c r="T57" s="327">
        <f t="shared" si="194"/>
        <v>0</v>
      </c>
      <c r="U57" s="327">
        <f t="shared" si="194"/>
        <v>0</v>
      </c>
      <c r="V57" s="327">
        <f t="shared" si="194"/>
        <v>0</v>
      </c>
      <c r="W57" s="327">
        <f t="shared" si="194"/>
        <v>0</v>
      </c>
      <c r="X57" s="327">
        <f t="shared" si="194"/>
        <v>0</v>
      </c>
      <c r="Y57" s="327">
        <f t="shared" si="194"/>
        <v>0</v>
      </c>
      <c r="Z57" s="327">
        <f t="shared" si="194"/>
        <v>0</v>
      </c>
      <c r="AA57" s="327">
        <f t="shared" si="194"/>
        <v>0</v>
      </c>
      <c r="AB57" s="328">
        <f t="shared" si="194"/>
        <v>0</v>
      </c>
    </row>
    <row r="58" spans="1:28" ht="15.75" thickBot="1" x14ac:dyDescent="0.3"/>
    <row r="59" spans="1:28" s="333" customFormat="1" ht="15.75" thickBot="1" x14ac:dyDescent="0.3">
      <c r="A59" s="329" t="s">
        <v>251</v>
      </c>
      <c r="B59" s="330"/>
      <c r="C59" s="330"/>
      <c r="D59" s="331">
        <f>D57+D46+D35+D24+D13</f>
        <v>0</v>
      </c>
      <c r="E59" s="331">
        <f t="shared" ref="E59:J59" si="195">E57+E46+E35+E24+E13</f>
        <v>0</v>
      </c>
      <c r="F59" s="331">
        <f t="shared" si="195"/>
        <v>0</v>
      </c>
      <c r="G59" s="331">
        <f t="shared" si="195"/>
        <v>0</v>
      </c>
      <c r="H59" s="331">
        <f t="shared" si="195"/>
        <v>0</v>
      </c>
      <c r="I59" s="331">
        <f t="shared" si="195"/>
        <v>0</v>
      </c>
      <c r="J59" s="331">
        <f t="shared" si="195"/>
        <v>0</v>
      </c>
      <c r="K59" s="331">
        <f t="shared" ref="K59:R59" si="196">K57+K46+K35+K24+K13</f>
        <v>0</v>
      </c>
      <c r="L59" s="331">
        <f t="shared" si="196"/>
        <v>0</v>
      </c>
      <c r="M59" s="331">
        <f t="shared" si="196"/>
        <v>0</v>
      </c>
      <c r="N59" s="331">
        <f t="shared" si="196"/>
        <v>0</v>
      </c>
      <c r="O59" s="331">
        <f t="shared" si="196"/>
        <v>0</v>
      </c>
      <c r="P59" s="331">
        <f t="shared" si="196"/>
        <v>0</v>
      </c>
      <c r="Q59" s="331">
        <f t="shared" si="196"/>
        <v>0</v>
      </c>
      <c r="R59" s="331">
        <f t="shared" si="196"/>
        <v>0</v>
      </c>
      <c r="S59" s="331">
        <f t="shared" ref="S59:AB59" si="197">S57+S46+S35+S24+S13</f>
        <v>0</v>
      </c>
      <c r="T59" s="331">
        <f t="shared" si="197"/>
        <v>0</v>
      </c>
      <c r="U59" s="331">
        <f t="shared" si="197"/>
        <v>0</v>
      </c>
      <c r="V59" s="331">
        <f t="shared" si="197"/>
        <v>0</v>
      </c>
      <c r="W59" s="331">
        <f t="shared" si="197"/>
        <v>0</v>
      </c>
      <c r="X59" s="331">
        <f t="shared" si="197"/>
        <v>0</v>
      </c>
      <c r="Y59" s="331">
        <f t="shared" si="197"/>
        <v>0</v>
      </c>
      <c r="Z59" s="331">
        <f t="shared" si="197"/>
        <v>0</v>
      </c>
      <c r="AA59" s="331">
        <f t="shared" si="197"/>
        <v>0</v>
      </c>
      <c r="AB59" s="332">
        <f t="shared" si="197"/>
        <v>0</v>
      </c>
    </row>
    <row r="60" spans="1:28" ht="15.75" thickBot="1" x14ac:dyDescent="0.3"/>
    <row r="61" spans="1:28" ht="15" customHeight="1" x14ac:dyDescent="0.25">
      <c r="A61" s="311" t="s">
        <v>83</v>
      </c>
      <c r="B61" s="312"/>
      <c r="C61" s="312"/>
      <c r="D61" s="312"/>
      <c r="E61" s="312"/>
      <c r="F61" s="312"/>
      <c r="G61" s="312"/>
      <c r="H61" s="312"/>
      <c r="I61" s="312"/>
      <c r="J61" s="312"/>
      <c r="K61" s="312"/>
      <c r="L61" s="312"/>
      <c r="M61" s="312"/>
      <c r="N61" s="312"/>
      <c r="O61" s="312"/>
      <c r="P61" s="312"/>
      <c r="Q61" s="312"/>
      <c r="R61" s="312"/>
      <c r="S61" s="312"/>
      <c r="T61" s="312"/>
      <c r="U61" s="312"/>
      <c r="V61" s="312"/>
      <c r="W61" s="312"/>
      <c r="X61" s="312"/>
      <c r="Y61" s="312"/>
      <c r="Z61" s="312"/>
      <c r="AA61" s="312"/>
      <c r="AB61" s="313"/>
    </row>
    <row r="62" spans="1:28" x14ac:dyDescent="0.25">
      <c r="A62" s="314" t="s">
        <v>144</v>
      </c>
      <c r="B62" s="3"/>
      <c r="C62" s="3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>
        <v>0</v>
      </c>
      <c r="O62" s="22">
        <v>0</v>
      </c>
      <c r="P62" s="22"/>
      <c r="Q62" s="22"/>
      <c r="R62" s="22"/>
      <c r="S62" s="22">
        <v>0</v>
      </c>
      <c r="T62" s="22">
        <v>0</v>
      </c>
      <c r="U62" s="22"/>
      <c r="V62" s="22"/>
      <c r="W62" s="22"/>
      <c r="X62" s="22">
        <v>0</v>
      </c>
      <c r="Y62" s="22">
        <v>0</v>
      </c>
      <c r="Z62" s="22"/>
      <c r="AA62" s="22"/>
      <c r="AB62" s="305"/>
    </row>
    <row r="63" spans="1:28" ht="18.75" x14ac:dyDescent="0.3">
      <c r="A63" s="306" t="s">
        <v>269</v>
      </c>
      <c r="B63" s="120">
        <v>5</v>
      </c>
      <c r="C63" s="117"/>
      <c r="D63" s="51">
        <f t="shared" ref="D63:J63" si="198">IF($B$63=D1,($C$63*(1-D$62)),0)</f>
        <v>0</v>
      </c>
      <c r="E63" s="51">
        <f t="shared" si="198"/>
        <v>0</v>
      </c>
      <c r="F63" s="51">
        <f t="shared" si="198"/>
        <v>0</v>
      </c>
      <c r="G63" s="51">
        <f t="shared" si="198"/>
        <v>0</v>
      </c>
      <c r="H63" s="51">
        <f t="shared" si="198"/>
        <v>0</v>
      </c>
      <c r="I63" s="51">
        <f t="shared" si="198"/>
        <v>0</v>
      </c>
      <c r="J63" s="51">
        <f t="shared" si="198"/>
        <v>0</v>
      </c>
      <c r="K63" s="51">
        <f t="shared" ref="K63:AB63" si="199">IF($B$63=K1,($C$63*(1-K$62)),0)</f>
        <v>0</v>
      </c>
      <c r="L63" s="51">
        <f t="shared" si="199"/>
        <v>0</v>
      </c>
      <c r="M63" s="51">
        <f t="shared" si="199"/>
        <v>0</v>
      </c>
      <c r="N63" s="51">
        <f t="shared" si="199"/>
        <v>0</v>
      </c>
      <c r="O63" s="51">
        <f t="shared" si="199"/>
        <v>0</v>
      </c>
      <c r="P63" s="51">
        <f t="shared" si="199"/>
        <v>0</v>
      </c>
      <c r="Q63" s="51">
        <f t="shared" si="199"/>
        <v>0</v>
      </c>
      <c r="R63" s="51">
        <f t="shared" si="199"/>
        <v>0</v>
      </c>
      <c r="S63" s="51">
        <f t="shared" si="199"/>
        <v>0</v>
      </c>
      <c r="T63" s="51">
        <f t="shared" si="199"/>
        <v>0</v>
      </c>
      <c r="U63" s="51">
        <f t="shared" si="199"/>
        <v>0</v>
      </c>
      <c r="V63" s="51">
        <f t="shared" si="199"/>
        <v>0</v>
      </c>
      <c r="W63" s="51">
        <f t="shared" si="199"/>
        <v>0</v>
      </c>
      <c r="X63" s="51">
        <f t="shared" si="199"/>
        <v>0</v>
      </c>
      <c r="Y63" s="51">
        <f t="shared" si="199"/>
        <v>0</v>
      </c>
      <c r="Z63" s="51">
        <f t="shared" si="199"/>
        <v>0</v>
      </c>
      <c r="AA63" s="51">
        <f t="shared" si="199"/>
        <v>0</v>
      </c>
      <c r="AB63" s="307">
        <f t="shared" si="199"/>
        <v>0</v>
      </c>
    </row>
    <row r="64" spans="1:28" x14ac:dyDescent="0.25">
      <c r="A64" s="314" t="s">
        <v>144</v>
      </c>
      <c r="B64" s="3"/>
      <c r="C64" s="3"/>
      <c r="D64" s="22"/>
      <c r="E64" s="22"/>
      <c r="F64" s="22"/>
      <c r="G64" s="22"/>
      <c r="H64" s="22"/>
      <c r="I64" s="22">
        <v>0</v>
      </c>
      <c r="J64" s="22">
        <v>0</v>
      </c>
      <c r="K64" s="22"/>
      <c r="L64" s="22"/>
      <c r="M64" s="22"/>
      <c r="N64" s="22">
        <v>0</v>
      </c>
      <c r="O64" s="22">
        <v>0</v>
      </c>
      <c r="P64" s="22"/>
      <c r="Q64" s="22"/>
      <c r="R64" s="22"/>
      <c r="S64" s="22">
        <v>0</v>
      </c>
      <c r="T64" s="22">
        <v>0</v>
      </c>
      <c r="U64" s="22"/>
      <c r="V64" s="22"/>
      <c r="W64" s="22"/>
      <c r="X64" s="22">
        <v>0</v>
      </c>
      <c r="Y64" s="22">
        <v>0</v>
      </c>
      <c r="Z64" s="22"/>
      <c r="AA64" s="22"/>
      <c r="AB64" s="305"/>
    </row>
    <row r="65" spans="1:28" ht="18.75" x14ac:dyDescent="0.3">
      <c r="A65" s="306" t="s">
        <v>270</v>
      </c>
      <c r="B65" s="120">
        <v>0</v>
      </c>
      <c r="C65" s="117"/>
      <c r="D65" s="51">
        <f>IF($B$65=D$1,($C$65*(1-D$64)),0)</f>
        <v>0</v>
      </c>
      <c r="E65" s="51">
        <f t="shared" ref="E65:AB65" si="200">IF($B$65=E$1,($C$65*(1-E$64)),0)</f>
        <v>0</v>
      </c>
      <c r="F65" s="51">
        <f t="shared" si="200"/>
        <v>0</v>
      </c>
      <c r="G65" s="51">
        <f t="shared" si="200"/>
        <v>0</v>
      </c>
      <c r="H65" s="51">
        <f t="shared" si="200"/>
        <v>0</v>
      </c>
      <c r="I65" s="51">
        <f t="shared" si="200"/>
        <v>0</v>
      </c>
      <c r="J65" s="51">
        <f t="shared" si="200"/>
        <v>0</v>
      </c>
      <c r="K65" s="51">
        <f t="shared" si="200"/>
        <v>0</v>
      </c>
      <c r="L65" s="51">
        <f t="shared" si="200"/>
        <v>0</v>
      </c>
      <c r="M65" s="51">
        <f t="shared" si="200"/>
        <v>0</v>
      </c>
      <c r="N65" s="51">
        <f t="shared" si="200"/>
        <v>0</v>
      </c>
      <c r="O65" s="51">
        <f t="shared" si="200"/>
        <v>0</v>
      </c>
      <c r="P65" s="51">
        <f t="shared" si="200"/>
        <v>0</v>
      </c>
      <c r="Q65" s="51">
        <f t="shared" si="200"/>
        <v>0</v>
      </c>
      <c r="R65" s="51">
        <f t="shared" si="200"/>
        <v>0</v>
      </c>
      <c r="S65" s="51">
        <f t="shared" si="200"/>
        <v>0</v>
      </c>
      <c r="T65" s="51">
        <f t="shared" si="200"/>
        <v>0</v>
      </c>
      <c r="U65" s="51">
        <f t="shared" si="200"/>
        <v>0</v>
      </c>
      <c r="V65" s="51">
        <f t="shared" si="200"/>
        <v>0</v>
      </c>
      <c r="W65" s="51">
        <f t="shared" si="200"/>
        <v>0</v>
      </c>
      <c r="X65" s="51">
        <f t="shared" si="200"/>
        <v>0</v>
      </c>
      <c r="Y65" s="51">
        <f t="shared" si="200"/>
        <v>0</v>
      </c>
      <c r="Z65" s="51">
        <f t="shared" si="200"/>
        <v>0</v>
      </c>
      <c r="AA65" s="51">
        <f t="shared" si="200"/>
        <v>0</v>
      </c>
      <c r="AB65" s="51">
        <f t="shared" si="200"/>
        <v>0</v>
      </c>
    </row>
    <row r="66" spans="1:28" x14ac:dyDescent="0.25">
      <c r="A66" s="314" t="s">
        <v>144</v>
      </c>
      <c r="B66" s="3"/>
      <c r="C66" s="3"/>
      <c r="D66" s="22"/>
      <c r="E66" s="22"/>
      <c r="F66" s="22"/>
      <c r="G66" s="22"/>
      <c r="H66" s="22"/>
      <c r="I66" s="22">
        <v>0</v>
      </c>
      <c r="J66" s="22">
        <v>0</v>
      </c>
      <c r="K66" s="22"/>
      <c r="L66" s="22"/>
      <c r="M66" s="22"/>
      <c r="N66" s="22">
        <v>0</v>
      </c>
      <c r="O66" s="22">
        <v>0</v>
      </c>
      <c r="P66" s="22"/>
      <c r="Q66" s="22"/>
      <c r="R66" s="22"/>
      <c r="S66" s="22">
        <v>0</v>
      </c>
      <c r="T66" s="22">
        <v>0</v>
      </c>
      <c r="U66" s="22"/>
      <c r="V66" s="22"/>
      <c r="W66" s="22"/>
      <c r="X66" s="22">
        <v>0</v>
      </c>
      <c r="Y66" s="22">
        <v>0</v>
      </c>
      <c r="Z66" s="22"/>
      <c r="AA66" s="22"/>
      <c r="AB66" s="305"/>
    </row>
    <row r="67" spans="1:28" ht="18.75" x14ac:dyDescent="0.3">
      <c r="A67" s="306" t="s">
        <v>271</v>
      </c>
      <c r="B67" s="120">
        <v>0</v>
      </c>
      <c r="C67" s="117"/>
      <c r="D67" s="51">
        <f>IF($B$67=D$1,($C$67*(1-D$66)),0)</f>
        <v>0</v>
      </c>
      <c r="E67" s="51">
        <f t="shared" ref="E67:AB67" si="201">IF($B$67=E$1,($C$67*(1-E$66)),0)</f>
        <v>0</v>
      </c>
      <c r="F67" s="51">
        <f t="shared" si="201"/>
        <v>0</v>
      </c>
      <c r="G67" s="51">
        <f t="shared" si="201"/>
        <v>0</v>
      </c>
      <c r="H67" s="51">
        <f t="shared" si="201"/>
        <v>0</v>
      </c>
      <c r="I67" s="51">
        <f t="shared" si="201"/>
        <v>0</v>
      </c>
      <c r="J67" s="51">
        <f>IF($B$67=J$1,($C$67*(1-J$66)),0)</f>
        <v>0</v>
      </c>
      <c r="K67" s="51">
        <f t="shared" si="201"/>
        <v>0</v>
      </c>
      <c r="L67" s="51">
        <f t="shared" si="201"/>
        <v>0</v>
      </c>
      <c r="M67" s="51">
        <f t="shared" si="201"/>
        <v>0</v>
      </c>
      <c r="N67" s="51">
        <f t="shared" si="201"/>
        <v>0</v>
      </c>
      <c r="O67" s="51">
        <f t="shared" si="201"/>
        <v>0</v>
      </c>
      <c r="P67" s="51">
        <f t="shared" si="201"/>
        <v>0</v>
      </c>
      <c r="Q67" s="51">
        <f t="shared" si="201"/>
        <v>0</v>
      </c>
      <c r="R67" s="51">
        <f t="shared" si="201"/>
        <v>0</v>
      </c>
      <c r="S67" s="51">
        <f t="shared" si="201"/>
        <v>0</v>
      </c>
      <c r="T67" s="51">
        <f t="shared" si="201"/>
        <v>0</v>
      </c>
      <c r="U67" s="51">
        <f t="shared" si="201"/>
        <v>0</v>
      </c>
      <c r="V67" s="51">
        <f t="shared" si="201"/>
        <v>0</v>
      </c>
      <c r="W67" s="51">
        <f t="shared" si="201"/>
        <v>0</v>
      </c>
      <c r="X67" s="51">
        <f t="shared" si="201"/>
        <v>0</v>
      </c>
      <c r="Y67" s="51">
        <f t="shared" si="201"/>
        <v>0</v>
      </c>
      <c r="Z67" s="51">
        <f t="shared" si="201"/>
        <v>0</v>
      </c>
      <c r="AA67" s="51">
        <f t="shared" si="201"/>
        <v>0</v>
      </c>
      <c r="AB67" s="51">
        <f t="shared" si="201"/>
        <v>0</v>
      </c>
    </row>
    <row r="68" spans="1:28" ht="18.75" x14ac:dyDescent="0.3">
      <c r="A68" s="306"/>
      <c r="B68" s="120"/>
      <c r="C68" s="117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307"/>
    </row>
    <row r="69" spans="1:28" ht="18.75" x14ac:dyDescent="0.3">
      <c r="A69" s="314" t="s">
        <v>144</v>
      </c>
      <c r="B69" s="120"/>
      <c r="C69" s="117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>
        <v>0</v>
      </c>
      <c r="P69" s="22"/>
      <c r="Q69" s="22"/>
      <c r="R69" s="22"/>
      <c r="S69" s="22"/>
      <c r="T69" s="22">
        <v>0</v>
      </c>
      <c r="U69" s="22"/>
      <c r="V69" s="22"/>
      <c r="W69" s="22"/>
      <c r="X69" s="22"/>
      <c r="Y69" s="22">
        <v>0</v>
      </c>
      <c r="Z69" s="22"/>
      <c r="AA69" s="22"/>
      <c r="AB69" s="305"/>
    </row>
    <row r="70" spans="1:28" ht="18.75" x14ac:dyDescent="0.3">
      <c r="A70" s="306" t="s">
        <v>272</v>
      </c>
      <c r="B70" s="120">
        <v>5</v>
      </c>
      <c r="C70" s="117"/>
      <c r="D70" s="51">
        <f>IF($B70=D$1,$C70*(1-D$69),0)</f>
        <v>0</v>
      </c>
      <c r="E70" s="51">
        <f t="shared" ref="E70:AB74" si="202">IF($B70=E$1,$C70*(1-E$69),0)</f>
        <v>0</v>
      </c>
      <c r="F70" s="51">
        <f t="shared" si="202"/>
        <v>0</v>
      </c>
      <c r="G70" s="51">
        <f t="shared" si="202"/>
        <v>0</v>
      </c>
      <c r="H70" s="51">
        <f t="shared" si="202"/>
        <v>0</v>
      </c>
      <c r="I70" s="51">
        <f t="shared" si="202"/>
        <v>0</v>
      </c>
      <c r="J70" s="51">
        <f t="shared" si="202"/>
        <v>0</v>
      </c>
      <c r="K70" s="51">
        <f t="shared" si="202"/>
        <v>0</v>
      </c>
      <c r="L70" s="51">
        <f t="shared" si="202"/>
        <v>0</v>
      </c>
      <c r="M70" s="51">
        <f t="shared" si="202"/>
        <v>0</v>
      </c>
      <c r="N70" s="51">
        <f t="shared" si="202"/>
        <v>0</v>
      </c>
      <c r="O70" s="51">
        <f t="shared" si="202"/>
        <v>0</v>
      </c>
      <c r="P70" s="51">
        <f t="shared" si="202"/>
        <v>0</v>
      </c>
      <c r="Q70" s="51">
        <f t="shared" si="202"/>
        <v>0</v>
      </c>
      <c r="R70" s="51">
        <f t="shared" si="202"/>
        <v>0</v>
      </c>
      <c r="S70" s="51">
        <f t="shared" si="202"/>
        <v>0</v>
      </c>
      <c r="T70" s="51">
        <f t="shared" si="202"/>
        <v>0</v>
      </c>
      <c r="U70" s="51">
        <f t="shared" si="202"/>
        <v>0</v>
      </c>
      <c r="V70" s="51">
        <f t="shared" si="202"/>
        <v>0</v>
      </c>
      <c r="W70" s="51">
        <f t="shared" si="202"/>
        <v>0</v>
      </c>
      <c r="X70" s="51">
        <f t="shared" si="202"/>
        <v>0</v>
      </c>
      <c r="Y70" s="51">
        <f t="shared" si="202"/>
        <v>0</v>
      </c>
      <c r="Z70" s="51">
        <f t="shared" si="202"/>
        <v>0</v>
      </c>
      <c r="AA70" s="51">
        <f t="shared" si="202"/>
        <v>0</v>
      </c>
      <c r="AB70" s="51">
        <f t="shared" si="202"/>
        <v>0</v>
      </c>
    </row>
    <row r="71" spans="1:28" x14ac:dyDescent="0.25">
      <c r="A71" s="314" t="s">
        <v>144</v>
      </c>
      <c r="B71" s="3"/>
      <c r="C71" s="117"/>
      <c r="D71" s="22"/>
      <c r="E71" s="22"/>
      <c r="F71" s="22"/>
      <c r="G71" s="22"/>
      <c r="H71" s="22"/>
      <c r="I71" s="22"/>
      <c r="J71" s="22">
        <v>0</v>
      </c>
      <c r="K71" s="22"/>
      <c r="L71" s="22"/>
      <c r="M71" s="22"/>
      <c r="N71" s="22"/>
      <c r="O71" s="22">
        <v>0</v>
      </c>
      <c r="P71" s="22"/>
      <c r="Q71" s="22"/>
      <c r="R71" s="22"/>
      <c r="S71" s="22"/>
      <c r="T71" s="22">
        <v>0</v>
      </c>
      <c r="U71" s="22"/>
      <c r="V71" s="22"/>
      <c r="W71" s="22"/>
      <c r="X71" s="22"/>
      <c r="Y71" s="22">
        <v>0</v>
      </c>
      <c r="Z71" s="22"/>
      <c r="AA71" s="22"/>
      <c r="AB71" s="305"/>
    </row>
    <row r="72" spans="1:28" ht="18.75" x14ac:dyDescent="0.3">
      <c r="A72" s="306" t="s">
        <v>273</v>
      </c>
      <c r="B72" s="120">
        <v>0</v>
      </c>
      <c r="C72" s="117"/>
      <c r="D72" s="51">
        <f>IF($B72=D$1,$C72*(1-D$69),0)</f>
        <v>0</v>
      </c>
      <c r="E72" s="51">
        <f t="shared" si="202"/>
        <v>0</v>
      </c>
      <c r="F72" s="51">
        <f t="shared" si="202"/>
        <v>0</v>
      </c>
      <c r="G72" s="51">
        <f t="shared" si="202"/>
        <v>0</v>
      </c>
      <c r="H72" s="51">
        <f t="shared" si="202"/>
        <v>0</v>
      </c>
      <c r="I72" s="51">
        <f t="shared" si="202"/>
        <v>0</v>
      </c>
      <c r="J72" s="51">
        <f t="shared" si="202"/>
        <v>0</v>
      </c>
      <c r="K72" s="51">
        <f t="shared" si="202"/>
        <v>0</v>
      </c>
      <c r="L72" s="51">
        <f t="shared" si="202"/>
        <v>0</v>
      </c>
      <c r="M72" s="51">
        <f t="shared" si="202"/>
        <v>0</v>
      </c>
      <c r="N72" s="51">
        <f t="shared" si="202"/>
        <v>0</v>
      </c>
      <c r="O72" s="51">
        <f t="shared" si="202"/>
        <v>0</v>
      </c>
      <c r="P72" s="51">
        <f t="shared" si="202"/>
        <v>0</v>
      </c>
      <c r="Q72" s="51">
        <f t="shared" si="202"/>
        <v>0</v>
      </c>
      <c r="R72" s="51">
        <f t="shared" si="202"/>
        <v>0</v>
      </c>
      <c r="S72" s="51">
        <f t="shared" si="202"/>
        <v>0</v>
      </c>
      <c r="T72" s="51">
        <f t="shared" si="202"/>
        <v>0</v>
      </c>
      <c r="U72" s="51">
        <f t="shared" si="202"/>
        <v>0</v>
      </c>
      <c r="V72" s="51">
        <f t="shared" si="202"/>
        <v>0</v>
      </c>
      <c r="W72" s="51">
        <f t="shared" si="202"/>
        <v>0</v>
      </c>
      <c r="X72" s="51">
        <f t="shared" si="202"/>
        <v>0</v>
      </c>
      <c r="Y72" s="51">
        <f t="shared" si="202"/>
        <v>0</v>
      </c>
      <c r="Z72" s="51">
        <f t="shared" si="202"/>
        <v>0</v>
      </c>
      <c r="AA72" s="51">
        <f t="shared" si="202"/>
        <v>0</v>
      </c>
      <c r="AB72" s="51">
        <f t="shared" si="202"/>
        <v>0</v>
      </c>
    </row>
    <row r="73" spans="1:28" x14ac:dyDescent="0.25">
      <c r="A73" s="314" t="s">
        <v>144</v>
      </c>
      <c r="B73" s="3"/>
      <c r="C73" s="117"/>
      <c r="D73" s="22"/>
      <c r="E73" s="22"/>
      <c r="F73" s="22"/>
      <c r="G73" s="22"/>
      <c r="H73" s="22"/>
      <c r="I73" s="22"/>
      <c r="J73" s="22">
        <v>0</v>
      </c>
      <c r="K73" s="22"/>
      <c r="L73" s="22"/>
      <c r="M73" s="22"/>
      <c r="N73" s="22"/>
      <c r="O73" s="22">
        <v>0</v>
      </c>
      <c r="P73" s="22"/>
      <c r="Q73" s="22"/>
      <c r="R73" s="22"/>
      <c r="S73" s="22"/>
      <c r="T73" s="22">
        <v>0</v>
      </c>
      <c r="U73" s="22"/>
      <c r="V73" s="22"/>
      <c r="W73" s="22"/>
      <c r="X73" s="22"/>
      <c r="Y73" s="22">
        <v>0</v>
      </c>
      <c r="Z73" s="22"/>
      <c r="AA73" s="22"/>
      <c r="AB73" s="305"/>
    </row>
    <row r="74" spans="1:28" ht="18.75" x14ac:dyDescent="0.3">
      <c r="A74" s="306" t="s">
        <v>274</v>
      </c>
      <c r="B74" s="120">
        <v>0</v>
      </c>
      <c r="C74" s="117"/>
      <c r="D74" s="51">
        <f>IF($B74=D$1,$C74*(1-D$69),0)</f>
        <v>0</v>
      </c>
      <c r="E74" s="51">
        <f t="shared" si="202"/>
        <v>0</v>
      </c>
      <c r="F74" s="51">
        <f t="shared" si="202"/>
        <v>0</v>
      </c>
      <c r="G74" s="51">
        <f t="shared" si="202"/>
        <v>0</v>
      </c>
      <c r="H74" s="51">
        <f t="shared" si="202"/>
        <v>0</v>
      </c>
      <c r="I74" s="51">
        <f t="shared" si="202"/>
        <v>0</v>
      </c>
      <c r="J74" s="51">
        <f t="shared" si="202"/>
        <v>0</v>
      </c>
      <c r="K74" s="51">
        <f t="shared" si="202"/>
        <v>0</v>
      </c>
      <c r="L74" s="51">
        <f t="shared" si="202"/>
        <v>0</v>
      </c>
      <c r="M74" s="51">
        <f t="shared" si="202"/>
        <v>0</v>
      </c>
      <c r="N74" s="51">
        <f t="shared" si="202"/>
        <v>0</v>
      </c>
      <c r="O74" s="51">
        <f t="shared" si="202"/>
        <v>0</v>
      </c>
      <c r="P74" s="51">
        <f t="shared" si="202"/>
        <v>0</v>
      </c>
      <c r="Q74" s="51">
        <f t="shared" si="202"/>
        <v>0</v>
      </c>
      <c r="R74" s="51">
        <f t="shared" si="202"/>
        <v>0</v>
      </c>
      <c r="S74" s="51">
        <f t="shared" si="202"/>
        <v>0</v>
      </c>
      <c r="T74" s="51">
        <f t="shared" si="202"/>
        <v>0</v>
      </c>
      <c r="U74" s="51">
        <f t="shared" si="202"/>
        <v>0</v>
      </c>
      <c r="V74" s="51">
        <f t="shared" si="202"/>
        <v>0</v>
      </c>
      <c r="W74" s="51">
        <f t="shared" si="202"/>
        <v>0</v>
      </c>
      <c r="X74" s="51">
        <f t="shared" si="202"/>
        <v>0</v>
      </c>
      <c r="Y74" s="51">
        <f t="shared" si="202"/>
        <v>0</v>
      </c>
      <c r="Z74" s="51">
        <f t="shared" si="202"/>
        <v>0</v>
      </c>
      <c r="AA74" s="51">
        <f t="shared" si="202"/>
        <v>0</v>
      </c>
      <c r="AB74" s="51">
        <f t="shared" si="202"/>
        <v>0</v>
      </c>
    </row>
    <row r="76" spans="1:28" ht="18.75" x14ac:dyDescent="0.3">
      <c r="A76" s="314" t="s">
        <v>144</v>
      </c>
      <c r="B76" s="120"/>
      <c r="C76" s="117"/>
      <c r="D76" s="22"/>
      <c r="E76" s="22"/>
      <c r="F76" s="22"/>
      <c r="G76" s="22"/>
      <c r="H76" s="22"/>
      <c r="I76" s="22"/>
      <c r="J76" s="22">
        <v>0</v>
      </c>
      <c r="K76" s="22"/>
      <c r="L76" s="22"/>
      <c r="M76" s="22"/>
      <c r="N76" s="22"/>
      <c r="O76" s="22">
        <v>0</v>
      </c>
      <c r="P76" s="22"/>
      <c r="Q76" s="22"/>
      <c r="R76" s="22"/>
      <c r="S76" s="22"/>
      <c r="T76" s="22">
        <v>0</v>
      </c>
      <c r="U76" s="22"/>
      <c r="V76" s="22"/>
      <c r="W76" s="22"/>
      <c r="X76" s="22"/>
      <c r="Y76" s="22">
        <v>0</v>
      </c>
      <c r="Z76" s="22"/>
      <c r="AA76" s="22"/>
      <c r="AB76" s="305"/>
    </row>
    <row r="77" spans="1:28" ht="18.75" x14ac:dyDescent="0.3">
      <c r="A77" s="306" t="s">
        <v>275</v>
      </c>
      <c r="B77" s="120">
        <v>0</v>
      </c>
      <c r="C77" s="117"/>
      <c r="D77" s="51">
        <f t="shared" ref="D77:AB77" si="203">IF($B77=D$1,$C77*(1-D$69),0)</f>
        <v>0</v>
      </c>
      <c r="E77" s="51">
        <f t="shared" si="203"/>
        <v>0</v>
      </c>
      <c r="F77" s="51">
        <f t="shared" si="203"/>
        <v>0</v>
      </c>
      <c r="G77" s="51">
        <f t="shared" si="203"/>
        <v>0</v>
      </c>
      <c r="H77" s="51">
        <f t="shared" si="203"/>
        <v>0</v>
      </c>
      <c r="I77" s="51">
        <f t="shared" si="203"/>
        <v>0</v>
      </c>
      <c r="J77" s="51">
        <f t="shared" si="203"/>
        <v>0</v>
      </c>
      <c r="K77" s="51">
        <f t="shared" si="203"/>
        <v>0</v>
      </c>
      <c r="L77" s="51">
        <f t="shared" si="203"/>
        <v>0</v>
      </c>
      <c r="M77" s="51">
        <f t="shared" si="203"/>
        <v>0</v>
      </c>
      <c r="N77" s="51">
        <f t="shared" si="203"/>
        <v>0</v>
      </c>
      <c r="O77" s="51">
        <f t="shared" si="203"/>
        <v>0</v>
      </c>
      <c r="P77" s="51">
        <f t="shared" si="203"/>
        <v>0</v>
      </c>
      <c r="Q77" s="51">
        <f t="shared" si="203"/>
        <v>0</v>
      </c>
      <c r="R77" s="51">
        <f t="shared" si="203"/>
        <v>0</v>
      </c>
      <c r="S77" s="51">
        <f t="shared" si="203"/>
        <v>0</v>
      </c>
      <c r="T77" s="51">
        <f t="shared" si="203"/>
        <v>0</v>
      </c>
      <c r="U77" s="51">
        <f t="shared" si="203"/>
        <v>0</v>
      </c>
      <c r="V77" s="51">
        <f t="shared" si="203"/>
        <v>0</v>
      </c>
      <c r="W77" s="51">
        <f t="shared" si="203"/>
        <v>0</v>
      </c>
      <c r="X77" s="51">
        <f t="shared" si="203"/>
        <v>0</v>
      </c>
      <c r="Y77" s="51">
        <f t="shared" si="203"/>
        <v>0</v>
      </c>
      <c r="Z77" s="51">
        <f t="shared" si="203"/>
        <v>0</v>
      </c>
      <c r="AA77" s="51">
        <f t="shared" si="203"/>
        <v>0</v>
      </c>
      <c r="AB77" s="51">
        <f t="shared" si="203"/>
        <v>0</v>
      </c>
    </row>
    <row r="78" spans="1:28" x14ac:dyDescent="0.25">
      <c r="A78" s="314" t="s">
        <v>144</v>
      </c>
      <c r="B78" s="3"/>
      <c r="C78" s="117"/>
      <c r="D78" s="22"/>
      <c r="E78" s="22"/>
      <c r="F78" s="22"/>
      <c r="G78" s="22"/>
      <c r="H78" s="22"/>
      <c r="I78" s="22"/>
      <c r="J78" s="22">
        <v>0</v>
      </c>
      <c r="K78" s="22"/>
      <c r="L78" s="22"/>
      <c r="M78" s="22"/>
      <c r="N78" s="22"/>
      <c r="O78" s="22">
        <v>0</v>
      </c>
      <c r="P78" s="22"/>
      <c r="Q78" s="22"/>
      <c r="R78" s="22"/>
      <c r="S78" s="22"/>
      <c r="T78" s="22">
        <v>0</v>
      </c>
      <c r="U78" s="22"/>
      <c r="V78" s="22"/>
      <c r="W78" s="22"/>
      <c r="X78" s="22"/>
      <c r="Y78" s="22">
        <v>0</v>
      </c>
      <c r="Z78" s="22"/>
      <c r="AA78" s="22"/>
      <c r="AB78" s="305"/>
    </row>
    <row r="79" spans="1:28" ht="18.75" x14ac:dyDescent="0.3">
      <c r="A79" s="306" t="s">
        <v>276</v>
      </c>
      <c r="B79" s="120">
        <v>0</v>
      </c>
      <c r="C79" s="117"/>
      <c r="D79" s="51">
        <f t="shared" ref="D79:AB79" si="204">IF($B79=D$1,$C79*(1-D$69),0)</f>
        <v>0</v>
      </c>
      <c r="E79" s="51">
        <f t="shared" si="204"/>
        <v>0</v>
      </c>
      <c r="F79" s="51">
        <f t="shared" si="204"/>
        <v>0</v>
      </c>
      <c r="G79" s="51">
        <f t="shared" si="204"/>
        <v>0</v>
      </c>
      <c r="H79" s="51">
        <f t="shared" si="204"/>
        <v>0</v>
      </c>
      <c r="I79" s="51">
        <f t="shared" si="204"/>
        <v>0</v>
      </c>
      <c r="J79" s="51">
        <f t="shared" si="204"/>
        <v>0</v>
      </c>
      <c r="K79" s="51">
        <f t="shared" si="204"/>
        <v>0</v>
      </c>
      <c r="L79" s="51">
        <f t="shared" si="204"/>
        <v>0</v>
      </c>
      <c r="M79" s="51">
        <f t="shared" si="204"/>
        <v>0</v>
      </c>
      <c r="N79" s="51">
        <f t="shared" si="204"/>
        <v>0</v>
      </c>
      <c r="O79" s="51">
        <f t="shared" si="204"/>
        <v>0</v>
      </c>
      <c r="P79" s="51">
        <f t="shared" si="204"/>
        <v>0</v>
      </c>
      <c r="Q79" s="51">
        <f t="shared" si="204"/>
        <v>0</v>
      </c>
      <c r="R79" s="51">
        <f t="shared" si="204"/>
        <v>0</v>
      </c>
      <c r="S79" s="51">
        <f t="shared" si="204"/>
        <v>0</v>
      </c>
      <c r="T79" s="51">
        <f t="shared" si="204"/>
        <v>0</v>
      </c>
      <c r="U79" s="51">
        <f t="shared" si="204"/>
        <v>0</v>
      </c>
      <c r="V79" s="51">
        <f t="shared" si="204"/>
        <v>0</v>
      </c>
      <c r="W79" s="51">
        <f t="shared" si="204"/>
        <v>0</v>
      </c>
      <c r="X79" s="51">
        <f t="shared" si="204"/>
        <v>0</v>
      </c>
      <c r="Y79" s="51">
        <f t="shared" si="204"/>
        <v>0</v>
      </c>
      <c r="Z79" s="51">
        <f t="shared" si="204"/>
        <v>0</v>
      </c>
      <c r="AA79" s="51">
        <f t="shared" si="204"/>
        <v>0</v>
      </c>
      <c r="AB79" s="51">
        <f t="shared" si="204"/>
        <v>0</v>
      </c>
    </row>
    <row r="80" spans="1:28" x14ac:dyDescent="0.25">
      <c r="A80" s="314" t="s">
        <v>144</v>
      </c>
      <c r="B80" s="3"/>
      <c r="C80" s="117"/>
      <c r="D80" s="22"/>
      <c r="E80" s="22"/>
      <c r="F80" s="22"/>
      <c r="G80" s="22"/>
      <c r="H80" s="22"/>
      <c r="I80" s="22"/>
      <c r="J80" s="22">
        <v>0</v>
      </c>
      <c r="K80" s="22"/>
      <c r="L80" s="22"/>
      <c r="M80" s="22"/>
      <c r="N80" s="22"/>
      <c r="O80" s="22">
        <v>0</v>
      </c>
      <c r="P80" s="22"/>
      <c r="Q80" s="22"/>
      <c r="R80" s="22"/>
      <c r="S80" s="22"/>
      <c r="T80" s="22">
        <v>0</v>
      </c>
      <c r="U80" s="22"/>
      <c r="V80" s="22"/>
      <c r="W80" s="22"/>
      <c r="X80" s="22"/>
      <c r="Y80" s="22">
        <v>0</v>
      </c>
      <c r="Z80" s="22"/>
      <c r="AA80" s="22"/>
      <c r="AB80" s="305"/>
    </row>
    <row r="81" spans="1:28" ht="18.75" x14ac:dyDescent="0.3">
      <c r="A81" s="306" t="s">
        <v>277</v>
      </c>
      <c r="B81" s="120">
        <v>0</v>
      </c>
      <c r="C81" s="117"/>
      <c r="D81" s="51">
        <f t="shared" ref="D81:AB81" si="205">IF($B81=D$1,$C81*(1-D$69),0)</f>
        <v>0</v>
      </c>
      <c r="E81" s="51">
        <f t="shared" si="205"/>
        <v>0</v>
      </c>
      <c r="F81" s="51">
        <f t="shared" si="205"/>
        <v>0</v>
      </c>
      <c r="G81" s="51">
        <f t="shared" si="205"/>
        <v>0</v>
      </c>
      <c r="H81" s="51">
        <f t="shared" si="205"/>
        <v>0</v>
      </c>
      <c r="I81" s="51">
        <f t="shared" si="205"/>
        <v>0</v>
      </c>
      <c r="J81" s="51">
        <f t="shared" si="205"/>
        <v>0</v>
      </c>
      <c r="K81" s="51">
        <f t="shared" si="205"/>
        <v>0</v>
      </c>
      <c r="L81" s="51">
        <f t="shared" si="205"/>
        <v>0</v>
      </c>
      <c r="M81" s="51">
        <f t="shared" si="205"/>
        <v>0</v>
      </c>
      <c r="N81" s="51">
        <f t="shared" si="205"/>
        <v>0</v>
      </c>
      <c r="O81" s="51">
        <f t="shared" si="205"/>
        <v>0</v>
      </c>
      <c r="P81" s="51">
        <f t="shared" si="205"/>
        <v>0</v>
      </c>
      <c r="Q81" s="51">
        <f t="shared" si="205"/>
        <v>0</v>
      </c>
      <c r="R81" s="51">
        <f t="shared" si="205"/>
        <v>0</v>
      </c>
      <c r="S81" s="51">
        <f t="shared" si="205"/>
        <v>0</v>
      </c>
      <c r="T81" s="51">
        <f t="shared" si="205"/>
        <v>0</v>
      </c>
      <c r="U81" s="51">
        <f t="shared" si="205"/>
        <v>0</v>
      </c>
      <c r="V81" s="51">
        <f t="shared" si="205"/>
        <v>0</v>
      </c>
      <c r="W81" s="51">
        <f t="shared" si="205"/>
        <v>0</v>
      </c>
      <c r="X81" s="51">
        <f t="shared" si="205"/>
        <v>0</v>
      </c>
      <c r="Y81" s="51">
        <f t="shared" si="205"/>
        <v>0</v>
      </c>
      <c r="Z81" s="51">
        <f t="shared" si="205"/>
        <v>0</v>
      </c>
      <c r="AA81" s="51">
        <f t="shared" si="205"/>
        <v>0</v>
      </c>
      <c r="AB81" s="51">
        <f t="shared" si="205"/>
        <v>0</v>
      </c>
    </row>
    <row r="83" spans="1:28" ht="18.75" x14ac:dyDescent="0.3">
      <c r="A83" s="314" t="s">
        <v>144</v>
      </c>
      <c r="B83" s="120"/>
      <c r="C83" s="117"/>
      <c r="D83" s="22"/>
      <c r="E83" s="22"/>
      <c r="F83" s="22"/>
      <c r="G83" s="22"/>
      <c r="H83" s="22"/>
      <c r="I83" s="22"/>
      <c r="J83" s="22">
        <v>0</v>
      </c>
      <c r="K83" s="22"/>
      <c r="L83" s="22"/>
      <c r="M83" s="22"/>
      <c r="N83" s="22"/>
      <c r="O83" s="22">
        <v>0</v>
      </c>
      <c r="P83" s="22"/>
      <c r="Q83" s="22"/>
      <c r="R83" s="22"/>
      <c r="S83" s="22"/>
      <c r="T83" s="22">
        <v>0</v>
      </c>
      <c r="U83" s="22"/>
      <c r="V83" s="22"/>
      <c r="W83" s="22"/>
      <c r="X83" s="22"/>
      <c r="Y83" s="22">
        <v>0</v>
      </c>
      <c r="Z83" s="22"/>
      <c r="AA83" s="22"/>
      <c r="AB83" s="305"/>
    </row>
    <row r="84" spans="1:28" ht="18.75" x14ac:dyDescent="0.3">
      <c r="A84" s="306" t="s">
        <v>278</v>
      </c>
      <c r="B84" s="120">
        <v>0</v>
      </c>
      <c r="C84" s="117"/>
      <c r="D84" s="51">
        <f t="shared" ref="D84:AB84" si="206">IF($B84=D$1,$C84*(1-D$69),0)</f>
        <v>0</v>
      </c>
      <c r="E84" s="51">
        <f t="shared" si="206"/>
        <v>0</v>
      </c>
      <c r="F84" s="51">
        <f t="shared" si="206"/>
        <v>0</v>
      </c>
      <c r="G84" s="51">
        <f t="shared" si="206"/>
        <v>0</v>
      </c>
      <c r="H84" s="51">
        <f t="shared" si="206"/>
        <v>0</v>
      </c>
      <c r="I84" s="51">
        <f t="shared" si="206"/>
        <v>0</v>
      </c>
      <c r="J84" s="51">
        <f t="shared" si="206"/>
        <v>0</v>
      </c>
      <c r="K84" s="51">
        <f t="shared" si="206"/>
        <v>0</v>
      </c>
      <c r="L84" s="51">
        <f t="shared" si="206"/>
        <v>0</v>
      </c>
      <c r="M84" s="51">
        <f t="shared" si="206"/>
        <v>0</v>
      </c>
      <c r="N84" s="51">
        <f t="shared" si="206"/>
        <v>0</v>
      </c>
      <c r="O84" s="51">
        <f t="shared" si="206"/>
        <v>0</v>
      </c>
      <c r="P84" s="51">
        <f t="shared" si="206"/>
        <v>0</v>
      </c>
      <c r="Q84" s="51">
        <f t="shared" si="206"/>
        <v>0</v>
      </c>
      <c r="R84" s="51">
        <f t="shared" si="206"/>
        <v>0</v>
      </c>
      <c r="S84" s="51">
        <f t="shared" si="206"/>
        <v>0</v>
      </c>
      <c r="T84" s="51">
        <f t="shared" si="206"/>
        <v>0</v>
      </c>
      <c r="U84" s="51">
        <f t="shared" si="206"/>
        <v>0</v>
      </c>
      <c r="V84" s="51">
        <f t="shared" si="206"/>
        <v>0</v>
      </c>
      <c r="W84" s="51">
        <f t="shared" si="206"/>
        <v>0</v>
      </c>
      <c r="X84" s="51">
        <f t="shared" si="206"/>
        <v>0</v>
      </c>
      <c r="Y84" s="51">
        <f t="shared" si="206"/>
        <v>0</v>
      </c>
      <c r="Z84" s="51">
        <f t="shared" si="206"/>
        <v>0</v>
      </c>
      <c r="AA84" s="51">
        <f t="shared" si="206"/>
        <v>0</v>
      </c>
      <c r="AB84" s="51">
        <f t="shared" si="206"/>
        <v>0</v>
      </c>
    </row>
    <row r="85" spans="1:28" x14ac:dyDescent="0.25">
      <c r="A85" s="314" t="s">
        <v>144</v>
      </c>
      <c r="B85" s="3"/>
      <c r="C85" s="117"/>
      <c r="D85" s="22"/>
      <c r="E85" s="22"/>
      <c r="F85" s="22"/>
      <c r="G85" s="22"/>
      <c r="H85" s="22"/>
      <c r="I85" s="22"/>
      <c r="J85" s="22">
        <v>0</v>
      </c>
      <c r="K85" s="22"/>
      <c r="L85" s="22"/>
      <c r="M85" s="22"/>
      <c r="N85" s="22"/>
      <c r="O85" s="22">
        <v>0</v>
      </c>
      <c r="P85" s="22"/>
      <c r="Q85" s="22"/>
      <c r="R85" s="22"/>
      <c r="S85" s="22"/>
      <c r="T85" s="22">
        <v>0</v>
      </c>
      <c r="U85" s="22"/>
      <c r="V85" s="22"/>
      <c r="W85" s="22"/>
      <c r="X85" s="22"/>
      <c r="Y85" s="22">
        <v>0</v>
      </c>
      <c r="Z85" s="22"/>
      <c r="AA85" s="22"/>
      <c r="AB85" s="305"/>
    </row>
    <row r="86" spans="1:28" ht="18.75" x14ac:dyDescent="0.3">
      <c r="A86" s="306" t="s">
        <v>279</v>
      </c>
      <c r="B86" s="120">
        <v>0</v>
      </c>
      <c r="C86" s="117"/>
      <c r="D86" s="51">
        <f t="shared" ref="D86:AB86" si="207">IF($B86=D$1,$C86*(1-D$69),0)</f>
        <v>0</v>
      </c>
      <c r="E86" s="51">
        <f t="shared" si="207"/>
        <v>0</v>
      </c>
      <c r="F86" s="51">
        <f t="shared" si="207"/>
        <v>0</v>
      </c>
      <c r="G86" s="51">
        <f t="shared" si="207"/>
        <v>0</v>
      </c>
      <c r="H86" s="51">
        <f t="shared" si="207"/>
        <v>0</v>
      </c>
      <c r="I86" s="51">
        <f t="shared" si="207"/>
        <v>0</v>
      </c>
      <c r="J86" s="51">
        <f t="shared" si="207"/>
        <v>0</v>
      </c>
      <c r="K86" s="51">
        <f t="shared" si="207"/>
        <v>0</v>
      </c>
      <c r="L86" s="51">
        <f t="shared" si="207"/>
        <v>0</v>
      </c>
      <c r="M86" s="51">
        <f t="shared" si="207"/>
        <v>0</v>
      </c>
      <c r="N86" s="51">
        <f t="shared" si="207"/>
        <v>0</v>
      </c>
      <c r="O86" s="51">
        <f t="shared" si="207"/>
        <v>0</v>
      </c>
      <c r="P86" s="51">
        <f t="shared" si="207"/>
        <v>0</v>
      </c>
      <c r="Q86" s="51">
        <f t="shared" si="207"/>
        <v>0</v>
      </c>
      <c r="R86" s="51">
        <f t="shared" si="207"/>
        <v>0</v>
      </c>
      <c r="S86" s="51">
        <f t="shared" si="207"/>
        <v>0</v>
      </c>
      <c r="T86" s="51">
        <f t="shared" si="207"/>
        <v>0</v>
      </c>
      <c r="U86" s="51">
        <f t="shared" si="207"/>
        <v>0</v>
      </c>
      <c r="V86" s="51">
        <f t="shared" si="207"/>
        <v>0</v>
      </c>
      <c r="W86" s="51">
        <f t="shared" si="207"/>
        <v>0</v>
      </c>
      <c r="X86" s="51">
        <f t="shared" si="207"/>
        <v>0</v>
      </c>
      <c r="Y86" s="51">
        <f t="shared" si="207"/>
        <v>0</v>
      </c>
      <c r="Z86" s="51">
        <f t="shared" si="207"/>
        <v>0</v>
      </c>
      <c r="AA86" s="51">
        <f t="shared" si="207"/>
        <v>0</v>
      </c>
      <c r="AB86" s="51">
        <f t="shared" si="207"/>
        <v>0</v>
      </c>
    </row>
    <row r="87" spans="1:28" x14ac:dyDescent="0.25">
      <c r="A87" s="314" t="s">
        <v>144</v>
      </c>
      <c r="B87" s="3"/>
      <c r="C87" s="117"/>
      <c r="D87" s="22"/>
      <c r="E87" s="22"/>
      <c r="F87" s="22"/>
      <c r="G87" s="22"/>
      <c r="H87" s="22"/>
      <c r="I87" s="22"/>
      <c r="J87" s="22">
        <v>0</v>
      </c>
      <c r="K87" s="22"/>
      <c r="L87" s="22"/>
      <c r="M87" s="22"/>
      <c r="N87" s="22"/>
      <c r="O87" s="22">
        <v>0</v>
      </c>
      <c r="P87" s="22"/>
      <c r="Q87" s="22"/>
      <c r="R87" s="22"/>
      <c r="S87" s="22"/>
      <c r="T87" s="22">
        <v>0</v>
      </c>
      <c r="U87" s="22"/>
      <c r="V87" s="22"/>
      <c r="W87" s="22"/>
      <c r="X87" s="22"/>
      <c r="Y87" s="22">
        <v>0</v>
      </c>
      <c r="Z87" s="22"/>
      <c r="AA87" s="22"/>
      <c r="AB87" s="305"/>
    </row>
    <row r="88" spans="1:28" ht="18.75" x14ac:dyDescent="0.3">
      <c r="A88" s="306" t="s">
        <v>280</v>
      </c>
      <c r="B88" s="120">
        <v>0</v>
      </c>
      <c r="C88" s="117"/>
      <c r="D88" s="51">
        <f t="shared" ref="D88:AB88" si="208">IF($B88=D$1,$C88*(1-D$69),0)</f>
        <v>0</v>
      </c>
      <c r="E88" s="51">
        <f t="shared" si="208"/>
        <v>0</v>
      </c>
      <c r="F88" s="51">
        <f t="shared" si="208"/>
        <v>0</v>
      </c>
      <c r="G88" s="51">
        <f t="shared" si="208"/>
        <v>0</v>
      </c>
      <c r="H88" s="51">
        <f t="shared" si="208"/>
        <v>0</v>
      </c>
      <c r="I88" s="51">
        <f t="shared" si="208"/>
        <v>0</v>
      </c>
      <c r="J88" s="51">
        <f t="shared" si="208"/>
        <v>0</v>
      </c>
      <c r="K88" s="51">
        <f t="shared" si="208"/>
        <v>0</v>
      </c>
      <c r="L88" s="51">
        <f t="shared" si="208"/>
        <v>0</v>
      </c>
      <c r="M88" s="51">
        <f t="shared" si="208"/>
        <v>0</v>
      </c>
      <c r="N88" s="51">
        <f t="shared" si="208"/>
        <v>0</v>
      </c>
      <c r="O88" s="51">
        <f t="shared" si="208"/>
        <v>0</v>
      </c>
      <c r="P88" s="51">
        <f t="shared" si="208"/>
        <v>0</v>
      </c>
      <c r="Q88" s="51">
        <f t="shared" si="208"/>
        <v>0</v>
      </c>
      <c r="R88" s="51">
        <f t="shared" si="208"/>
        <v>0</v>
      </c>
      <c r="S88" s="51">
        <f t="shared" si="208"/>
        <v>0</v>
      </c>
      <c r="T88" s="51">
        <f t="shared" si="208"/>
        <v>0</v>
      </c>
      <c r="U88" s="51">
        <f t="shared" si="208"/>
        <v>0</v>
      </c>
      <c r="V88" s="51">
        <f t="shared" si="208"/>
        <v>0</v>
      </c>
      <c r="W88" s="51">
        <f t="shared" si="208"/>
        <v>0</v>
      </c>
      <c r="X88" s="51">
        <f t="shared" si="208"/>
        <v>0</v>
      </c>
      <c r="Y88" s="51">
        <f t="shared" si="208"/>
        <v>0</v>
      </c>
      <c r="Z88" s="51">
        <f t="shared" si="208"/>
        <v>0</v>
      </c>
      <c r="AA88" s="51">
        <f t="shared" si="208"/>
        <v>0</v>
      </c>
      <c r="AB88" s="51">
        <f t="shared" si="208"/>
        <v>0</v>
      </c>
    </row>
    <row r="90" spans="1:28" ht="18.75" x14ac:dyDescent="0.3">
      <c r="A90" s="314" t="s">
        <v>144</v>
      </c>
      <c r="B90" s="120"/>
      <c r="C90" s="117"/>
      <c r="D90" s="22"/>
      <c r="E90" s="22"/>
      <c r="F90" s="22"/>
      <c r="G90" s="22"/>
      <c r="H90" s="22"/>
      <c r="I90" s="22"/>
      <c r="J90" s="22">
        <v>0</v>
      </c>
      <c r="K90" s="22"/>
      <c r="L90" s="22"/>
      <c r="M90" s="22"/>
      <c r="N90" s="22"/>
      <c r="O90" s="22">
        <v>0</v>
      </c>
      <c r="P90" s="22"/>
      <c r="Q90" s="22"/>
      <c r="R90" s="22"/>
      <c r="S90" s="22"/>
      <c r="T90" s="22">
        <v>0</v>
      </c>
      <c r="U90" s="22"/>
      <c r="V90" s="22"/>
      <c r="W90" s="22"/>
      <c r="X90" s="22"/>
      <c r="Y90" s="22">
        <v>0</v>
      </c>
      <c r="Z90" s="22"/>
      <c r="AA90" s="22"/>
      <c r="AB90" s="305"/>
    </row>
    <row r="91" spans="1:28" ht="18.75" x14ac:dyDescent="0.3">
      <c r="A91" s="306" t="s">
        <v>281</v>
      </c>
      <c r="B91" s="120">
        <v>0</v>
      </c>
      <c r="C91" s="117"/>
      <c r="D91" s="51">
        <f t="shared" ref="D91:AB91" si="209">IF($B91=D$1,$C91*(1-D$69),0)</f>
        <v>0</v>
      </c>
      <c r="E91" s="51">
        <f t="shared" si="209"/>
        <v>0</v>
      </c>
      <c r="F91" s="51">
        <f t="shared" si="209"/>
        <v>0</v>
      </c>
      <c r="G91" s="51">
        <f t="shared" si="209"/>
        <v>0</v>
      </c>
      <c r="H91" s="51">
        <f t="shared" si="209"/>
        <v>0</v>
      </c>
      <c r="I91" s="51">
        <f t="shared" si="209"/>
        <v>0</v>
      </c>
      <c r="J91" s="51">
        <f t="shared" si="209"/>
        <v>0</v>
      </c>
      <c r="K91" s="51">
        <f t="shared" si="209"/>
        <v>0</v>
      </c>
      <c r="L91" s="51">
        <f t="shared" si="209"/>
        <v>0</v>
      </c>
      <c r="M91" s="51">
        <f t="shared" si="209"/>
        <v>0</v>
      </c>
      <c r="N91" s="51">
        <f t="shared" si="209"/>
        <v>0</v>
      </c>
      <c r="O91" s="51">
        <f t="shared" si="209"/>
        <v>0</v>
      </c>
      <c r="P91" s="51">
        <f t="shared" si="209"/>
        <v>0</v>
      </c>
      <c r="Q91" s="51">
        <f t="shared" si="209"/>
        <v>0</v>
      </c>
      <c r="R91" s="51">
        <f t="shared" si="209"/>
        <v>0</v>
      </c>
      <c r="S91" s="51">
        <f t="shared" si="209"/>
        <v>0</v>
      </c>
      <c r="T91" s="51">
        <f t="shared" si="209"/>
        <v>0</v>
      </c>
      <c r="U91" s="51">
        <f t="shared" si="209"/>
        <v>0</v>
      </c>
      <c r="V91" s="51">
        <f t="shared" si="209"/>
        <v>0</v>
      </c>
      <c r="W91" s="51">
        <f t="shared" si="209"/>
        <v>0</v>
      </c>
      <c r="X91" s="51">
        <f t="shared" si="209"/>
        <v>0</v>
      </c>
      <c r="Y91" s="51">
        <f t="shared" si="209"/>
        <v>0</v>
      </c>
      <c r="Z91" s="51">
        <f t="shared" si="209"/>
        <v>0</v>
      </c>
      <c r="AA91" s="51">
        <f t="shared" si="209"/>
        <v>0</v>
      </c>
      <c r="AB91" s="51">
        <f t="shared" si="209"/>
        <v>0</v>
      </c>
    </row>
    <row r="92" spans="1:28" x14ac:dyDescent="0.25">
      <c r="A92" s="314" t="s">
        <v>144</v>
      </c>
      <c r="B92" s="3"/>
      <c r="C92" s="117"/>
      <c r="D92" s="22"/>
      <c r="E92" s="22"/>
      <c r="F92" s="22"/>
      <c r="G92" s="22"/>
      <c r="H92" s="22"/>
      <c r="I92" s="22"/>
      <c r="J92" s="22">
        <v>0</v>
      </c>
      <c r="K92" s="22"/>
      <c r="L92" s="22"/>
      <c r="M92" s="22"/>
      <c r="N92" s="22"/>
      <c r="O92" s="22">
        <v>0</v>
      </c>
      <c r="P92" s="22"/>
      <c r="Q92" s="22"/>
      <c r="R92" s="22"/>
      <c r="S92" s="22"/>
      <c r="T92" s="22">
        <v>0</v>
      </c>
      <c r="U92" s="22"/>
      <c r="V92" s="22"/>
      <c r="W92" s="22"/>
      <c r="X92" s="22"/>
      <c r="Y92" s="22">
        <v>0</v>
      </c>
      <c r="Z92" s="22"/>
      <c r="AA92" s="22"/>
      <c r="AB92" s="305"/>
    </row>
    <row r="93" spans="1:28" ht="18.75" x14ac:dyDescent="0.3">
      <c r="A93" s="306" t="s">
        <v>282</v>
      </c>
      <c r="B93" s="120">
        <v>0</v>
      </c>
      <c r="C93" s="117"/>
      <c r="D93" s="51">
        <f t="shared" ref="D93:AB93" si="210">IF($B93=D$1,$C93*(1-D$69),0)</f>
        <v>0</v>
      </c>
      <c r="E93" s="51">
        <f t="shared" si="210"/>
        <v>0</v>
      </c>
      <c r="F93" s="51">
        <f t="shared" si="210"/>
        <v>0</v>
      </c>
      <c r="G93" s="51">
        <f t="shared" si="210"/>
        <v>0</v>
      </c>
      <c r="H93" s="51">
        <f t="shared" si="210"/>
        <v>0</v>
      </c>
      <c r="I93" s="51">
        <f t="shared" si="210"/>
        <v>0</v>
      </c>
      <c r="J93" s="51">
        <f t="shared" si="210"/>
        <v>0</v>
      </c>
      <c r="K93" s="51">
        <f t="shared" si="210"/>
        <v>0</v>
      </c>
      <c r="L93" s="51">
        <f t="shared" si="210"/>
        <v>0</v>
      </c>
      <c r="M93" s="51">
        <f t="shared" si="210"/>
        <v>0</v>
      </c>
      <c r="N93" s="51">
        <f t="shared" si="210"/>
        <v>0</v>
      </c>
      <c r="O93" s="51">
        <f t="shared" si="210"/>
        <v>0</v>
      </c>
      <c r="P93" s="51">
        <f t="shared" si="210"/>
        <v>0</v>
      </c>
      <c r="Q93" s="51">
        <f t="shared" si="210"/>
        <v>0</v>
      </c>
      <c r="R93" s="51">
        <f t="shared" si="210"/>
        <v>0</v>
      </c>
      <c r="S93" s="51">
        <f t="shared" si="210"/>
        <v>0</v>
      </c>
      <c r="T93" s="51">
        <f t="shared" si="210"/>
        <v>0</v>
      </c>
      <c r="U93" s="51">
        <f t="shared" si="210"/>
        <v>0</v>
      </c>
      <c r="V93" s="51">
        <f t="shared" si="210"/>
        <v>0</v>
      </c>
      <c r="W93" s="51">
        <f t="shared" si="210"/>
        <v>0</v>
      </c>
      <c r="X93" s="51">
        <f t="shared" si="210"/>
        <v>0</v>
      </c>
      <c r="Y93" s="51">
        <f t="shared" si="210"/>
        <v>0</v>
      </c>
      <c r="Z93" s="51">
        <f t="shared" si="210"/>
        <v>0</v>
      </c>
      <c r="AA93" s="51">
        <f t="shared" si="210"/>
        <v>0</v>
      </c>
      <c r="AB93" s="51">
        <f t="shared" si="210"/>
        <v>0</v>
      </c>
    </row>
    <row r="94" spans="1:28" x14ac:dyDescent="0.25">
      <c r="A94" s="314" t="s">
        <v>144</v>
      </c>
      <c r="B94" s="3"/>
      <c r="C94" s="117"/>
      <c r="D94" s="22"/>
      <c r="E94" s="22"/>
      <c r="F94" s="22"/>
      <c r="G94" s="22"/>
      <c r="H94" s="22"/>
      <c r="I94" s="22"/>
      <c r="J94" s="22">
        <v>0</v>
      </c>
      <c r="K94" s="22"/>
      <c r="L94" s="22"/>
      <c r="M94" s="22"/>
      <c r="N94" s="22"/>
      <c r="O94" s="22">
        <v>0</v>
      </c>
      <c r="P94" s="22"/>
      <c r="Q94" s="22"/>
      <c r="R94" s="22"/>
      <c r="S94" s="22"/>
      <c r="T94" s="22">
        <v>0</v>
      </c>
      <c r="U94" s="22"/>
      <c r="V94" s="22"/>
      <c r="W94" s="22"/>
      <c r="X94" s="22"/>
      <c r="Y94" s="22">
        <v>0</v>
      </c>
      <c r="Z94" s="22"/>
      <c r="AA94" s="22"/>
      <c r="AB94" s="305"/>
    </row>
    <row r="95" spans="1:28" ht="18.75" x14ac:dyDescent="0.3">
      <c r="A95" s="306" t="s">
        <v>283</v>
      </c>
      <c r="B95" s="120">
        <v>0</v>
      </c>
      <c r="C95" s="117"/>
      <c r="D95" s="51">
        <f t="shared" ref="D95:AB95" si="211">IF($B95=D$1,$C95*(1-D$69),0)</f>
        <v>0</v>
      </c>
      <c r="E95" s="51">
        <f t="shared" si="211"/>
        <v>0</v>
      </c>
      <c r="F95" s="51">
        <f t="shared" si="211"/>
        <v>0</v>
      </c>
      <c r="G95" s="51">
        <f t="shared" si="211"/>
        <v>0</v>
      </c>
      <c r="H95" s="51">
        <f t="shared" si="211"/>
        <v>0</v>
      </c>
      <c r="I95" s="51">
        <f t="shared" si="211"/>
        <v>0</v>
      </c>
      <c r="J95" s="51">
        <f t="shared" si="211"/>
        <v>0</v>
      </c>
      <c r="K95" s="51">
        <f t="shared" si="211"/>
        <v>0</v>
      </c>
      <c r="L95" s="51">
        <f t="shared" si="211"/>
        <v>0</v>
      </c>
      <c r="M95" s="51">
        <f t="shared" si="211"/>
        <v>0</v>
      </c>
      <c r="N95" s="51">
        <f t="shared" si="211"/>
        <v>0</v>
      </c>
      <c r="O95" s="51">
        <f t="shared" si="211"/>
        <v>0</v>
      </c>
      <c r="P95" s="51">
        <f t="shared" si="211"/>
        <v>0</v>
      </c>
      <c r="Q95" s="51">
        <f t="shared" si="211"/>
        <v>0</v>
      </c>
      <c r="R95" s="51">
        <f t="shared" si="211"/>
        <v>0</v>
      </c>
      <c r="S95" s="51">
        <f t="shared" si="211"/>
        <v>0</v>
      </c>
      <c r="T95" s="51">
        <f t="shared" si="211"/>
        <v>0</v>
      </c>
      <c r="U95" s="51">
        <f t="shared" si="211"/>
        <v>0</v>
      </c>
      <c r="V95" s="51">
        <f t="shared" si="211"/>
        <v>0</v>
      </c>
      <c r="W95" s="51">
        <f t="shared" si="211"/>
        <v>0</v>
      </c>
      <c r="X95" s="51">
        <f t="shared" si="211"/>
        <v>0</v>
      </c>
      <c r="Y95" s="51">
        <f t="shared" si="211"/>
        <v>0</v>
      </c>
      <c r="Z95" s="51">
        <f t="shared" si="211"/>
        <v>0</v>
      </c>
      <c r="AA95" s="51">
        <f t="shared" si="211"/>
        <v>0</v>
      </c>
      <c r="AB95" s="51">
        <f t="shared" si="211"/>
        <v>0</v>
      </c>
    </row>
    <row r="96" spans="1:28" ht="15.75" thickBot="1" x14ac:dyDescent="0.3">
      <c r="A96" s="308" t="s">
        <v>116</v>
      </c>
      <c r="B96" s="315"/>
      <c r="C96" s="315"/>
      <c r="D96" s="309">
        <f>SUM(D63:D95)</f>
        <v>0</v>
      </c>
      <c r="E96" s="309">
        <f>SUM(E63:E95)</f>
        <v>0</v>
      </c>
      <c r="F96" s="309">
        <f t="shared" ref="F96:AB96" si="212">SUM(F63:F95)</f>
        <v>0</v>
      </c>
      <c r="G96" s="309">
        <f t="shared" si="212"/>
        <v>0</v>
      </c>
      <c r="H96" s="309">
        <f t="shared" si="212"/>
        <v>0</v>
      </c>
      <c r="I96" s="309">
        <f>SUM(I63:I95)</f>
        <v>0</v>
      </c>
      <c r="J96" s="309">
        <f t="shared" si="212"/>
        <v>0</v>
      </c>
      <c r="K96" s="309">
        <f t="shared" si="212"/>
        <v>0</v>
      </c>
      <c r="L96" s="309">
        <f t="shared" si="212"/>
        <v>0</v>
      </c>
      <c r="M96" s="309">
        <f t="shared" si="212"/>
        <v>0</v>
      </c>
      <c r="N96" s="309">
        <f t="shared" si="212"/>
        <v>0</v>
      </c>
      <c r="O96" s="309">
        <f t="shared" si="212"/>
        <v>0</v>
      </c>
      <c r="P96" s="309">
        <f t="shared" si="212"/>
        <v>0</v>
      </c>
      <c r="Q96" s="309">
        <f t="shared" si="212"/>
        <v>0</v>
      </c>
      <c r="R96" s="309">
        <f t="shared" si="212"/>
        <v>0</v>
      </c>
      <c r="S96" s="309">
        <f t="shared" si="212"/>
        <v>0</v>
      </c>
      <c r="T96" s="309">
        <f t="shared" si="212"/>
        <v>0</v>
      </c>
      <c r="U96" s="309">
        <f t="shared" si="212"/>
        <v>0</v>
      </c>
      <c r="V96" s="309">
        <f t="shared" si="212"/>
        <v>0</v>
      </c>
      <c r="W96" s="309">
        <f t="shared" si="212"/>
        <v>0</v>
      </c>
      <c r="X96" s="309">
        <f t="shared" si="212"/>
        <v>0</v>
      </c>
      <c r="Y96" s="309">
        <f t="shared" si="212"/>
        <v>0</v>
      </c>
      <c r="Z96" s="309">
        <f t="shared" si="212"/>
        <v>0</v>
      </c>
      <c r="AA96" s="309">
        <f t="shared" si="212"/>
        <v>0</v>
      </c>
      <c r="AB96" s="309">
        <f t="shared" si="212"/>
        <v>0</v>
      </c>
    </row>
  </sheetData>
  <mergeCells count="5">
    <mergeCell ref="A3:AB3"/>
    <mergeCell ref="A14:AB14"/>
    <mergeCell ref="A25:AB25"/>
    <mergeCell ref="A36:AB36"/>
    <mergeCell ref="A47:AB47"/>
  </mergeCells>
  <conditionalFormatting sqref="J5:J7 N5:N7 R5:R7 V5:V7 AA5:AA7 O62 T62 Y62 O69 T69 Y69 E5:I5">
    <cfRule type="cellIs" dxfId="216" priority="152" operator="greaterThan">
      <formula>0</formula>
    </cfRule>
  </conditionalFormatting>
  <conditionalFormatting sqref="K6:M6 O6:Q6 S6:U6 W6:Z6 AB6 E6:I6">
    <cfRule type="cellIs" dxfId="215" priority="150" operator="greaterThan">
      <formula>0</formula>
    </cfRule>
  </conditionalFormatting>
  <conditionalFormatting sqref="C63 C68:C70">
    <cfRule type="cellIs" dxfId="214" priority="143" operator="greaterThan">
      <formula>0</formula>
    </cfRule>
  </conditionalFormatting>
  <conditionalFormatting sqref="E62:H62 K62:N62 P62:S62 U62:X62 Z62:AB62">
    <cfRule type="cellIs" dxfId="213" priority="141" operator="greaterThan">
      <formula>0</formula>
    </cfRule>
  </conditionalFormatting>
  <conditionalFormatting sqref="E69:I69 M69:N69 P69:S69 U69:X69 Z69:AB69">
    <cfRule type="cellIs" dxfId="212" priority="139" operator="greaterThan">
      <formula>0</formula>
    </cfRule>
  </conditionalFormatting>
  <conditionalFormatting sqref="K5:M5 O5:Q5 S5:U5 W5:Z5 AB5">
    <cfRule type="cellIs" dxfId="211" priority="135" operator="greaterThan">
      <formula>0</formula>
    </cfRule>
  </conditionalFormatting>
  <conditionalFormatting sqref="K7:M7 O7:Q7 S7:U7 W7:Z7 AB7 E7:I7">
    <cfRule type="cellIs" dxfId="210" priority="134" operator="greaterThan">
      <formula>0</formula>
    </cfRule>
  </conditionalFormatting>
  <conditionalFormatting sqref="J64 O64 T64 Y64">
    <cfRule type="cellIs" dxfId="209" priority="89" operator="greaterThan">
      <formula>0</formula>
    </cfRule>
  </conditionalFormatting>
  <conditionalFormatting sqref="C65">
    <cfRule type="cellIs" dxfId="208" priority="88" operator="greaterThan">
      <formula>0</formula>
    </cfRule>
  </conditionalFormatting>
  <conditionalFormatting sqref="E64:I64 K64:N64 P64:S64 U64:X64 Z64:AB64">
    <cfRule type="cellIs" dxfId="207" priority="87" operator="greaterThan">
      <formula>0</formula>
    </cfRule>
  </conditionalFormatting>
  <conditionalFormatting sqref="J66 O66 T66 Y66">
    <cfRule type="cellIs" dxfId="206" priority="83" operator="greaterThan">
      <formula>0</formula>
    </cfRule>
  </conditionalFormatting>
  <conditionalFormatting sqref="C67">
    <cfRule type="cellIs" dxfId="205" priority="82" operator="greaterThan">
      <formula>0</formula>
    </cfRule>
  </conditionalFormatting>
  <conditionalFormatting sqref="E66:I66 K66:N66 P66:S66 U66:X66 Z66:AB66">
    <cfRule type="cellIs" dxfId="204" priority="81" operator="greaterThan">
      <formula>0</formula>
    </cfRule>
  </conditionalFormatting>
  <conditionalFormatting sqref="J71 O71 T71 Y71">
    <cfRule type="cellIs" dxfId="203" priority="80" operator="greaterThan">
      <formula>0</formula>
    </cfRule>
  </conditionalFormatting>
  <conditionalFormatting sqref="C71">
    <cfRule type="cellIs" dxfId="202" priority="79" operator="greaterThan">
      <formula>0</formula>
    </cfRule>
  </conditionalFormatting>
  <conditionalFormatting sqref="E71:I71 K71:N71 P71:S71 U71:X71 Z71:AB71">
    <cfRule type="cellIs" dxfId="201" priority="78" operator="greaterThan">
      <formula>0</formula>
    </cfRule>
  </conditionalFormatting>
  <conditionalFormatting sqref="E73:I73 K73:N73 P73:S73 U73:X73 Z73:AB73">
    <cfRule type="cellIs" dxfId="200" priority="75" operator="greaterThan">
      <formula>0</formula>
    </cfRule>
  </conditionalFormatting>
  <conditionalFormatting sqref="C72">
    <cfRule type="cellIs" dxfId="199" priority="74" operator="greaterThan">
      <formula>0</formula>
    </cfRule>
  </conditionalFormatting>
  <conditionalFormatting sqref="C74">
    <cfRule type="cellIs" dxfId="198" priority="73" operator="greaterThan">
      <formula>0</formula>
    </cfRule>
  </conditionalFormatting>
  <conditionalFormatting sqref="J73 O73 T73 Y73">
    <cfRule type="cellIs" dxfId="197" priority="77" operator="greaterThan">
      <formula>0</formula>
    </cfRule>
  </conditionalFormatting>
  <conditionalFormatting sqref="C73">
    <cfRule type="cellIs" dxfId="196" priority="76" operator="greaterThan">
      <formula>0</formula>
    </cfRule>
  </conditionalFormatting>
  <conditionalFormatting sqref="E80:I80 K80:N80 P80:S80 U80:X80 Z80:AB80">
    <cfRule type="cellIs" dxfId="195" priority="64" operator="greaterThan">
      <formula>0</formula>
    </cfRule>
  </conditionalFormatting>
  <conditionalFormatting sqref="C79">
    <cfRule type="cellIs" dxfId="194" priority="63" operator="greaterThan">
      <formula>0</formula>
    </cfRule>
  </conditionalFormatting>
  <conditionalFormatting sqref="C81">
    <cfRule type="cellIs" dxfId="193" priority="62" operator="greaterThan">
      <formula>0</formula>
    </cfRule>
  </conditionalFormatting>
  <conditionalFormatting sqref="J76 O76 T76 Y76">
    <cfRule type="cellIs" dxfId="192" priority="72" operator="greaterThan">
      <formula>0</formula>
    </cfRule>
  </conditionalFormatting>
  <conditionalFormatting sqref="C76:C77">
    <cfRule type="cellIs" dxfId="191" priority="71" operator="greaterThan">
      <formula>0</formula>
    </cfRule>
  </conditionalFormatting>
  <conditionalFormatting sqref="E76:I76 K76:N76 P76:S76 U76:X76 Z76:AB76">
    <cfRule type="cellIs" dxfId="190" priority="70" operator="greaterThan">
      <formula>0</formula>
    </cfRule>
  </conditionalFormatting>
  <conditionalFormatting sqref="J78 O78 T78 Y78">
    <cfRule type="cellIs" dxfId="189" priority="69" operator="greaterThan">
      <formula>0</formula>
    </cfRule>
  </conditionalFormatting>
  <conditionalFormatting sqref="C78">
    <cfRule type="cellIs" dxfId="188" priority="68" operator="greaterThan">
      <formula>0</formula>
    </cfRule>
  </conditionalFormatting>
  <conditionalFormatting sqref="E78:I78 K78:N78 P78:S78 U78:X78 Z78:AB78">
    <cfRule type="cellIs" dxfId="187" priority="67" operator="greaterThan">
      <formula>0</formula>
    </cfRule>
  </conditionalFormatting>
  <conditionalFormatting sqref="E87:I87 K87:N87 P87:S87 U87:X87 Z87:AB87">
    <cfRule type="cellIs" dxfId="186" priority="53" operator="greaterThan">
      <formula>0</formula>
    </cfRule>
  </conditionalFormatting>
  <conditionalFormatting sqref="C86">
    <cfRule type="cellIs" dxfId="185" priority="52" operator="greaterThan">
      <formula>0</formula>
    </cfRule>
  </conditionalFormatting>
  <conditionalFormatting sqref="C88">
    <cfRule type="cellIs" dxfId="184" priority="51" operator="greaterThan">
      <formula>0</formula>
    </cfRule>
  </conditionalFormatting>
  <conditionalFormatting sqref="J80 O80 T80 Y80">
    <cfRule type="cellIs" dxfId="183" priority="66" operator="greaterThan">
      <formula>0</formula>
    </cfRule>
  </conditionalFormatting>
  <conditionalFormatting sqref="C80">
    <cfRule type="cellIs" dxfId="182" priority="65" operator="greaterThan">
      <formula>0</formula>
    </cfRule>
  </conditionalFormatting>
  <conditionalFormatting sqref="J83 O83 T83 Y83">
    <cfRule type="cellIs" dxfId="181" priority="61" operator="greaterThan">
      <formula>0</formula>
    </cfRule>
  </conditionalFormatting>
  <conditionalFormatting sqref="C83:C84">
    <cfRule type="cellIs" dxfId="180" priority="60" operator="greaterThan">
      <formula>0</formula>
    </cfRule>
  </conditionalFormatting>
  <conditionalFormatting sqref="E83:I83 K83:N83 P83:S83 U83:X83 Z83:AB83">
    <cfRule type="cellIs" dxfId="179" priority="59" operator="greaterThan">
      <formula>0</formula>
    </cfRule>
  </conditionalFormatting>
  <conditionalFormatting sqref="J85 O85 T85 Y85">
    <cfRule type="cellIs" dxfId="178" priority="58" operator="greaterThan">
      <formula>0</formula>
    </cfRule>
  </conditionalFormatting>
  <conditionalFormatting sqref="C85">
    <cfRule type="cellIs" dxfId="177" priority="57" operator="greaterThan">
      <formula>0</formula>
    </cfRule>
  </conditionalFormatting>
  <conditionalFormatting sqref="E85:I85 K85:N85 P85:S85 U85:X85 Z85:AB85">
    <cfRule type="cellIs" dxfId="176" priority="56" operator="greaterThan">
      <formula>0</formula>
    </cfRule>
  </conditionalFormatting>
  <conditionalFormatting sqref="J87 O87 T87 Y87">
    <cfRule type="cellIs" dxfId="175" priority="55" operator="greaterThan">
      <formula>0</formula>
    </cfRule>
  </conditionalFormatting>
  <conditionalFormatting sqref="C87">
    <cfRule type="cellIs" dxfId="174" priority="54" operator="greaterThan">
      <formula>0</formula>
    </cfRule>
  </conditionalFormatting>
  <conditionalFormatting sqref="E94:I94 K94:N94 P94:S94 U94:X94 Z94:AB94">
    <cfRule type="cellIs" dxfId="173" priority="42" operator="greaterThan">
      <formula>0</formula>
    </cfRule>
  </conditionalFormatting>
  <conditionalFormatting sqref="C93">
    <cfRule type="cellIs" dxfId="172" priority="41" operator="greaterThan">
      <formula>0</formula>
    </cfRule>
  </conditionalFormatting>
  <conditionalFormatting sqref="C95">
    <cfRule type="cellIs" dxfId="171" priority="40" operator="greaterThan">
      <formula>0</formula>
    </cfRule>
  </conditionalFormatting>
  <conditionalFormatting sqref="J90 O90 T90 Y90">
    <cfRule type="cellIs" dxfId="170" priority="50" operator="greaterThan">
      <formula>0</formula>
    </cfRule>
  </conditionalFormatting>
  <conditionalFormatting sqref="C90:C91">
    <cfRule type="cellIs" dxfId="169" priority="49" operator="greaterThan">
      <formula>0</formula>
    </cfRule>
  </conditionalFormatting>
  <conditionalFormatting sqref="E90:I90 K90:N90 P90:S90 U90:X90 Z90:AB90">
    <cfRule type="cellIs" dxfId="168" priority="48" operator="greaterThan">
      <formula>0</formula>
    </cfRule>
  </conditionalFormatting>
  <conditionalFormatting sqref="J92 O92 T92 Y92">
    <cfRule type="cellIs" dxfId="167" priority="47" operator="greaterThan">
      <formula>0</formula>
    </cfRule>
  </conditionalFormatting>
  <conditionalFormatting sqref="C92">
    <cfRule type="cellIs" dxfId="166" priority="46" operator="greaterThan">
      <formula>0</formula>
    </cfRule>
  </conditionalFormatting>
  <conditionalFormatting sqref="E92:I92 K92:N92 P92:S92 U92:X92 Z92:AB92">
    <cfRule type="cellIs" dxfId="165" priority="45" operator="greaterThan">
      <formula>0</formula>
    </cfRule>
  </conditionalFormatting>
  <conditionalFormatting sqref="J94 O94 T94 Y94">
    <cfRule type="cellIs" dxfId="164" priority="44" operator="greaterThan">
      <formula>0</formula>
    </cfRule>
  </conditionalFormatting>
  <conditionalFormatting sqref="C94">
    <cfRule type="cellIs" dxfId="163" priority="43" operator="greaterThan">
      <formula>0</formula>
    </cfRule>
  </conditionalFormatting>
  <conditionalFormatting sqref="J9:J11 N9:N11 R9:R11 V9:V11 AA9:AA11 E9:I9">
    <cfRule type="cellIs" dxfId="162" priority="39" operator="greaterThan">
      <formula>0</formula>
    </cfRule>
  </conditionalFormatting>
  <conditionalFormatting sqref="K10:M10 O10:Q10 S10:U10 W10:Z10 AB10 E10:I10">
    <cfRule type="cellIs" dxfId="161" priority="38" operator="greaterThan">
      <formula>0</formula>
    </cfRule>
  </conditionalFormatting>
  <conditionalFormatting sqref="F9:I9 K9:M9 O9:Q9 S9:U9 W9:Z9 AB9">
    <cfRule type="cellIs" dxfId="160" priority="37" operator="greaterThan">
      <formula>0</formula>
    </cfRule>
  </conditionalFormatting>
  <conditionalFormatting sqref="K11:M11 O11:Q11 S11:U11 W11:Z11 AB11 E11:I11">
    <cfRule type="cellIs" dxfId="159" priority="36" operator="greaterThan">
      <formula>0</formula>
    </cfRule>
  </conditionalFormatting>
  <conditionalFormatting sqref="E16 J16:J18 N16:N18 R16:R18 V16:V18 AA16:AA18">
    <cfRule type="cellIs" dxfId="158" priority="35" operator="greaterThan">
      <formula>0</formula>
    </cfRule>
  </conditionalFormatting>
  <conditionalFormatting sqref="E17:I17 K17:M17 O17:Q17 S17:U17 W17:Z17 AB17">
    <cfRule type="cellIs" dxfId="157" priority="34" operator="greaterThan">
      <formula>0</formula>
    </cfRule>
  </conditionalFormatting>
  <conditionalFormatting sqref="F16:I16 K16:M16 O16:Q16 S16:U16 W16:Z16 AB16">
    <cfRule type="cellIs" dxfId="156" priority="33" operator="greaterThan">
      <formula>0</formula>
    </cfRule>
  </conditionalFormatting>
  <conditionalFormatting sqref="E18:I18 K18:M18 O18:Q18 S18:U18 W18:Z18 AB18">
    <cfRule type="cellIs" dxfId="155" priority="32" operator="greaterThan">
      <formula>0</formula>
    </cfRule>
  </conditionalFormatting>
  <conditionalFormatting sqref="E20 J20:J22 N20:N22 R20:R22 V20:V22 AA20:AA22">
    <cfRule type="cellIs" dxfId="154" priority="31" operator="greaterThan">
      <formula>0</formula>
    </cfRule>
  </conditionalFormatting>
  <conditionalFormatting sqref="E21:I21 K21:M21 O21:Q21 S21:U21 W21:Z21 AB21">
    <cfRule type="cellIs" dxfId="153" priority="30" operator="greaterThan">
      <formula>0</formula>
    </cfRule>
  </conditionalFormatting>
  <conditionalFormatting sqref="F20:I20 K20:M20 O20:Q20 S20:U20 W20:Z20 AB20">
    <cfRule type="cellIs" dxfId="152" priority="29" operator="greaterThan">
      <formula>0</formula>
    </cfRule>
  </conditionalFormatting>
  <conditionalFormatting sqref="E22:I22 K22:M22 O22:Q22 S22:U22 W22:Z22 AB22">
    <cfRule type="cellIs" dxfId="151" priority="28" operator="greaterThan">
      <formula>0</formula>
    </cfRule>
  </conditionalFormatting>
  <conditionalFormatting sqref="E27 J27:J29 N27:N29 R27:R29 V27:V29 AA27:AA29">
    <cfRule type="cellIs" dxfId="150" priority="27" operator="greaterThan">
      <formula>0</formula>
    </cfRule>
  </conditionalFormatting>
  <conditionalFormatting sqref="E28:I28 K28:M28 O28:Q28 S28:U28 W28:Z28 AB28">
    <cfRule type="cellIs" dxfId="149" priority="26" operator="greaterThan">
      <formula>0</formula>
    </cfRule>
  </conditionalFormatting>
  <conditionalFormatting sqref="F27:I27 K27:M27 O27:Q27 S27:U27 W27:Z27 AB27">
    <cfRule type="cellIs" dxfId="148" priority="25" operator="greaterThan">
      <formula>0</formula>
    </cfRule>
  </conditionalFormatting>
  <conditionalFormatting sqref="E29:I29 K29:M29 O29:Q29 S29:U29 W29:Z29 AB29">
    <cfRule type="cellIs" dxfId="147" priority="24" operator="greaterThan">
      <formula>0</formula>
    </cfRule>
  </conditionalFormatting>
  <conditionalFormatting sqref="E31 J31:J33 N31:N33 R31:R33 V31:V33 AA31:AA33">
    <cfRule type="cellIs" dxfId="146" priority="23" operator="greaterThan">
      <formula>0</formula>
    </cfRule>
  </conditionalFormatting>
  <conditionalFormatting sqref="E32:I32 K32:M32 O32:Q32 S32:U32 W32:Z32 AB32">
    <cfRule type="cellIs" dxfId="145" priority="22" operator="greaterThan">
      <formula>0</formula>
    </cfRule>
  </conditionalFormatting>
  <conditionalFormatting sqref="F31:I31 K31:M31 O31:Q31 S31:U31 W31:Z31 AB31">
    <cfRule type="cellIs" dxfId="144" priority="21" operator="greaterThan">
      <formula>0</formula>
    </cfRule>
  </conditionalFormatting>
  <conditionalFormatting sqref="E33:I33 K33:M33 O33:Q33 S33:U33 W33:Z33 AB33">
    <cfRule type="cellIs" dxfId="143" priority="20" operator="greaterThan">
      <formula>0</formula>
    </cfRule>
  </conditionalFormatting>
  <conditionalFormatting sqref="E38 J38:J40 N38:N40 R38:R40 V38:V40 AA38:AA40">
    <cfRule type="cellIs" dxfId="142" priority="19" operator="greaterThan">
      <formula>0</formula>
    </cfRule>
  </conditionalFormatting>
  <conditionalFormatting sqref="E39:I39 K39:M39 O39:Q39 S39:U39 W39:Z39 AB39">
    <cfRule type="cellIs" dxfId="141" priority="18" operator="greaterThan">
      <formula>0</formula>
    </cfRule>
  </conditionalFormatting>
  <conditionalFormatting sqref="F38:I38 K38:M38 O38:Q38 S38:U38 W38:Z38 AB38">
    <cfRule type="cellIs" dxfId="140" priority="17" operator="greaterThan">
      <formula>0</formula>
    </cfRule>
  </conditionalFormatting>
  <conditionalFormatting sqref="E40:I40 K40:M40 O40:Q40 S40:U40 W40:Z40 AB40">
    <cfRule type="cellIs" dxfId="139" priority="16" operator="greaterThan">
      <formula>0</formula>
    </cfRule>
  </conditionalFormatting>
  <conditionalFormatting sqref="E42 J42:J44 N42:N44 R42:R44 V42:V44 AA42:AA44">
    <cfRule type="cellIs" dxfId="138" priority="15" operator="greaterThan">
      <formula>0</formula>
    </cfRule>
  </conditionalFormatting>
  <conditionalFormatting sqref="E43:I43 K43:M43 O43:Q43 S43:U43 W43:Z43 AB43">
    <cfRule type="cellIs" dxfId="137" priority="14" operator="greaterThan">
      <formula>0</formula>
    </cfRule>
  </conditionalFormatting>
  <conditionalFormatting sqref="F42:I42 K42:M42 O42:Q42 S42:U42 W42:Z42 AB42">
    <cfRule type="cellIs" dxfId="136" priority="13" operator="greaterThan">
      <formula>0</formula>
    </cfRule>
  </conditionalFormatting>
  <conditionalFormatting sqref="E44:I44 K44:M44 O44:Q44 S44:U44 W44:Z44 AB44">
    <cfRule type="cellIs" dxfId="135" priority="12" operator="greaterThan">
      <formula>0</formula>
    </cfRule>
  </conditionalFormatting>
  <conditionalFormatting sqref="E49 J49:J51 N49:N51 R49:R51 V49:V51 AA49:AA51">
    <cfRule type="cellIs" dxfId="134" priority="11" operator="greaterThan">
      <formula>0</formula>
    </cfRule>
  </conditionalFormatting>
  <conditionalFormatting sqref="E50:I50 K50:M50 O50:Q50 S50:U50 W50:Z50 AB50">
    <cfRule type="cellIs" dxfId="133" priority="10" operator="greaterThan">
      <formula>0</formula>
    </cfRule>
  </conditionalFormatting>
  <conditionalFormatting sqref="F49:I49 K49:M49 O49:Q49 S49:U49 W49:Z49 AB49">
    <cfRule type="cellIs" dxfId="132" priority="9" operator="greaterThan">
      <formula>0</formula>
    </cfRule>
  </conditionalFormatting>
  <conditionalFormatting sqref="E51:I51 K51:M51 O51:Q51 S51:U51 W51:Z51 AB51">
    <cfRule type="cellIs" dxfId="131" priority="8" operator="greaterThan">
      <formula>0</formula>
    </cfRule>
  </conditionalFormatting>
  <conditionalFormatting sqref="E53 J53:J55 N53:N55 R53:R55 V53:V55 AA53:AA55">
    <cfRule type="cellIs" dxfId="130" priority="7" operator="greaterThan">
      <formula>0</formula>
    </cfRule>
  </conditionalFormatting>
  <conditionalFormatting sqref="E54:I54 K54:M54 O54:Q54 S54:U54 W54:Z54 AB54">
    <cfRule type="cellIs" dxfId="129" priority="6" operator="greaterThan">
      <formula>0</formula>
    </cfRule>
  </conditionalFormatting>
  <conditionalFormatting sqref="F53:I53 K53:M53 O53:Q53 S53:U53 W53:Z53 AB53">
    <cfRule type="cellIs" dxfId="128" priority="5" operator="greaterThan">
      <formula>0</formula>
    </cfRule>
  </conditionalFormatting>
  <conditionalFormatting sqref="E55:I55 K55:M55 O55:Q55 S55:U55 W55:Z55 AB55">
    <cfRule type="cellIs" dxfId="127" priority="4" operator="greaterThan">
      <formula>0</formula>
    </cfRule>
  </conditionalFormatting>
  <conditionalFormatting sqref="I62:J62">
    <cfRule type="cellIs" dxfId="126" priority="2" operator="greaterThan">
      <formula>0</formula>
    </cfRule>
  </conditionalFormatting>
  <conditionalFormatting sqref="J69:L69">
    <cfRule type="cellIs" dxfId="125" priority="1" operator="greaterThan">
      <formula>0</formula>
    </cfRule>
  </conditionalFormatting>
  <dataValidations xWindow="92" yWindow="399" count="5">
    <dataValidation type="list" allowBlank="1" showInputMessage="1" showErrorMessage="1" errorTitle="Error en la entrada de datos" error="Debe ser valor de 1 o 2 o 3" promptTitle="Debe entrar 1 o 2 o 3" prompt="1 Si el incremento es valor en $_x000a_2 Si el incremento es en %_x000a_3 Si el incremento es calcular $ y %" sqref="C12 C23 C34 C45 C56" xr:uid="{F09A31A6-EE5B-49D1-B88A-0C6B44CB5D84}">
      <formula1>"1,2,3"</formula1>
    </dataValidation>
    <dataValidation type="list" allowBlank="1" showInputMessage="1" showErrorMessage="1" errorTitle="Año de Venta" error="Debe ser un periodo comprendido en la vida util del proyecto, la cual esta entre 1 a 10 años." promptTitle="Año de venta" prompt="Debe entrar el año en que se vende los activos" sqref="B69 B83 B90 B76" xr:uid="{00000000-0002-0000-0100-000001000000}">
      <formula1>$D$1:$N$1</formula1>
    </dataValidation>
    <dataValidation type="list" allowBlank="1" showInputMessage="1" showErrorMessage="1" errorTitle="Dato de entreda no correcto" error="debe ser 1 ó 2 ó 3" promptTitle="Modalidad de Incremento" prompt="1 Es en $_x000a_2 Es en %_x000a_3 Es en $ y %_x000a_" sqref="B12 B23 B34 B45 B56" xr:uid="{9484D590-BF2D-4729-90ED-2F9FA567D0B4}">
      <formula1>"1,2,3"</formula1>
    </dataValidation>
    <dataValidation type="list" allowBlank="1" showInputMessage="1" showErrorMessage="1" error="Solo debe ser valor de 1 o 2" promptTitle="Incrementos" prompt="1 por %_x000a_2 por cantidades" sqref="B52 B19 B30 B41 B8" xr:uid="{53802BEE-ED7B-4544-BAEE-39B87BD72DA1}">
      <formula1>"1,2"</formula1>
    </dataValidation>
    <dataValidation type="list" allowBlank="1" showInputMessage="1" showErrorMessage="1" errorTitle="Año de Venta" error="Debe ser un periodo comprendido en la vida util del proyecto, la cual esta entre 1 a 10 años." promptTitle="Año de venta" prompt="Debe entrar el año en que se vende los activos" sqref="B67:B68 B63 B88 B84 B86 B65 B74 B70 B72 B81 B77 B79 B95 B91 B93" xr:uid="{DCBC1F0C-4D79-435A-83E6-112810223C8F}">
      <formula1>$D$1:$AB$1</formula1>
    </dataValidation>
  </dataValidations>
  <hyperlinks>
    <hyperlink ref="A1" location="Menu!A1" display="Menu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/>
  <dimension ref="A1:AA94"/>
  <sheetViews>
    <sheetView zoomScaleNormal="100" workbookViewId="0">
      <pane xSplit="2" ySplit="2" topLeftCell="C82" activePane="bottomRight" state="frozen"/>
      <selection activeCell="E17" sqref="E17"/>
      <selection pane="topRight" activeCell="E17" sqref="E17"/>
      <selection pane="bottomLeft" activeCell="E17" sqref="E17"/>
      <selection pane="bottomRight"/>
    </sheetView>
  </sheetViews>
  <sheetFormatPr baseColWidth="10" defaultRowHeight="15" x14ac:dyDescent="0.25"/>
  <cols>
    <col min="1" max="1" width="37.85546875" bestFit="1" customWidth="1"/>
    <col min="2" max="2" width="4.42578125" bestFit="1" customWidth="1"/>
    <col min="3" max="3" width="6.28515625" customWidth="1"/>
    <col min="4" max="4" width="16.42578125" customWidth="1"/>
    <col min="5" max="5" width="18.140625" customWidth="1"/>
    <col min="6" max="6" width="16.42578125" customWidth="1"/>
    <col min="7" max="7" width="17.140625" customWidth="1"/>
    <col min="8" max="8" width="15.5703125" customWidth="1"/>
    <col min="9" max="27" width="13.42578125" hidden="1" customWidth="1"/>
  </cols>
  <sheetData>
    <row r="1" spans="1:27" s="143" customFormat="1" ht="23.25" x14ac:dyDescent="0.35">
      <c r="A1" s="143" t="s">
        <v>149</v>
      </c>
    </row>
    <row r="2" spans="1:27" ht="19.5" thickBot="1" x14ac:dyDescent="0.35">
      <c r="A2" s="111" t="s">
        <v>45</v>
      </c>
      <c r="B2" s="18"/>
      <c r="C2" s="19">
        <v>0</v>
      </c>
      <c r="D2" s="19">
        <v>1</v>
      </c>
      <c r="E2" s="19">
        <v>2</v>
      </c>
      <c r="F2" s="19">
        <v>3</v>
      </c>
      <c r="G2" s="19">
        <v>4</v>
      </c>
      <c r="H2" s="19">
        <v>5</v>
      </c>
      <c r="I2" s="19">
        <v>6</v>
      </c>
      <c r="J2" s="19">
        <v>7</v>
      </c>
      <c r="K2" s="19">
        <v>8</v>
      </c>
      <c r="L2" s="19">
        <v>9</v>
      </c>
      <c r="M2" s="19">
        <v>10</v>
      </c>
      <c r="N2" s="19">
        <v>11</v>
      </c>
      <c r="O2" s="19">
        <v>12</v>
      </c>
      <c r="P2" s="19">
        <v>13</v>
      </c>
      <c r="Q2" s="19">
        <v>14</v>
      </c>
      <c r="R2" s="19">
        <v>15</v>
      </c>
      <c r="S2" s="19">
        <v>16</v>
      </c>
      <c r="T2" s="19">
        <v>17</v>
      </c>
      <c r="U2" s="19">
        <v>18</v>
      </c>
      <c r="V2" s="19">
        <v>19</v>
      </c>
      <c r="W2" s="19">
        <v>20</v>
      </c>
      <c r="X2" s="19">
        <v>21</v>
      </c>
      <c r="Y2" s="19">
        <v>22</v>
      </c>
      <c r="Z2" s="19">
        <v>23</v>
      </c>
      <c r="AA2" s="19">
        <v>24</v>
      </c>
    </row>
    <row r="3" spans="1:27" x14ac:dyDescent="0.25">
      <c r="A3" s="336" t="s">
        <v>401</v>
      </c>
      <c r="B3" s="337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4"/>
    </row>
    <row r="4" spans="1:27" s="18" customFormat="1" x14ac:dyDescent="0.25">
      <c r="A4" s="316" t="s">
        <v>131</v>
      </c>
      <c r="B4" s="17"/>
      <c r="AA4" s="196"/>
    </row>
    <row r="5" spans="1:27" x14ac:dyDescent="0.25">
      <c r="A5" s="338" t="s">
        <v>46</v>
      </c>
      <c r="B5" s="25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323"/>
    </row>
    <row r="6" spans="1:27" ht="15.75" x14ac:dyDescent="0.25">
      <c r="A6" s="30" t="s">
        <v>47</v>
      </c>
      <c r="B6" s="31" t="s">
        <v>78</v>
      </c>
      <c r="C6" s="32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323"/>
    </row>
    <row r="7" spans="1:27" ht="16.5" thickBot="1" x14ac:dyDescent="0.3">
      <c r="A7" s="28"/>
      <c r="B7" s="29" t="s">
        <v>79</v>
      </c>
      <c r="C7" s="25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339"/>
    </row>
    <row r="8" spans="1:27" ht="15.75" x14ac:dyDescent="0.25">
      <c r="A8" s="324" t="s">
        <v>402</v>
      </c>
      <c r="B8" s="121">
        <v>1</v>
      </c>
      <c r="C8" s="34">
        <f>IF($B$8=1,(C5+C6),IF($B$8=2,(C5*(1+C7)),0))</f>
        <v>0</v>
      </c>
      <c r="D8" s="34">
        <f>IF($B$8=1,(D5+D6),IF($B$8=2,(D5*(1+D7)),IF($B$8=3,(D5+D6)*(1+D7))))</f>
        <v>0</v>
      </c>
      <c r="E8" s="34">
        <f t="shared" ref="E8:H8" si="0">IF($B$8=1,(E5+E6),IF($B$8=2,(E5*(1+E7)),IF($B$8=3,(E5+E6)*(1+E7))))</f>
        <v>0</v>
      </c>
      <c r="F8" s="34">
        <f t="shared" si="0"/>
        <v>0</v>
      </c>
      <c r="G8" s="34">
        <f t="shared" si="0"/>
        <v>0</v>
      </c>
      <c r="H8" s="34">
        <f t="shared" si="0"/>
        <v>0</v>
      </c>
      <c r="I8" s="34">
        <f t="shared" ref="I8:J8" si="1">IF($B$8=1,(I5+I6),IF($B$8=2,(I5*(1+I7)),IF($B$8=3,(I5+I6)*(1+I7))))</f>
        <v>0</v>
      </c>
      <c r="J8" s="34">
        <f t="shared" si="1"/>
        <v>0</v>
      </c>
      <c r="K8" s="34">
        <f t="shared" ref="K8:Z8" si="2">IF($B$8=1,(K5+K6),IF($B$8=2,(K5*(1+K7)),IF($B$8=3,(K5+K6)*(1+K7))))</f>
        <v>0</v>
      </c>
      <c r="L8" s="34">
        <f t="shared" si="2"/>
        <v>0</v>
      </c>
      <c r="M8" s="34">
        <f t="shared" si="2"/>
        <v>0</v>
      </c>
      <c r="N8" s="34">
        <f t="shared" si="2"/>
        <v>0</v>
      </c>
      <c r="O8" s="34">
        <f t="shared" si="2"/>
        <v>0</v>
      </c>
      <c r="P8" s="34">
        <f t="shared" si="2"/>
        <v>0</v>
      </c>
      <c r="Q8" s="34">
        <f t="shared" si="2"/>
        <v>0</v>
      </c>
      <c r="R8" s="34">
        <f t="shared" si="2"/>
        <v>0</v>
      </c>
      <c r="S8" s="34">
        <f t="shared" si="2"/>
        <v>0</v>
      </c>
      <c r="T8" s="34">
        <f t="shared" si="2"/>
        <v>0</v>
      </c>
      <c r="U8" s="34">
        <f t="shared" si="2"/>
        <v>0</v>
      </c>
      <c r="V8" s="34">
        <f t="shared" si="2"/>
        <v>0</v>
      </c>
      <c r="W8" s="34">
        <f t="shared" si="2"/>
        <v>0</v>
      </c>
      <c r="X8" s="34">
        <f t="shared" si="2"/>
        <v>0</v>
      </c>
      <c r="Y8" s="34">
        <f t="shared" si="2"/>
        <v>0</v>
      </c>
      <c r="Z8" s="34">
        <f t="shared" si="2"/>
        <v>0</v>
      </c>
      <c r="AA8" s="325">
        <f t="shared" ref="AA8" si="3">IF($B$8=1,(AA5+AA6),IF($B$8=2,(AA5*(1+AA7)),IF($B$8=3,(AA5+AA6)*(1+AA7))))</f>
        <v>0</v>
      </c>
    </row>
    <row r="9" spans="1:27" x14ac:dyDescent="0.25">
      <c r="A9" s="340" t="s">
        <v>398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96"/>
    </row>
    <row r="10" spans="1:27" x14ac:dyDescent="0.25">
      <c r="A10" s="306" t="s">
        <v>49</v>
      </c>
      <c r="B10" s="25"/>
      <c r="C10" s="25"/>
      <c r="D10" s="117">
        <f>+'[1]MO. Operación'!$E$10</f>
        <v>180400000</v>
      </c>
      <c r="E10" s="117">
        <f>+'[1]MO. Operación'!$E$10+('[1]MO. Operación'!$E$10*3%)</f>
        <v>185812000</v>
      </c>
      <c r="F10" s="117">
        <f>+'[1]MO. Operación'!$E$10+('[1]MO. Operación'!$E$10*3.5%)</f>
        <v>186714000</v>
      </c>
      <c r="G10" s="117">
        <f>+'[1]MO. Operación'!$E$10+('[1]MO. Operación'!$E$10*3.7%)</f>
        <v>187074800</v>
      </c>
      <c r="H10" s="117">
        <f>+'[1]MO. Operación'!$E$10+('[1]MO. Operación'!$E$10*3.1%)</f>
        <v>185992400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323">
        <v>0</v>
      </c>
    </row>
    <row r="11" spans="1:27" x14ac:dyDescent="0.25">
      <c r="A11" s="341" t="s">
        <v>142</v>
      </c>
      <c r="B11" s="139">
        <v>0</v>
      </c>
      <c r="C11" s="35"/>
      <c r="D11" s="36">
        <f>D10*'Ppto Ing'!E8*(1+$B$11)</f>
        <v>180400000</v>
      </c>
      <c r="E11" s="36">
        <f>E10*'Ppto Ing'!F8*(1+$B$11)</f>
        <v>185812000</v>
      </c>
      <c r="F11" s="36">
        <f>F10*'Ppto Ing'!G8*(1+$B$11)</f>
        <v>186714000</v>
      </c>
      <c r="G11" s="36">
        <f>G10*'Ppto Ing'!H8*(1+$B$11)</f>
        <v>187074800</v>
      </c>
      <c r="H11" s="36">
        <f>H10*'Ppto Ing'!I8*(1+$B$11)</f>
        <v>185992400</v>
      </c>
      <c r="I11" s="36">
        <f>I10*'Ppto Ing'!J8*(1+$B$11)</f>
        <v>0</v>
      </c>
      <c r="J11" s="36">
        <f>J10*'Ppto Ing'!K8*(1+$B$11)</f>
        <v>0</v>
      </c>
      <c r="K11" s="36">
        <f>K10*'Ppto Ing'!L8*(1+$B$11)</f>
        <v>0</v>
      </c>
      <c r="L11" s="36">
        <f>L10*'Ppto Ing'!M8*(1+$B$11)</f>
        <v>0</v>
      </c>
      <c r="M11" s="36">
        <f>M10*'Ppto Ing'!N8*(1+$B$11)</f>
        <v>0</v>
      </c>
      <c r="N11" s="36">
        <f>N10*'Ppto Ing'!O8*(1+$B$11)</f>
        <v>0</v>
      </c>
      <c r="O11" s="36">
        <f>O10*'Ppto Ing'!P8*(1+$B$11)</f>
        <v>0</v>
      </c>
      <c r="P11" s="36">
        <f>P10*'Ppto Ing'!Q8*(1+$B$11)</f>
        <v>0</v>
      </c>
      <c r="Q11" s="36">
        <f>Q10*'Ppto Ing'!R8*(1+$B$11)</f>
        <v>0</v>
      </c>
      <c r="R11" s="36">
        <f>R10*'Ppto Ing'!S8*(1+$B$11)</f>
        <v>0</v>
      </c>
      <c r="S11" s="36">
        <f>S10*'Ppto Ing'!T8*(1+$B$11)</f>
        <v>0</v>
      </c>
      <c r="T11" s="36">
        <f>T10*'Ppto Ing'!U8*(1+$B$11)</f>
        <v>0</v>
      </c>
      <c r="U11" s="36">
        <f>U10*'Ppto Ing'!V8*(1+$B$11)</f>
        <v>0</v>
      </c>
      <c r="V11" s="36">
        <f>V10*'Ppto Ing'!W8*(1+$B$11)</f>
        <v>0</v>
      </c>
      <c r="W11" s="36">
        <f>W10*'Ppto Ing'!X8*(1+$B$11)</f>
        <v>0</v>
      </c>
      <c r="X11" s="36">
        <f>X10*'Ppto Ing'!Y8*(1+$B$11)</f>
        <v>0</v>
      </c>
      <c r="Y11" s="36">
        <f>Y10*'Ppto Ing'!Z8*(1+$B$11)</f>
        <v>0</v>
      </c>
      <c r="Z11" s="36">
        <f>Z10*'Ppto Ing'!AA8*(1+$B$11)</f>
        <v>0</v>
      </c>
      <c r="AA11" s="342">
        <f>AA10*'Ppto Ing'!AB8*(1+$B$11)</f>
        <v>0</v>
      </c>
    </row>
    <row r="12" spans="1:27" x14ac:dyDescent="0.25">
      <c r="A12" s="306" t="s">
        <v>50</v>
      </c>
      <c r="B12" s="25"/>
      <c r="C12" s="25"/>
      <c r="D12" s="117"/>
      <c r="E12" s="117"/>
      <c r="F12" s="117"/>
      <c r="G12" s="117"/>
      <c r="H12" s="117"/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323">
        <v>0</v>
      </c>
    </row>
    <row r="13" spans="1:27" x14ac:dyDescent="0.25">
      <c r="A13" s="306" t="s">
        <v>101</v>
      </c>
      <c r="B13" s="25"/>
      <c r="C13" s="25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339"/>
    </row>
    <row r="14" spans="1:27" x14ac:dyDescent="0.25">
      <c r="A14" s="341" t="s">
        <v>141</v>
      </c>
      <c r="B14" s="139">
        <v>0.05</v>
      </c>
      <c r="C14" s="35"/>
      <c r="D14" s="36">
        <f>D12*'Ppto Ing'!E8*(1+D13)*(1+$B$14)</f>
        <v>0</v>
      </c>
      <c r="E14" s="36">
        <f>E12*'Ppto Ing'!F8*(1+E13)*(1+$B$14)</f>
        <v>0</v>
      </c>
      <c r="F14" s="36">
        <f>F12*'Ppto Ing'!G8*(1+F13)*(1+$B$14)</f>
        <v>0</v>
      </c>
      <c r="G14" s="36">
        <f>G12*'Ppto Ing'!H8*(1+G13)*(1+$B$14)</f>
        <v>0</v>
      </c>
      <c r="H14" s="36">
        <f>H12*'Ppto Ing'!I8*(1+H13)*(1+$B$14)</f>
        <v>0</v>
      </c>
      <c r="I14" s="36">
        <f>I12*'Ppto Ing'!J8*(1+I13)*(1+$B$14)</f>
        <v>0</v>
      </c>
      <c r="J14" s="36">
        <f>J12*'Ppto Ing'!K8*(1+J13)*(1+$B$14)</f>
        <v>0</v>
      </c>
      <c r="K14" s="36">
        <f>K12*'Ppto Ing'!L8*(1+K13)*(1+$B$14)</f>
        <v>0</v>
      </c>
      <c r="L14" s="36">
        <f>L12*'Ppto Ing'!M8*(1+L13)*(1+$B$14)</f>
        <v>0</v>
      </c>
      <c r="M14" s="36">
        <f>M12*'Ppto Ing'!N8*(1+M13)*(1+$B$14)</f>
        <v>0</v>
      </c>
      <c r="N14" s="36">
        <f>N12*'Ppto Ing'!O8*(1+N13)*(1+$B$14)</f>
        <v>0</v>
      </c>
      <c r="O14" s="36">
        <f>O12*'Ppto Ing'!P8*(1+O13)*(1+$B$14)</f>
        <v>0</v>
      </c>
      <c r="P14" s="36">
        <f>P12*'Ppto Ing'!Q8*(1+P13)*(1+$B$14)</f>
        <v>0</v>
      </c>
      <c r="Q14" s="36">
        <f>Q12*'Ppto Ing'!R8*(1+Q13)*(1+$B$14)</f>
        <v>0</v>
      </c>
      <c r="R14" s="36">
        <f>R12*'Ppto Ing'!S8*(1+R13)*(1+$B$14)</f>
        <v>0</v>
      </c>
      <c r="S14" s="36">
        <f>S12*'Ppto Ing'!T8*(1+S13)*(1+$B$14)</f>
        <v>0</v>
      </c>
      <c r="T14" s="36">
        <f>T12*'Ppto Ing'!U8*(1+T13)*(1+$B$14)</f>
        <v>0</v>
      </c>
      <c r="U14" s="36">
        <f>U12*'Ppto Ing'!V8*(1+U13)*(1+$B$14)</f>
        <v>0</v>
      </c>
      <c r="V14" s="36">
        <f>V12*'Ppto Ing'!W8*(1+V13)*(1+$B$14)</f>
        <v>0</v>
      </c>
      <c r="W14" s="36">
        <f>W12*'Ppto Ing'!X8*(1+W13)*(1+$B$14)</f>
        <v>0</v>
      </c>
      <c r="X14" s="36">
        <f>X12*'Ppto Ing'!Y8*(1+X13)*(1+$B$14)</f>
        <v>0</v>
      </c>
      <c r="Y14" s="36">
        <f>Y12*'Ppto Ing'!Z8*(1+Y13)*(1+$B$14)</f>
        <v>0</v>
      </c>
      <c r="Z14" s="36">
        <f>Z12*'Ppto Ing'!AA8*(1+Z13)*(1+$B$14)</f>
        <v>0</v>
      </c>
      <c r="AA14" s="342">
        <f>AA12*'Ppto Ing'!AB8*(1+AA13)*(1+$B$14)</f>
        <v>0</v>
      </c>
    </row>
    <row r="15" spans="1:27" x14ac:dyDescent="0.25">
      <c r="A15" s="306" t="s">
        <v>51</v>
      </c>
      <c r="B15" s="25"/>
      <c r="C15" s="35"/>
      <c r="D15" s="117"/>
      <c r="E15" s="117"/>
      <c r="F15" s="117"/>
      <c r="G15" s="117"/>
      <c r="H15" s="117"/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323">
        <v>0</v>
      </c>
    </row>
    <row r="16" spans="1:27" x14ac:dyDescent="0.25">
      <c r="A16" s="341" t="s">
        <v>51</v>
      </c>
      <c r="B16" s="139">
        <v>0.03</v>
      </c>
      <c r="C16" s="35"/>
      <c r="D16" s="36">
        <f>D15*'Ppto Ing'!E8*(1+$B$16)</f>
        <v>0</v>
      </c>
      <c r="E16" s="36">
        <f>E15*'Ppto Ing'!F8*(1+$B$16)</f>
        <v>0</v>
      </c>
      <c r="F16" s="36">
        <f>F15*'Ppto Ing'!G8*(1+$B$16)</f>
        <v>0</v>
      </c>
      <c r="G16" s="36">
        <f>G15*'Ppto Ing'!H8*(1+$B$16)</f>
        <v>0</v>
      </c>
      <c r="H16" s="36">
        <f>H15*'Ppto Ing'!I8*(1+$B$16)</f>
        <v>0</v>
      </c>
      <c r="I16" s="36">
        <f>I15*'Ppto Ing'!J8*(1+$B$16)</f>
        <v>0</v>
      </c>
      <c r="J16" s="36">
        <f>J15*'Ppto Ing'!K8*(1+$B$16)</f>
        <v>0</v>
      </c>
      <c r="K16" s="36">
        <f>K15*'Ppto Ing'!L8*(1+$B$16)</f>
        <v>0</v>
      </c>
      <c r="L16" s="36">
        <f>L15*'Ppto Ing'!M8*(1+$B$16)</f>
        <v>0</v>
      </c>
      <c r="M16" s="36">
        <f>M15*'Ppto Ing'!N8*(1+$B$16)</f>
        <v>0</v>
      </c>
      <c r="N16" s="36">
        <f>N15*'Ppto Ing'!O8*(1+$B$16)</f>
        <v>0</v>
      </c>
      <c r="O16" s="36">
        <f>O15*'Ppto Ing'!P8*(1+$B$16)</f>
        <v>0</v>
      </c>
      <c r="P16" s="36">
        <f>P15*'Ppto Ing'!Q8*(1+$B$16)</f>
        <v>0</v>
      </c>
      <c r="Q16" s="36">
        <f>Q15*'Ppto Ing'!R8*(1+$B$16)</f>
        <v>0</v>
      </c>
      <c r="R16" s="36">
        <f>R15*'Ppto Ing'!S8*(1+$B$16)</f>
        <v>0</v>
      </c>
      <c r="S16" s="36">
        <f>S15*'Ppto Ing'!T8*(1+$B$16)</f>
        <v>0</v>
      </c>
      <c r="T16" s="36">
        <f>T15*'Ppto Ing'!U8*(1+$B$16)</f>
        <v>0</v>
      </c>
      <c r="U16" s="36">
        <f>U15*'Ppto Ing'!V8*(1+$B$16)</f>
        <v>0</v>
      </c>
      <c r="V16" s="36">
        <f>V15*'Ppto Ing'!W8*(1+$B$16)</f>
        <v>0</v>
      </c>
      <c r="W16" s="36">
        <f>W15*'Ppto Ing'!X8*(1+$B$16)</f>
        <v>0</v>
      </c>
      <c r="X16" s="36">
        <f>X15*'Ppto Ing'!Y8*(1+$B$16)</f>
        <v>0</v>
      </c>
      <c r="Y16" s="36">
        <f>Y15*'Ppto Ing'!Z8*(1+$B$16)</f>
        <v>0</v>
      </c>
      <c r="Z16" s="36">
        <f>Z15*'Ppto Ing'!AA8*(1+$B$16)</f>
        <v>0</v>
      </c>
      <c r="AA16" s="342">
        <f>AA15*'Ppto Ing'!AB8*(1+$B$16)</f>
        <v>0</v>
      </c>
    </row>
    <row r="17" spans="1:27" ht="16.5" thickBot="1" x14ac:dyDescent="0.3">
      <c r="A17" s="343" t="s">
        <v>259</v>
      </c>
      <c r="B17" s="344"/>
      <c r="C17" s="345">
        <f t="shared" ref="C17:AA17" si="4">C11+C14+C16</f>
        <v>0</v>
      </c>
      <c r="D17" s="345">
        <f>D11+D14+D16</f>
        <v>180400000</v>
      </c>
      <c r="E17" s="345">
        <f t="shared" si="4"/>
        <v>185812000</v>
      </c>
      <c r="F17" s="345">
        <f t="shared" si="4"/>
        <v>186714000</v>
      </c>
      <c r="G17" s="345">
        <f t="shared" si="4"/>
        <v>187074800</v>
      </c>
      <c r="H17" s="345">
        <f t="shared" si="4"/>
        <v>185992400</v>
      </c>
      <c r="I17" s="345">
        <f t="shared" si="4"/>
        <v>0</v>
      </c>
      <c r="J17" s="345">
        <f t="shared" si="4"/>
        <v>0</v>
      </c>
      <c r="K17" s="345">
        <f t="shared" si="4"/>
        <v>0</v>
      </c>
      <c r="L17" s="345">
        <f t="shared" si="4"/>
        <v>0</v>
      </c>
      <c r="M17" s="345">
        <f t="shared" si="4"/>
        <v>0</v>
      </c>
      <c r="N17" s="345">
        <f t="shared" si="4"/>
        <v>0</v>
      </c>
      <c r="O17" s="345">
        <f t="shared" si="4"/>
        <v>0</v>
      </c>
      <c r="P17" s="345">
        <f t="shared" si="4"/>
        <v>0</v>
      </c>
      <c r="Q17" s="345">
        <f t="shared" si="4"/>
        <v>0</v>
      </c>
      <c r="R17" s="345">
        <f t="shared" si="4"/>
        <v>0</v>
      </c>
      <c r="S17" s="345">
        <f t="shared" si="4"/>
        <v>0</v>
      </c>
      <c r="T17" s="345">
        <f t="shared" si="4"/>
        <v>0</v>
      </c>
      <c r="U17" s="345">
        <f t="shared" si="4"/>
        <v>0</v>
      </c>
      <c r="V17" s="345">
        <f t="shared" si="4"/>
        <v>0</v>
      </c>
      <c r="W17" s="345">
        <f t="shared" si="4"/>
        <v>0</v>
      </c>
      <c r="X17" s="345">
        <f t="shared" si="4"/>
        <v>0</v>
      </c>
      <c r="Y17" s="345">
        <f t="shared" si="4"/>
        <v>0</v>
      </c>
      <c r="Z17" s="345">
        <f t="shared" si="4"/>
        <v>0</v>
      </c>
      <c r="AA17" s="346">
        <f t="shared" si="4"/>
        <v>0</v>
      </c>
    </row>
    <row r="18" spans="1:27" hidden="1" x14ac:dyDescent="0.25">
      <c r="A18" s="336" t="s">
        <v>247</v>
      </c>
      <c r="B18" s="337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4"/>
    </row>
    <row r="19" spans="1:27" hidden="1" x14ac:dyDescent="0.25">
      <c r="A19" s="316" t="s">
        <v>257</v>
      </c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96"/>
    </row>
    <row r="20" spans="1:27" hidden="1" x14ac:dyDescent="0.25">
      <c r="A20" s="338" t="s">
        <v>46</v>
      </c>
      <c r="B20" s="25"/>
      <c r="C20" s="117">
        <v>0</v>
      </c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323"/>
    </row>
    <row r="21" spans="1:27" ht="15.75" hidden="1" x14ac:dyDescent="0.25">
      <c r="A21" s="30" t="s">
        <v>47</v>
      </c>
      <c r="B21" s="31" t="s">
        <v>78</v>
      </c>
      <c r="C21" s="32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323">
        <v>0</v>
      </c>
    </row>
    <row r="22" spans="1:27" ht="16.5" hidden="1" thickBot="1" x14ac:dyDescent="0.3">
      <c r="A22" s="28"/>
      <c r="B22" s="29" t="s">
        <v>79</v>
      </c>
      <c r="C22" s="25"/>
      <c r="D22" s="113">
        <v>0</v>
      </c>
      <c r="E22" s="113">
        <v>0</v>
      </c>
      <c r="F22" s="113">
        <v>0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  <c r="T22" s="113">
        <v>0</v>
      </c>
      <c r="U22" s="113">
        <v>0</v>
      </c>
      <c r="V22" s="113">
        <v>0</v>
      </c>
      <c r="W22" s="113">
        <v>0</v>
      </c>
      <c r="X22" s="113">
        <v>0</v>
      </c>
      <c r="Y22" s="113">
        <v>0</v>
      </c>
      <c r="Z22" s="113">
        <v>0</v>
      </c>
      <c r="AA22" s="339">
        <v>0</v>
      </c>
    </row>
    <row r="23" spans="1:27" ht="15.75" hidden="1" x14ac:dyDescent="0.25">
      <c r="A23" s="324" t="s">
        <v>258</v>
      </c>
      <c r="B23" s="121">
        <v>2</v>
      </c>
      <c r="C23" s="34">
        <f>IF($B$23=1,(C20+C21),IF($B$23=2,(C20*(1+C22)),0))</f>
        <v>0</v>
      </c>
      <c r="D23" s="34">
        <f t="shared" ref="D23:I23" si="5">IF($B$23=1,(D20+D21),IF($B$23=2,(D20*(1+D22)),0))</f>
        <v>0</v>
      </c>
      <c r="E23" s="34">
        <f t="shared" si="5"/>
        <v>0</v>
      </c>
      <c r="F23" s="34">
        <f t="shared" si="5"/>
        <v>0</v>
      </c>
      <c r="G23" s="34">
        <f t="shared" si="5"/>
        <v>0</v>
      </c>
      <c r="H23" s="34">
        <f t="shared" si="5"/>
        <v>0</v>
      </c>
      <c r="I23" s="34">
        <f t="shared" si="5"/>
        <v>0</v>
      </c>
      <c r="J23" s="34">
        <f t="shared" ref="J23" si="6">IF($B$23=1,(J20+J21),IF($B$23=2,(J20*(1+J22)),0))</f>
        <v>0</v>
      </c>
      <c r="K23" s="34">
        <f t="shared" ref="K23" si="7">IF($B$23=1,(K20+K21),IF($B$23=2,(K20*(1+K22)),0))</f>
        <v>0</v>
      </c>
      <c r="L23" s="34">
        <f t="shared" ref="L23" si="8">IF($B$23=1,(L20+L21),IF($B$23=2,(L20*(1+L22)),0))</f>
        <v>0</v>
      </c>
      <c r="M23" s="34">
        <f t="shared" ref="M23" si="9">IF($B$23=1,(M20+M21),IF($B$23=2,(M20*(1+M22)),0))</f>
        <v>0</v>
      </c>
      <c r="N23" s="34">
        <f t="shared" ref="N23" si="10">IF($B$23=1,(N20+N21),IF($B$23=2,(N20*(1+N22)),0))</f>
        <v>0</v>
      </c>
      <c r="O23" s="34">
        <f t="shared" ref="O23" si="11">IF($B$23=1,(O20+O21),IF($B$23=2,(O20*(1+O22)),0))</f>
        <v>0</v>
      </c>
      <c r="P23" s="34">
        <f t="shared" ref="P23" si="12">IF($B$23=1,(P20+P21),IF($B$23=2,(P20*(1+P22)),0))</f>
        <v>0</v>
      </c>
      <c r="Q23" s="34">
        <f t="shared" ref="Q23" si="13">IF($B$23=1,(Q20+Q21),IF($B$23=2,(Q20*(1+Q22)),0))</f>
        <v>0</v>
      </c>
      <c r="R23" s="34">
        <f t="shared" ref="R23" si="14">IF($B$23=1,(R20+R21),IF($B$23=2,(R20*(1+R22)),0))</f>
        <v>0</v>
      </c>
      <c r="S23" s="34">
        <f t="shared" ref="S23" si="15">IF($B$23=1,(S20+S21),IF($B$23=2,(S20*(1+S22)),0))</f>
        <v>0</v>
      </c>
      <c r="T23" s="34">
        <f t="shared" ref="T23" si="16">IF($B$23=1,(T20+T21),IF($B$23=2,(T20*(1+T22)),0))</f>
        <v>0</v>
      </c>
      <c r="U23" s="34">
        <f t="shared" ref="U23" si="17">IF($B$23=1,(U20+U21),IF($B$23=2,(U20*(1+U22)),0))</f>
        <v>0</v>
      </c>
      <c r="V23" s="34">
        <f t="shared" ref="V23" si="18">IF($B$23=1,(V20+V21),IF($B$23=2,(V20*(1+V22)),0))</f>
        <v>0</v>
      </c>
      <c r="W23" s="34">
        <f t="shared" ref="W23" si="19">IF($B$23=1,(W20+W21),IF($B$23=2,(W20*(1+W22)),0))</f>
        <v>0</v>
      </c>
      <c r="X23" s="34">
        <f t="shared" ref="X23" si="20">IF($B$23=1,(X20+X21),IF($B$23=2,(X20*(1+X22)),0))</f>
        <v>0</v>
      </c>
      <c r="Y23" s="34">
        <f t="shared" ref="Y23" si="21">IF($B$23=1,(Y20+Y21),IF($B$23=2,(Y20*(1+Y22)),0))</f>
        <v>0</v>
      </c>
      <c r="Z23" s="34">
        <f t="shared" ref="Z23" si="22">IF($B$23=1,(Z20+Z21),IF($B$23=2,(Z20*(1+Z22)),0))</f>
        <v>0</v>
      </c>
      <c r="AA23" s="325">
        <f t="shared" ref="AA23" si="23">IF($B$23=1,(AA20+AA21),IF($B$23=2,(AA20*(1+AA22)),0))</f>
        <v>0</v>
      </c>
    </row>
    <row r="24" spans="1:27" hidden="1" x14ac:dyDescent="0.25">
      <c r="A24" s="340" t="s">
        <v>48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96"/>
    </row>
    <row r="25" spans="1:27" hidden="1" x14ac:dyDescent="0.25">
      <c r="A25" s="306" t="s">
        <v>49</v>
      </c>
      <c r="B25" s="25"/>
      <c r="C25" s="117">
        <v>0</v>
      </c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323">
        <v>0</v>
      </c>
    </row>
    <row r="26" spans="1:27" hidden="1" x14ac:dyDescent="0.25">
      <c r="A26" s="341" t="s">
        <v>142</v>
      </c>
      <c r="B26" s="139">
        <v>0.1</v>
      </c>
      <c r="C26" s="36">
        <f>C25*'Ppto Ing'!D23*(1+$B$26)</f>
        <v>0</v>
      </c>
      <c r="D26" s="36">
        <f>D25*'Ppto Ing'!E23*(1+$B$26)</f>
        <v>0</v>
      </c>
      <c r="E26" s="36">
        <f>E25*'Ppto Ing'!F23*(1+$B$26)</f>
        <v>0</v>
      </c>
      <c r="F26" s="36">
        <f>F25*'Ppto Ing'!G23*(1+$B$26)</f>
        <v>0</v>
      </c>
      <c r="G26" s="36">
        <f>G25*'Ppto Ing'!H23*(1+$B$26)</f>
        <v>0</v>
      </c>
      <c r="H26" s="36">
        <f>H25*'Ppto Ing'!I23*(1+$B$26)</f>
        <v>0</v>
      </c>
      <c r="I26" s="36">
        <f>I25*'Ppto Ing'!J23*(1+$B$26)</f>
        <v>0</v>
      </c>
      <c r="J26" s="36">
        <f>J25*'Ppto Ing'!K23*(1+$B$26)</f>
        <v>0</v>
      </c>
      <c r="K26" s="36">
        <f>K25*'Ppto Ing'!L23*(1+$B$26)</f>
        <v>0</v>
      </c>
      <c r="L26" s="36">
        <f>L25*'Ppto Ing'!M23*(1+$B$26)</f>
        <v>0</v>
      </c>
      <c r="M26" s="36">
        <f>M25*'Ppto Ing'!N23*(1+$B$26)</f>
        <v>0</v>
      </c>
      <c r="N26" s="36">
        <f>N25*'Ppto Ing'!O23*(1+$B$26)</f>
        <v>0</v>
      </c>
      <c r="O26" s="36">
        <f>O25*'Ppto Ing'!P23*(1+$B$26)</f>
        <v>0</v>
      </c>
      <c r="P26" s="36">
        <f>P25*'Ppto Ing'!Q23*(1+$B$26)</f>
        <v>0</v>
      </c>
      <c r="Q26" s="36">
        <f>Q25*'Ppto Ing'!R23*(1+$B$26)</f>
        <v>0</v>
      </c>
      <c r="R26" s="36">
        <f>R25*'Ppto Ing'!S23*(1+$B$26)</f>
        <v>0</v>
      </c>
      <c r="S26" s="36">
        <f>S25*'Ppto Ing'!T23*(1+$B$26)</f>
        <v>0</v>
      </c>
      <c r="T26" s="36">
        <f>T25*'Ppto Ing'!U23*(1+$B$26)</f>
        <v>0</v>
      </c>
      <c r="U26" s="36">
        <f>U25*'Ppto Ing'!V23*(1+$B$26)</f>
        <v>0</v>
      </c>
      <c r="V26" s="36">
        <f>V25*'Ppto Ing'!W23*(1+$B$26)</f>
        <v>0</v>
      </c>
      <c r="W26" s="36">
        <f>W25*'Ppto Ing'!X23*(1+$B$26)</f>
        <v>0</v>
      </c>
      <c r="X26" s="36">
        <f>X25*'Ppto Ing'!Y23*(1+$B$26)</f>
        <v>0</v>
      </c>
      <c r="Y26" s="36">
        <f>Y25*'Ppto Ing'!Z23*(1+$B$26)</f>
        <v>0</v>
      </c>
      <c r="Z26" s="36">
        <f>Z25*'Ppto Ing'!AA23*(1+$B$26)</f>
        <v>0</v>
      </c>
      <c r="AA26" s="342">
        <f>AA25*'Ppto Ing'!AB23*(1+$B$26)</f>
        <v>0</v>
      </c>
    </row>
    <row r="27" spans="1:27" s="47" customFormat="1" hidden="1" x14ac:dyDescent="0.25">
      <c r="A27" s="306" t="s">
        <v>50</v>
      </c>
      <c r="B27" s="25"/>
      <c r="C27" s="117">
        <v>0</v>
      </c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323">
        <v>0</v>
      </c>
    </row>
    <row r="28" spans="1:27" s="47" customFormat="1" hidden="1" x14ac:dyDescent="0.25">
      <c r="A28" s="306" t="s">
        <v>101</v>
      </c>
      <c r="B28" s="25"/>
      <c r="C28" s="113"/>
      <c r="D28" s="113"/>
      <c r="E28" s="113"/>
      <c r="F28" s="113">
        <v>0</v>
      </c>
      <c r="G28" s="113">
        <v>0</v>
      </c>
      <c r="H28" s="113">
        <v>0</v>
      </c>
      <c r="I28" s="113">
        <v>0</v>
      </c>
      <c r="J28" s="113">
        <v>0</v>
      </c>
      <c r="K28" s="113">
        <v>0</v>
      </c>
      <c r="L28" s="113">
        <v>0</v>
      </c>
      <c r="M28" s="113"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  <c r="T28" s="113">
        <v>0</v>
      </c>
      <c r="U28" s="113">
        <v>0</v>
      </c>
      <c r="V28" s="113">
        <v>0</v>
      </c>
      <c r="W28" s="113">
        <v>0</v>
      </c>
      <c r="X28" s="113">
        <v>0</v>
      </c>
      <c r="Y28" s="113">
        <v>0</v>
      </c>
      <c r="Z28" s="113">
        <v>0</v>
      </c>
      <c r="AA28" s="339">
        <v>0</v>
      </c>
    </row>
    <row r="29" spans="1:27" hidden="1" x14ac:dyDescent="0.25">
      <c r="A29" s="341" t="s">
        <v>141</v>
      </c>
      <c r="B29" s="139">
        <v>0.05</v>
      </c>
      <c r="C29" s="36">
        <f>C27*'Ppto Ing'!D23*(1+C28)*(1+$B$29)</f>
        <v>0</v>
      </c>
      <c r="D29" s="36">
        <f>D27*'Ppto Ing'!E23*(1+D28)*(1+$B$29)</f>
        <v>0</v>
      </c>
      <c r="E29" s="36">
        <f>E27*'Ppto Ing'!F23*(1+E28)*(1+$B$29)</f>
        <v>0</v>
      </c>
      <c r="F29" s="36">
        <f>F27*'Ppto Ing'!G23*(1+F28)*(1+$B$29)</f>
        <v>0</v>
      </c>
      <c r="G29" s="36">
        <f>G27*'Ppto Ing'!H23*(1+G28)*(1+$B$29)</f>
        <v>0</v>
      </c>
      <c r="H29" s="36">
        <f>H27*'Ppto Ing'!I23*(1+H28)*(1+$B$29)</f>
        <v>0</v>
      </c>
      <c r="I29" s="36">
        <f>I27*'Ppto Ing'!J23*(1+I28)*(1+$B$29)</f>
        <v>0</v>
      </c>
      <c r="J29" s="36">
        <f>J27*'Ppto Ing'!K23*(1+J28)*(1+$B$29)</f>
        <v>0</v>
      </c>
      <c r="K29" s="36">
        <f>K27*'Ppto Ing'!L23*(1+K28)*(1+$B$29)</f>
        <v>0</v>
      </c>
      <c r="L29" s="36">
        <f>L27*'Ppto Ing'!M23*(1+L28)*(1+$B$29)</f>
        <v>0</v>
      </c>
      <c r="M29" s="36">
        <f>M27*'Ppto Ing'!N23*(1+M28)*(1+$B$29)</f>
        <v>0</v>
      </c>
      <c r="N29" s="36">
        <f>N27*'Ppto Ing'!O23*(1+N28)*(1+$B$29)</f>
        <v>0</v>
      </c>
      <c r="O29" s="36">
        <f>O27*'Ppto Ing'!P23*(1+O28)*(1+$B$29)</f>
        <v>0</v>
      </c>
      <c r="P29" s="36">
        <f>P27*'Ppto Ing'!Q23*(1+P28)*(1+$B$29)</f>
        <v>0</v>
      </c>
      <c r="Q29" s="36">
        <f>Q27*'Ppto Ing'!R23*(1+Q28)*(1+$B$29)</f>
        <v>0</v>
      </c>
      <c r="R29" s="36">
        <f>R27*'Ppto Ing'!S23*(1+R28)*(1+$B$29)</f>
        <v>0</v>
      </c>
      <c r="S29" s="36">
        <f>S27*'Ppto Ing'!T23*(1+S28)*(1+$B$29)</f>
        <v>0</v>
      </c>
      <c r="T29" s="36">
        <f>T27*'Ppto Ing'!U23*(1+T28)*(1+$B$29)</f>
        <v>0</v>
      </c>
      <c r="U29" s="36">
        <f>U27*'Ppto Ing'!V23*(1+U28)*(1+$B$29)</f>
        <v>0</v>
      </c>
      <c r="V29" s="36">
        <f>V27*'Ppto Ing'!W23*(1+V28)*(1+$B$29)</f>
        <v>0</v>
      </c>
      <c r="W29" s="36">
        <f>W27*'Ppto Ing'!X23*(1+W28)*(1+$B$29)</f>
        <v>0</v>
      </c>
      <c r="X29" s="36">
        <f>X27*'Ppto Ing'!Y23*(1+X28)*(1+$B$29)</f>
        <v>0</v>
      </c>
      <c r="Y29" s="36">
        <f>Y27*'Ppto Ing'!Z23*(1+Y28)*(1+$B$29)</f>
        <v>0</v>
      </c>
      <c r="Z29" s="36">
        <f>Z27*'Ppto Ing'!AA23*(1+Z28)*(1+$B$29)</f>
        <v>0</v>
      </c>
      <c r="AA29" s="342">
        <f>AA27*'Ppto Ing'!AB23*(1+AA28)*(1+$B$29)</f>
        <v>0</v>
      </c>
    </row>
    <row r="30" spans="1:27" hidden="1" x14ac:dyDescent="0.25">
      <c r="A30" s="306" t="s">
        <v>51</v>
      </c>
      <c r="B30" s="25"/>
      <c r="C30" s="117">
        <v>0</v>
      </c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323">
        <v>0</v>
      </c>
    </row>
    <row r="31" spans="1:27" hidden="1" x14ac:dyDescent="0.25">
      <c r="A31" s="341" t="s">
        <v>51</v>
      </c>
      <c r="B31" s="139">
        <v>0.03</v>
      </c>
      <c r="C31" s="36">
        <f>C30*'Ppto Ing'!D23*(1+$B$31)</f>
        <v>0</v>
      </c>
      <c r="D31" s="36">
        <f>D30*'Ppto Ing'!E23*(1+$B$31)</f>
        <v>0</v>
      </c>
      <c r="E31" s="36">
        <f>E30*'Ppto Ing'!F23*(1+$B$31)</f>
        <v>0</v>
      </c>
      <c r="F31" s="36">
        <f>F30*'Ppto Ing'!G23*(1+$B$31)</f>
        <v>0</v>
      </c>
      <c r="G31" s="36">
        <f>G30*'Ppto Ing'!H23*(1+$B$31)</f>
        <v>0</v>
      </c>
      <c r="H31" s="36">
        <f>H30*'Ppto Ing'!I23*(1+$B$31)</f>
        <v>0</v>
      </c>
      <c r="I31" s="36">
        <f>I30*'Ppto Ing'!J23*(1+$B$31)</f>
        <v>0</v>
      </c>
      <c r="J31" s="36">
        <f>J30*'Ppto Ing'!K23*(1+$B$31)</f>
        <v>0</v>
      </c>
      <c r="K31" s="36">
        <f>K30*'Ppto Ing'!L23*(1+$B$31)</f>
        <v>0</v>
      </c>
      <c r="L31" s="36">
        <f>L30*'Ppto Ing'!M23*(1+$B$31)</f>
        <v>0</v>
      </c>
      <c r="M31" s="36">
        <f>M30*'Ppto Ing'!N23*(1+$B$31)</f>
        <v>0</v>
      </c>
      <c r="N31" s="36">
        <f>N30*'Ppto Ing'!O23*(1+$B$31)</f>
        <v>0</v>
      </c>
      <c r="O31" s="36">
        <f>O30*'Ppto Ing'!P23*(1+$B$31)</f>
        <v>0</v>
      </c>
      <c r="P31" s="36">
        <f>P30*'Ppto Ing'!Q23*(1+$B$31)</f>
        <v>0</v>
      </c>
      <c r="Q31" s="36">
        <f>Q30*'Ppto Ing'!R23*(1+$B$31)</f>
        <v>0</v>
      </c>
      <c r="R31" s="36">
        <f>R30*'Ppto Ing'!S23*(1+$B$31)</f>
        <v>0</v>
      </c>
      <c r="S31" s="36">
        <f>S30*'Ppto Ing'!T23*(1+$B$31)</f>
        <v>0</v>
      </c>
      <c r="T31" s="36">
        <f>T30*'Ppto Ing'!U23*(1+$B$31)</f>
        <v>0</v>
      </c>
      <c r="U31" s="36">
        <f>U30*'Ppto Ing'!V23*(1+$B$31)</f>
        <v>0</v>
      </c>
      <c r="V31" s="36">
        <f>V30*'Ppto Ing'!W23*(1+$B$31)</f>
        <v>0</v>
      </c>
      <c r="W31" s="36">
        <f>W30*'Ppto Ing'!X23*(1+$B$31)</f>
        <v>0</v>
      </c>
      <c r="X31" s="36">
        <f>X30*'Ppto Ing'!Y23*(1+$B$31)</f>
        <v>0</v>
      </c>
      <c r="Y31" s="36">
        <f>Y30*'Ppto Ing'!Z23*(1+$B$31)</f>
        <v>0</v>
      </c>
      <c r="Z31" s="36">
        <f>Z30*'Ppto Ing'!AA23*(1+$B$31)</f>
        <v>0</v>
      </c>
      <c r="AA31" s="342">
        <f>AA30*'Ppto Ing'!AB23*(1+$B$31)</f>
        <v>0</v>
      </c>
    </row>
    <row r="32" spans="1:27" ht="16.5" hidden="1" thickBot="1" x14ac:dyDescent="0.3">
      <c r="A32" s="343" t="s">
        <v>260</v>
      </c>
      <c r="B32" s="344"/>
      <c r="C32" s="345">
        <f>C26+C29+C31</f>
        <v>0</v>
      </c>
      <c r="D32" s="345">
        <f>D26+D29+D31</f>
        <v>0</v>
      </c>
      <c r="E32" s="345">
        <f t="shared" ref="E32:I32" si="24">E26+E29+E31</f>
        <v>0</v>
      </c>
      <c r="F32" s="345">
        <f t="shared" si="24"/>
        <v>0</v>
      </c>
      <c r="G32" s="345">
        <f t="shared" si="24"/>
        <v>0</v>
      </c>
      <c r="H32" s="345">
        <f t="shared" si="24"/>
        <v>0</v>
      </c>
      <c r="I32" s="345">
        <f t="shared" si="24"/>
        <v>0</v>
      </c>
      <c r="J32" s="345">
        <f t="shared" ref="J32:Y32" si="25">J26+J29+J31</f>
        <v>0</v>
      </c>
      <c r="K32" s="345">
        <f t="shared" si="25"/>
        <v>0</v>
      </c>
      <c r="L32" s="345">
        <f t="shared" si="25"/>
        <v>0</v>
      </c>
      <c r="M32" s="345">
        <f t="shared" si="25"/>
        <v>0</v>
      </c>
      <c r="N32" s="345">
        <f t="shared" si="25"/>
        <v>0</v>
      </c>
      <c r="O32" s="345">
        <f t="shared" si="25"/>
        <v>0</v>
      </c>
      <c r="P32" s="345">
        <f t="shared" si="25"/>
        <v>0</v>
      </c>
      <c r="Q32" s="345">
        <f t="shared" si="25"/>
        <v>0</v>
      </c>
      <c r="R32" s="345">
        <f t="shared" si="25"/>
        <v>0</v>
      </c>
      <c r="S32" s="345">
        <f t="shared" si="25"/>
        <v>0</v>
      </c>
      <c r="T32" s="345">
        <f t="shared" si="25"/>
        <v>0</v>
      </c>
      <c r="U32" s="345">
        <f t="shared" si="25"/>
        <v>0</v>
      </c>
      <c r="V32" s="345">
        <f t="shared" si="25"/>
        <v>0</v>
      </c>
      <c r="W32" s="345">
        <f t="shared" si="25"/>
        <v>0</v>
      </c>
      <c r="X32" s="345">
        <f t="shared" si="25"/>
        <v>0</v>
      </c>
      <c r="Y32" s="345">
        <f t="shared" si="25"/>
        <v>0</v>
      </c>
      <c r="Z32" s="345">
        <f t="shared" ref="Z32:AA32" si="26">Z26+Z29+Z31</f>
        <v>0</v>
      </c>
      <c r="AA32" s="346">
        <f t="shared" si="26"/>
        <v>0</v>
      </c>
    </row>
    <row r="33" spans="1:27" hidden="1" x14ac:dyDescent="0.25">
      <c r="A33" s="336" t="s">
        <v>248</v>
      </c>
      <c r="B33" s="337"/>
      <c r="C33" s="303"/>
      <c r="D33" s="303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3"/>
      <c r="Z33" s="303"/>
      <c r="AA33" s="304"/>
    </row>
    <row r="34" spans="1:27" hidden="1" x14ac:dyDescent="0.25">
      <c r="A34" s="316" t="s">
        <v>131</v>
      </c>
      <c r="B34" s="17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96"/>
    </row>
    <row r="35" spans="1:27" hidden="1" x14ac:dyDescent="0.25">
      <c r="A35" s="338" t="s">
        <v>46</v>
      </c>
      <c r="B35" s="25"/>
      <c r="C35" s="117">
        <v>0</v>
      </c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323"/>
    </row>
    <row r="36" spans="1:27" ht="15.75" hidden="1" x14ac:dyDescent="0.25">
      <c r="A36" s="30" t="s">
        <v>47</v>
      </c>
      <c r="B36" s="31" t="s">
        <v>78</v>
      </c>
      <c r="C36" s="32"/>
      <c r="D36" s="117">
        <v>0</v>
      </c>
      <c r="E36" s="117">
        <v>0</v>
      </c>
      <c r="F36" s="117">
        <v>0</v>
      </c>
      <c r="G36" s="117">
        <v>0</v>
      </c>
      <c r="H36" s="117">
        <v>0</v>
      </c>
      <c r="I36" s="117">
        <v>0</v>
      </c>
      <c r="J36" s="117">
        <v>0</v>
      </c>
      <c r="K36" s="117">
        <v>0</v>
      </c>
      <c r="L36" s="117">
        <v>0</v>
      </c>
      <c r="M36" s="117">
        <v>0</v>
      </c>
      <c r="N36" s="117">
        <v>0</v>
      </c>
      <c r="O36" s="117">
        <v>0</v>
      </c>
      <c r="P36" s="117">
        <v>0</v>
      </c>
      <c r="Q36" s="117">
        <v>0</v>
      </c>
      <c r="R36" s="117">
        <v>0</v>
      </c>
      <c r="S36" s="117">
        <v>0</v>
      </c>
      <c r="T36" s="117">
        <v>0</v>
      </c>
      <c r="U36" s="117">
        <v>0</v>
      </c>
      <c r="V36" s="117">
        <v>0</v>
      </c>
      <c r="W36" s="117">
        <v>0</v>
      </c>
      <c r="X36" s="117">
        <v>0</v>
      </c>
      <c r="Y36" s="117">
        <v>0</v>
      </c>
      <c r="Z36" s="117">
        <v>0</v>
      </c>
      <c r="AA36" s="323">
        <v>0</v>
      </c>
    </row>
    <row r="37" spans="1:27" ht="16.5" hidden="1" thickBot="1" x14ac:dyDescent="0.3">
      <c r="A37" s="28"/>
      <c r="B37" s="29" t="s">
        <v>79</v>
      </c>
      <c r="C37" s="25"/>
      <c r="D37" s="113">
        <v>0</v>
      </c>
      <c r="E37" s="113">
        <v>0</v>
      </c>
      <c r="F37" s="113">
        <v>0</v>
      </c>
      <c r="G37" s="113">
        <v>0</v>
      </c>
      <c r="H37" s="113">
        <v>0</v>
      </c>
      <c r="I37" s="113">
        <v>0</v>
      </c>
      <c r="J37" s="113">
        <v>0</v>
      </c>
      <c r="K37" s="113">
        <v>0</v>
      </c>
      <c r="L37" s="113">
        <v>0</v>
      </c>
      <c r="M37" s="113">
        <v>0</v>
      </c>
      <c r="N37" s="113">
        <v>0</v>
      </c>
      <c r="O37" s="113">
        <v>0</v>
      </c>
      <c r="P37" s="113">
        <v>0</v>
      </c>
      <c r="Q37" s="113">
        <v>0</v>
      </c>
      <c r="R37" s="113">
        <v>0</v>
      </c>
      <c r="S37" s="113">
        <v>0</v>
      </c>
      <c r="T37" s="113">
        <v>0</v>
      </c>
      <c r="U37" s="113">
        <v>0</v>
      </c>
      <c r="V37" s="113">
        <v>0</v>
      </c>
      <c r="W37" s="113">
        <v>0</v>
      </c>
      <c r="X37" s="113">
        <v>0</v>
      </c>
      <c r="Y37" s="113">
        <v>0</v>
      </c>
      <c r="Z37" s="113">
        <v>0</v>
      </c>
      <c r="AA37" s="339">
        <v>0</v>
      </c>
    </row>
    <row r="38" spans="1:27" ht="15.75" hidden="1" x14ac:dyDescent="0.25">
      <c r="A38" s="324" t="s">
        <v>261</v>
      </c>
      <c r="B38" s="121">
        <v>2</v>
      </c>
      <c r="C38" s="34">
        <f>IF($B$38=1,(C35+C36),IF($B$38=2,(C35*(1+C37)),0))</f>
        <v>0</v>
      </c>
      <c r="D38" s="34">
        <f t="shared" ref="D38:I38" si="27">IF($B$38=1,(D35+D36),IF($B$38=2,(D35*(1+D37)),0))</f>
        <v>0</v>
      </c>
      <c r="E38" s="34">
        <f t="shared" si="27"/>
        <v>0</v>
      </c>
      <c r="F38" s="34">
        <f t="shared" si="27"/>
        <v>0</v>
      </c>
      <c r="G38" s="34">
        <f t="shared" si="27"/>
        <v>0</v>
      </c>
      <c r="H38" s="34">
        <f t="shared" si="27"/>
        <v>0</v>
      </c>
      <c r="I38" s="34">
        <f t="shared" si="27"/>
        <v>0</v>
      </c>
      <c r="J38" s="34">
        <f t="shared" ref="J38" si="28">IF($B$38=1,(J35+J36),IF($B$38=2,(J35*(1+J37)),0))</f>
        <v>0</v>
      </c>
      <c r="K38" s="34">
        <f t="shared" ref="K38" si="29">IF($B$38=1,(K35+K36),IF($B$38=2,(K35*(1+K37)),0))</f>
        <v>0</v>
      </c>
      <c r="L38" s="34">
        <f t="shared" ref="L38" si="30">IF($B$38=1,(L35+L36),IF($B$38=2,(L35*(1+L37)),0))</f>
        <v>0</v>
      </c>
      <c r="M38" s="34">
        <f t="shared" ref="M38" si="31">IF($B$38=1,(M35+M36),IF($B$38=2,(M35*(1+M37)),0))</f>
        <v>0</v>
      </c>
      <c r="N38" s="34">
        <f t="shared" ref="N38" si="32">IF($B$38=1,(N35+N36),IF($B$38=2,(N35*(1+N37)),0))</f>
        <v>0</v>
      </c>
      <c r="O38" s="34">
        <f t="shared" ref="O38" si="33">IF($B$38=1,(O35+O36),IF($B$38=2,(O35*(1+O37)),0))</f>
        <v>0</v>
      </c>
      <c r="P38" s="34">
        <f t="shared" ref="P38" si="34">IF($B$38=1,(P35+P36),IF($B$38=2,(P35*(1+P37)),0))</f>
        <v>0</v>
      </c>
      <c r="Q38" s="34">
        <f t="shared" ref="Q38" si="35">IF($B$38=1,(Q35+Q36),IF($B$38=2,(Q35*(1+Q37)),0))</f>
        <v>0</v>
      </c>
      <c r="R38" s="34">
        <f t="shared" ref="R38" si="36">IF($B$38=1,(R35+R36),IF($B$38=2,(R35*(1+R37)),0))</f>
        <v>0</v>
      </c>
      <c r="S38" s="34">
        <f t="shared" ref="S38" si="37">IF($B$38=1,(S35+S36),IF($B$38=2,(S35*(1+S37)),0))</f>
        <v>0</v>
      </c>
      <c r="T38" s="34">
        <f t="shared" ref="T38" si="38">IF($B$38=1,(T35+T36),IF($B$38=2,(T35*(1+T37)),0))</f>
        <v>0</v>
      </c>
      <c r="U38" s="34">
        <f t="shared" ref="U38" si="39">IF($B$38=1,(U35+U36),IF($B$38=2,(U35*(1+U37)),0))</f>
        <v>0</v>
      </c>
      <c r="V38" s="34">
        <f t="shared" ref="V38" si="40">IF($B$38=1,(V35+V36),IF($B$38=2,(V35*(1+V37)),0))</f>
        <v>0</v>
      </c>
      <c r="W38" s="34">
        <f t="shared" ref="W38" si="41">IF($B$38=1,(W35+W36),IF($B$38=2,(W35*(1+W37)),0))</f>
        <v>0</v>
      </c>
      <c r="X38" s="34">
        <f t="shared" ref="X38" si="42">IF($B$38=1,(X35+X36),IF($B$38=2,(X35*(1+X37)),0))</f>
        <v>0</v>
      </c>
      <c r="Y38" s="34">
        <f t="shared" ref="Y38" si="43">IF($B$38=1,(Y35+Y36),IF($B$38=2,(Y35*(1+Y37)),0))</f>
        <v>0</v>
      </c>
      <c r="Z38" s="34">
        <f t="shared" ref="Z38" si="44">IF($B$38=1,(Z35+Z36),IF($B$38=2,(Z35*(1+Z37)),0))</f>
        <v>0</v>
      </c>
      <c r="AA38" s="325">
        <f t="shared" ref="AA38" si="45">IF($B$38=1,(AA35+AA36),IF($B$38=2,(AA35*(1+AA37)),0))</f>
        <v>0</v>
      </c>
    </row>
    <row r="39" spans="1:27" hidden="1" x14ac:dyDescent="0.25">
      <c r="A39" s="340" t="s">
        <v>48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96"/>
    </row>
    <row r="40" spans="1:27" hidden="1" x14ac:dyDescent="0.25">
      <c r="A40" s="306" t="s">
        <v>49</v>
      </c>
      <c r="B40" s="25"/>
      <c r="C40" s="117">
        <v>0</v>
      </c>
      <c r="D40" s="117">
        <v>0</v>
      </c>
      <c r="E40" s="117">
        <v>0</v>
      </c>
      <c r="F40" s="117">
        <v>0</v>
      </c>
      <c r="G40" s="117">
        <v>0</v>
      </c>
      <c r="H40" s="117">
        <v>0</v>
      </c>
      <c r="I40" s="117">
        <v>0</v>
      </c>
      <c r="J40" s="117">
        <v>0</v>
      </c>
      <c r="K40" s="117">
        <v>0</v>
      </c>
      <c r="L40" s="117">
        <v>0</v>
      </c>
      <c r="M40" s="117">
        <v>0</v>
      </c>
      <c r="N40" s="117">
        <v>0</v>
      </c>
      <c r="O40" s="117">
        <v>0</v>
      </c>
      <c r="P40" s="117">
        <v>0</v>
      </c>
      <c r="Q40" s="117">
        <v>0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>
        <v>0</v>
      </c>
      <c r="X40" s="117">
        <v>0</v>
      </c>
      <c r="Y40" s="117">
        <v>0</v>
      </c>
      <c r="Z40" s="117">
        <v>0</v>
      </c>
      <c r="AA40" s="323">
        <v>0</v>
      </c>
    </row>
    <row r="41" spans="1:27" hidden="1" x14ac:dyDescent="0.25">
      <c r="A41" s="341" t="s">
        <v>142</v>
      </c>
      <c r="B41" s="139">
        <v>0.1</v>
      </c>
      <c r="C41" s="36">
        <f>C40*'Ppto Ing'!D38*(1+$B$41)</f>
        <v>0</v>
      </c>
      <c r="D41" s="36">
        <f>D40*'Ppto Ing'!E38*(1+$B$11)</f>
        <v>0</v>
      </c>
      <c r="E41" s="36">
        <f>E40*'Ppto Ing'!F38*(1+$B$11)</f>
        <v>0</v>
      </c>
      <c r="F41" s="36">
        <f>F40*'Ppto Ing'!G38*(1+$B$11)</f>
        <v>0</v>
      </c>
      <c r="G41" s="36">
        <f>G40*'Ppto Ing'!H38*(1+$B$11)</f>
        <v>0</v>
      </c>
      <c r="H41" s="36">
        <f>H40*'Ppto Ing'!I38*(1+$B$11)</f>
        <v>0</v>
      </c>
      <c r="I41" s="36">
        <f>I40*'Ppto Ing'!J38*(1+$B$11)</f>
        <v>0</v>
      </c>
      <c r="J41" s="36">
        <f>J40*'Ppto Ing'!K38*(1+$B$11)</f>
        <v>0</v>
      </c>
      <c r="K41" s="36">
        <f>K40*'Ppto Ing'!L38*(1+$B$11)</f>
        <v>0</v>
      </c>
      <c r="L41" s="36">
        <f>L40*'Ppto Ing'!M38*(1+$B$11)</f>
        <v>0</v>
      </c>
      <c r="M41" s="36">
        <f>M40*'Ppto Ing'!N38*(1+$B$11)</f>
        <v>0</v>
      </c>
      <c r="N41" s="36">
        <f>N40*'Ppto Ing'!O38*(1+$B$11)</f>
        <v>0</v>
      </c>
      <c r="O41" s="36">
        <f>O40*'Ppto Ing'!P38*(1+$B$11)</f>
        <v>0</v>
      </c>
      <c r="P41" s="36">
        <f>P40*'Ppto Ing'!Q38*(1+$B$11)</f>
        <v>0</v>
      </c>
      <c r="Q41" s="36">
        <f>Q40*'Ppto Ing'!R38*(1+$B$11)</f>
        <v>0</v>
      </c>
      <c r="R41" s="36">
        <f>R40*'Ppto Ing'!S38*(1+$B$11)</f>
        <v>0</v>
      </c>
      <c r="S41" s="36">
        <f>S40*'Ppto Ing'!T38*(1+$B$11)</f>
        <v>0</v>
      </c>
      <c r="T41" s="36">
        <f>T40*'Ppto Ing'!U38*(1+$B$11)</f>
        <v>0</v>
      </c>
      <c r="U41" s="36">
        <f>U40*'Ppto Ing'!V38*(1+$B$11)</f>
        <v>0</v>
      </c>
      <c r="V41" s="36">
        <f>V40*'Ppto Ing'!W38*(1+$B$11)</f>
        <v>0</v>
      </c>
      <c r="W41" s="36">
        <f>W40*'Ppto Ing'!X38*(1+$B$11)</f>
        <v>0</v>
      </c>
      <c r="X41" s="36">
        <f>X40*'Ppto Ing'!Y38*(1+$B$11)</f>
        <v>0</v>
      </c>
      <c r="Y41" s="36">
        <f>Y40*'Ppto Ing'!Z38*(1+$B$11)</f>
        <v>0</v>
      </c>
      <c r="Z41" s="36">
        <f>Z40*'Ppto Ing'!AA38*(1+$B$11)</f>
        <v>0</v>
      </c>
      <c r="AA41" s="342">
        <f>AA40*'Ppto Ing'!AB38*(1+$B$11)</f>
        <v>0</v>
      </c>
    </row>
    <row r="42" spans="1:27" hidden="1" x14ac:dyDescent="0.25">
      <c r="A42" s="306" t="s">
        <v>50</v>
      </c>
      <c r="B42" s="25"/>
      <c r="C42" s="117">
        <v>0</v>
      </c>
      <c r="D42" s="117">
        <v>0</v>
      </c>
      <c r="E42" s="117">
        <v>0</v>
      </c>
      <c r="F42" s="117">
        <v>0</v>
      </c>
      <c r="G42" s="117">
        <v>0</v>
      </c>
      <c r="H42" s="117">
        <v>0</v>
      </c>
      <c r="I42" s="117">
        <v>0</v>
      </c>
      <c r="J42" s="117">
        <v>0</v>
      </c>
      <c r="K42" s="117">
        <v>0</v>
      </c>
      <c r="L42" s="117">
        <v>0</v>
      </c>
      <c r="M42" s="117">
        <v>0</v>
      </c>
      <c r="N42" s="117">
        <v>0</v>
      </c>
      <c r="O42" s="117">
        <v>0</v>
      </c>
      <c r="P42" s="117">
        <v>0</v>
      </c>
      <c r="Q42" s="117">
        <v>0</v>
      </c>
      <c r="R42" s="117">
        <v>0</v>
      </c>
      <c r="S42" s="117">
        <v>0</v>
      </c>
      <c r="T42" s="117">
        <v>0</v>
      </c>
      <c r="U42" s="117">
        <v>0</v>
      </c>
      <c r="V42" s="117">
        <v>0</v>
      </c>
      <c r="W42" s="117">
        <v>0</v>
      </c>
      <c r="X42" s="117">
        <v>0</v>
      </c>
      <c r="Y42" s="117">
        <v>0</v>
      </c>
      <c r="Z42" s="117">
        <v>0</v>
      </c>
      <c r="AA42" s="323">
        <v>0</v>
      </c>
    </row>
    <row r="43" spans="1:27" hidden="1" x14ac:dyDescent="0.25">
      <c r="A43" s="306" t="s">
        <v>101</v>
      </c>
      <c r="B43" s="25"/>
      <c r="C43" s="113"/>
      <c r="D43" s="113"/>
      <c r="E43" s="113"/>
      <c r="F43" s="113">
        <v>0</v>
      </c>
      <c r="G43" s="113">
        <v>0</v>
      </c>
      <c r="H43" s="113">
        <v>0</v>
      </c>
      <c r="I43" s="113">
        <v>0</v>
      </c>
      <c r="J43" s="113">
        <v>0</v>
      </c>
      <c r="K43" s="113">
        <v>0</v>
      </c>
      <c r="L43" s="113">
        <v>0</v>
      </c>
      <c r="M43" s="113">
        <v>0</v>
      </c>
      <c r="N43" s="113">
        <v>0</v>
      </c>
      <c r="O43" s="113">
        <v>0</v>
      </c>
      <c r="P43" s="113">
        <v>0</v>
      </c>
      <c r="Q43" s="113">
        <v>0</v>
      </c>
      <c r="R43" s="113">
        <v>0</v>
      </c>
      <c r="S43" s="113">
        <v>0</v>
      </c>
      <c r="T43" s="113">
        <v>0</v>
      </c>
      <c r="U43" s="113">
        <v>0</v>
      </c>
      <c r="V43" s="113">
        <v>0</v>
      </c>
      <c r="W43" s="113">
        <v>0</v>
      </c>
      <c r="X43" s="113">
        <v>0</v>
      </c>
      <c r="Y43" s="113">
        <v>0</v>
      </c>
      <c r="Z43" s="113">
        <v>0</v>
      </c>
      <c r="AA43" s="339">
        <v>0</v>
      </c>
    </row>
    <row r="44" spans="1:27" hidden="1" x14ac:dyDescent="0.25">
      <c r="A44" s="341" t="s">
        <v>141</v>
      </c>
      <c r="B44" s="139">
        <v>0.05</v>
      </c>
      <c r="C44" s="36">
        <f>C42*'Ppto Ing'!D38*(1+C43)*(1+$B$44)</f>
        <v>0</v>
      </c>
      <c r="D44" s="36">
        <f>D42*'Ppto Ing'!E38*(1+D43)*(1+$B$14)</f>
        <v>0</v>
      </c>
      <c r="E44" s="36">
        <f>E42*'Ppto Ing'!F38*(1+E43)*(1+$B$14)</f>
        <v>0</v>
      </c>
      <c r="F44" s="36">
        <f>F42*'Ppto Ing'!G38*(1+F43)*(1+$B$14)</f>
        <v>0</v>
      </c>
      <c r="G44" s="36">
        <f>G42*'Ppto Ing'!H38*(1+G43)*(1+$B$14)</f>
        <v>0</v>
      </c>
      <c r="H44" s="36">
        <f>H42*'Ppto Ing'!I38*(1+H43)*(1+$B$14)</f>
        <v>0</v>
      </c>
      <c r="I44" s="36">
        <f>I42*'Ppto Ing'!J38*(1+I43)*(1+$B$14)</f>
        <v>0</v>
      </c>
      <c r="J44" s="36">
        <f>J42*'Ppto Ing'!K38*(1+J43)*(1+$B$14)</f>
        <v>0</v>
      </c>
      <c r="K44" s="36">
        <f>K42*'Ppto Ing'!L38*(1+K43)*(1+$B$14)</f>
        <v>0</v>
      </c>
      <c r="L44" s="36">
        <f>L42*'Ppto Ing'!M38*(1+L43)*(1+$B$14)</f>
        <v>0</v>
      </c>
      <c r="M44" s="36">
        <f>M42*'Ppto Ing'!N38*(1+M43)*(1+$B$14)</f>
        <v>0</v>
      </c>
      <c r="N44" s="36">
        <f>N42*'Ppto Ing'!O38*(1+N43)*(1+$B$14)</f>
        <v>0</v>
      </c>
      <c r="O44" s="36">
        <f>O42*'Ppto Ing'!P38*(1+O43)*(1+$B$14)</f>
        <v>0</v>
      </c>
      <c r="P44" s="36">
        <f>P42*'Ppto Ing'!Q38*(1+P43)*(1+$B$14)</f>
        <v>0</v>
      </c>
      <c r="Q44" s="36">
        <f>Q42*'Ppto Ing'!R38*(1+Q43)*(1+$B$14)</f>
        <v>0</v>
      </c>
      <c r="R44" s="36">
        <f>R42*'Ppto Ing'!S38*(1+R43)*(1+$B$14)</f>
        <v>0</v>
      </c>
      <c r="S44" s="36">
        <f>S42*'Ppto Ing'!T38*(1+S43)*(1+$B$14)</f>
        <v>0</v>
      </c>
      <c r="T44" s="36">
        <f>T42*'Ppto Ing'!U38*(1+T43)*(1+$B$14)</f>
        <v>0</v>
      </c>
      <c r="U44" s="36">
        <f>U42*'Ppto Ing'!V38*(1+U43)*(1+$B$14)</f>
        <v>0</v>
      </c>
      <c r="V44" s="36">
        <f>V42*'Ppto Ing'!W38*(1+V43)*(1+$B$14)</f>
        <v>0</v>
      </c>
      <c r="W44" s="36">
        <f>W42*'Ppto Ing'!X38*(1+W43)*(1+$B$14)</f>
        <v>0</v>
      </c>
      <c r="X44" s="36">
        <f>X42*'Ppto Ing'!Y38*(1+X43)*(1+$B$14)</f>
        <v>0</v>
      </c>
      <c r="Y44" s="36">
        <f>Y42*'Ppto Ing'!Z38*(1+Y43)*(1+$B$14)</f>
        <v>0</v>
      </c>
      <c r="Z44" s="36">
        <f>Z42*'Ppto Ing'!AA38*(1+Z43)*(1+$B$14)</f>
        <v>0</v>
      </c>
      <c r="AA44" s="342">
        <f>AA42*'Ppto Ing'!AB38*(1+AA43)*(1+$B$14)</f>
        <v>0</v>
      </c>
    </row>
    <row r="45" spans="1:27" hidden="1" x14ac:dyDescent="0.25">
      <c r="A45" s="306" t="s">
        <v>51</v>
      </c>
      <c r="B45" s="25"/>
      <c r="C45" s="117">
        <v>0</v>
      </c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323">
        <v>0</v>
      </c>
    </row>
    <row r="46" spans="1:27" hidden="1" x14ac:dyDescent="0.25">
      <c r="A46" s="341" t="s">
        <v>51</v>
      </c>
      <c r="B46" s="139">
        <v>0.03</v>
      </c>
      <c r="C46" s="36">
        <f>C45*'Ppto Ing'!D38*(1+$B$46)</f>
        <v>0</v>
      </c>
      <c r="D46" s="36">
        <f>D45*'Ppto Ing'!E38*(1+$B$16)</f>
        <v>0</v>
      </c>
      <c r="E46" s="36">
        <f>E45*'Ppto Ing'!F38*(1+$B$16)</f>
        <v>0</v>
      </c>
      <c r="F46" s="36">
        <f>F45*'Ppto Ing'!G38*(1+$B$16)</f>
        <v>0</v>
      </c>
      <c r="G46" s="36">
        <f>G45*'Ppto Ing'!H38*(1+$B$16)</f>
        <v>0</v>
      </c>
      <c r="H46" s="36">
        <f>H45*'Ppto Ing'!I38*(1+$B$16)</f>
        <v>0</v>
      </c>
      <c r="I46" s="36">
        <f>I45*'Ppto Ing'!J38*(1+$B$16)</f>
        <v>0</v>
      </c>
      <c r="J46" s="36">
        <f>J45*'Ppto Ing'!K38*(1+$B$16)</f>
        <v>0</v>
      </c>
      <c r="K46" s="36">
        <f>K45*'Ppto Ing'!L38*(1+$B$16)</f>
        <v>0</v>
      </c>
      <c r="L46" s="36">
        <f>L45*'Ppto Ing'!M38*(1+$B$16)</f>
        <v>0</v>
      </c>
      <c r="M46" s="36">
        <f>M45*'Ppto Ing'!N38*(1+$B$16)</f>
        <v>0</v>
      </c>
      <c r="N46" s="36">
        <f>N45*'Ppto Ing'!O38*(1+$B$16)</f>
        <v>0</v>
      </c>
      <c r="O46" s="36">
        <f>O45*'Ppto Ing'!P38*(1+$B$16)</f>
        <v>0</v>
      </c>
      <c r="P46" s="36">
        <f>P45*'Ppto Ing'!Q38*(1+$B$16)</f>
        <v>0</v>
      </c>
      <c r="Q46" s="36">
        <f>Q45*'Ppto Ing'!R38*(1+$B$16)</f>
        <v>0</v>
      </c>
      <c r="R46" s="36">
        <f>R45*'Ppto Ing'!S38*(1+$B$16)</f>
        <v>0</v>
      </c>
      <c r="S46" s="36">
        <f>S45*'Ppto Ing'!T38*(1+$B$16)</f>
        <v>0</v>
      </c>
      <c r="T46" s="36">
        <f>T45*'Ppto Ing'!U38*(1+$B$16)</f>
        <v>0</v>
      </c>
      <c r="U46" s="36">
        <f>U45*'Ppto Ing'!V38*(1+$B$16)</f>
        <v>0</v>
      </c>
      <c r="V46" s="36">
        <f>V45*'Ppto Ing'!W38*(1+$B$16)</f>
        <v>0</v>
      </c>
      <c r="W46" s="36">
        <f>W45*'Ppto Ing'!X38*(1+$B$16)</f>
        <v>0</v>
      </c>
      <c r="X46" s="36">
        <f>X45*'Ppto Ing'!Y38*(1+$B$16)</f>
        <v>0</v>
      </c>
      <c r="Y46" s="36">
        <f>Y45*'Ppto Ing'!Z38*(1+$B$16)</f>
        <v>0</v>
      </c>
      <c r="Z46" s="36">
        <f>Z45*'Ppto Ing'!AA38*(1+$B$16)</f>
        <v>0</v>
      </c>
      <c r="AA46" s="342">
        <f>AA45*'Ppto Ing'!AB38*(1+$B$16)</f>
        <v>0</v>
      </c>
    </row>
    <row r="47" spans="1:27" ht="16.5" hidden="1" thickBot="1" x14ac:dyDescent="0.3">
      <c r="A47" s="343" t="s">
        <v>262</v>
      </c>
      <c r="B47" s="344"/>
      <c r="C47" s="345">
        <f>C41+C44+C46</f>
        <v>0</v>
      </c>
      <c r="D47" s="345">
        <f>D41+D44+D46</f>
        <v>0</v>
      </c>
      <c r="E47" s="345">
        <f t="shared" ref="E47:I47" si="46">E41+E44+E46</f>
        <v>0</v>
      </c>
      <c r="F47" s="345">
        <f t="shared" si="46"/>
        <v>0</v>
      </c>
      <c r="G47" s="345">
        <f t="shared" si="46"/>
        <v>0</v>
      </c>
      <c r="H47" s="345">
        <f t="shared" si="46"/>
        <v>0</v>
      </c>
      <c r="I47" s="345">
        <f t="shared" si="46"/>
        <v>0</v>
      </c>
      <c r="J47" s="345">
        <f t="shared" ref="J47:Y47" si="47">J41+J44+J46</f>
        <v>0</v>
      </c>
      <c r="K47" s="345">
        <f t="shared" si="47"/>
        <v>0</v>
      </c>
      <c r="L47" s="345">
        <f t="shared" si="47"/>
        <v>0</v>
      </c>
      <c r="M47" s="345">
        <f t="shared" si="47"/>
        <v>0</v>
      </c>
      <c r="N47" s="345">
        <f t="shared" si="47"/>
        <v>0</v>
      </c>
      <c r="O47" s="345">
        <f t="shared" si="47"/>
        <v>0</v>
      </c>
      <c r="P47" s="345">
        <f t="shared" si="47"/>
        <v>0</v>
      </c>
      <c r="Q47" s="345">
        <f t="shared" si="47"/>
        <v>0</v>
      </c>
      <c r="R47" s="345">
        <f t="shared" si="47"/>
        <v>0</v>
      </c>
      <c r="S47" s="345">
        <f t="shared" si="47"/>
        <v>0</v>
      </c>
      <c r="T47" s="345">
        <f t="shared" si="47"/>
        <v>0</v>
      </c>
      <c r="U47" s="345">
        <f t="shared" si="47"/>
        <v>0</v>
      </c>
      <c r="V47" s="345">
        <f t="shared" si="47"/>
        <v>0</v>
      </c>
      <c r="W47" s="345">
        <f t="shared" si="47"/>
        <v>0</v>
      </c>
      <c r="X47" s="345">
        <f t="shared" si="47"/>
        <v>0</v>
      </c>
      <c r="Y47" s="345">
        <f t="shared" si="47"/>
        <v>0</v>
      </c>
      <c r="Z47" s="345">
        <f t="shared" ref="Z47:AA47" si="48">Z41+Z44+Z46</f>
        <v>0</v>
      </c>
      <c r="AA47" s="346">
        <f t="shared" si="48"/>
        <v>0</v>
      </c>
    </row>
    <row r="48" spans="1:27" hidden="1" x14ac:dyDescent="0.25">
      <c r="A48" s="336" t="s">
        <v>249</v>
      </c>
      <c r="B48" s="337"/>
      <c r="C48" s="303"/>
      <c r="D48" s="303"/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03"/>
      <c r="S48" s="303"/>
      <c r="T48" s="303"/>
      <c r="U48" s="303"/>
      <c r="V48" s="303"/>
      <c r="W48" s="303"/>
      <c r="X48" s="303"/>
      <c r="Y48" s="303"/>
      <c r="Z48" s="303"/>
      <c r="AA48" s="304"/>
    </row>
    <row r="49" spans="1:27" hidden="1" x14ac:dyDescent="0.25">
      <c r="A49" s="316" t="s">
        <v>131</v>
      </c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96"/>
    </row>
    <row r="50" spans="1:27" hidden="1" x14ac:dyDescent="0.25">
      <c r="A50" s="338" t="s">
        <v>46</v>
      </c>
      <c r="B50" s="25"/>
      <c r="C50" s="117">
        <v>0</v>
      </c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323"/>
    </row>
    <row r="51" spans="1:27" ht="15.75" hidden="1" x14ac:dyDescent="0.25">
      <c r="A51" s="30" t="s">
        <v>47</v>
      </c>
      <c r="B51" s="31" t="s">
        <v>78</v>
      </c>
      <c r="C51" s="32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323">
        <v>0</v>
      </c>
    </row>
    <row r="52" spans="1:27" ht="16.5" hidden="1" thickBot="1" x14ac:dyDescent="0.3">
      <c r="A52" s="28"/>
      <c r="B52" s="29" t="s">
        <v>79</v>
      </c>
      <c r="C52" s="25"/>
      <c r="D52" s="113">
        <v>0</v>
      </c>
      <c r="E52" s="113">
        <v>0</v>
      </c>
      <c r="F52" s="113">
        <v>0</v>
      </c>
      <c r="G52" s="113">
        <v>0</v>
      </c>
      <c r="H52" s="113">
        <v>0</v>
      </c>
      <c r="I52" s="113">
        <v>0</v>
      </c>
      <c r="J52" s="113">
        <v>0</v>
      </c>
      <c r="K52" s="113">
        <v>0</v>
      </c>
      <c r="L52" s="113">
        <v>0</v>
      </c>
      <c r="M52" s="113">
        <v>0</v>
      </c>
      <c r="N52" s="113">
        <v>0</v>
      </c>
      <c r="O52" s="113">
        <v>0</v>
      </c>
      <c r="P52" s="113">
        <v>0</v>
      </c>
      <c r="Q52" s="113">
        <v>0</v>
      </c>
      <c r="R52" s="113">
        <v>0</v>
      </c>
      <c r="S52" s="113">
        <v>0</v>
      </c>
      <c r="T52" s="113">
        <v>0</v>
      </c>
      <c r="U52" s="113">
        <v>0</v>
      </c>
      <c r="V52" s="113">
        <v>0</v>
      </c>
      <c r="W52" s="113">
        <v>0</v>
      </c>
      <c r="X52" s="113">
        <v>0</v>
      </c>
      <c r="Y52" s="113">
        <v>0</v>
      </c>
      <c r="Z52" s="113">
        <v>0</v>
      </c>
      <c r="AA52" s="339">
        <v>0</v>
      </c>
    </row>
    <row r="53" spans="1:27" ht="15.75" hidden="1" x14ac:dyDescent="0.25">
      <c r="A53" s="324" t="s">
        <v>263</v>
      </c>
      <c r="B53" s="121">
        <v>2</v>
      </c>
      <c r="C53" s="34">
        <f>IF($B$53=1,(C50+C51),IF($B$53=2,(C50*(1+C52)),0))</f>
        <v>0</v>
      </c>
      <c r="D53" s="34">
        <f t="shared" ref="D53:I53" si="49">IF($B$53=1,(D50+D51),IF($B$53=2,(D50*(1+D52)),0))</f>
        <v>0</v>
      </c>
      <c r="E53" s="34">
        <f t="shared" si="49"/>
        <v>0</v>
      </c>
      <c r="F53" s="34">
        <f t="shared" si="49"/>
        <v>0</v>
      </c>
      <c r="G53" s="34">
        <f t="shared" si="49"/>
        <v>0</v>
      </c>
      <c r="H53" s="34">
        <f t="shared" si="49"/>
        <v>0</v>
      </c>
      <c r="I53" s="34">
        <f t="shared" si="49"/>
        <v>0</v>
      </c>
      <c r="J53" s="34">
        <f t="shared" ref="J53" si="50">IF($B$53=1,(J50+J51),IF($B$53=2,(J50*(1+J52)),0))</f>
        <v>0</v>
      </c>
      <c r="K53" s="34">
        <f t="shared" ref="K53" si="51">IF($B$53=1,(K50+K51),IF($B$53=2,(K50*(1+K52)),0))</f>
        <v>0</v>
      </c>
      <c r="L53" s="34">
        <f t="shared" ref="L53" si="52">IF($B$53=1,(L50+L51),IF($B$53=2,(L50*(1+L52)),0))</f>
        <v>0</v>
      </c>
      <c r="M53" s="34">
        <f t="shared" ref="M53" si="53">IF($B$53=1,(M50+M51),IF($B$53=2,(M50*(1+M52)),0))</f>
        <v>0</v>
      </c>
      <c r="N53" s="34">
        <f t="shared" ref="N53" si="54">IF($B$53=1,(N50+N51),IF($B$53=2,(N50*(1+N52)),0))</f>
        <v>0</v>
      </c>
      <c r="O53" s="34">
        <f t="shared" ref="O53" si="55">IF($B$53=1,(O50+O51),IF($B$53=2,(O50*(1+O52)),0))</f>
        <v>0</v>
      </c>
      <c r="P53" s="34">
        <f t="shared" ref="P53" si="56">IF($B$53=1,(P50+P51),IF($B$53=2,(P50*(1+P52)),0))</f>
        <v>0</v>
      </c>
      <c r="Q53" s="34">
        <f t="shared" ref="Q53" si="57">IF($B$53=1,(Q50+Q51),IF($B$53=2,(Q50*(1+Q52)),0))</f>
        <v>0</v>
      </c>
      <c r="R53" s="34">
        <f t="shared" ref="R53" si="58">IF($B$53=1,(R50+R51),IF($B$53=2,(R50*(1+R52)),0))</f>
        <v>0</v>
      </c>
      <c r="S53" s="34">
        <f t="shared" ref="S53" si="59">IF($B$53=1,(S50+S51),IF($B$53=2,(S50*(1+S52)),0))</f>
        <v>0</v>
      </c>
      <c r="T53" s="34">
        <f t="shared" ref="T53" si="60">IF($B$53=1,(T50+T51),IF($B$53=2,(T50*(1+T52)),0))</f>
        <v>0</v>
      </c>
      <c r="U53" s="34">
        <f t="shared" ref="U53" si="61">IF($B$53=1,(U50+U51),IF($B$53=2,(U50*(1+U52)),0))</f>
        <v>0</v>
      </c>
      <c r="V53" s="34">
        <f t="shared" ref="V53" si="62">IF($B$53=1,(V50+V51),IF($B$53=2,(V50*(1+V52)),0))</f>
        <v>0</v>
      </c>
      <c r="W53" s="34">
        <f t="shared" ref="W53" si="63">IF($B$53=1,(W50+W51),IF($B$53=2,(W50*(1+W52)),0))</f>
        <v>0</v>
      </c>
      <c r="X53" s="34">
        <f t="shared" ref="X53" si="64">IF($B$53=1,(X50+X51),IF($B$53=2,(X50*(1+X52)),0))</f>
        <v>0</v>
      </c>
      <c r="Y53" s="34">
        <f t="shared" ref="Y53" si="65">IF($B$53=1,(Y50+Y51),IF($B$53=2,(Y50*(1+Y52)),0))</f>
        <v>0</v>
      </c>
      <c r="Z53" s="34">
        <f t="shared" ref="Z53" si="66">IF($B$53=1,(Z50+Z51),IF($B$53=2,(Z50*(1+Z52)),0))</f>
        <v>0</v>
      </c>
      <c r="AA53" s="325">
        <f t="shared" ref="AA53" si="67">IF($B$53=1,(AA50+AA51),IF($B$53=2,(AA50*(1+AA52)),0))</f>
        <v>0</v>
      </c>
    </row>
    <row r="54" spans="1:27" hidden="1" x14ac:dyDescent="0.25">
      <c r="A54" s="340" t="s">
        <v>48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96"/>
    </row>
    <row r="55" spans="1:27" hidden="1" x14ac:dyDescent="0.25">
      <c r="A55" s="306" t="s">
        <v>49</v>
      </c>
      <c r="B55" s="25"/>
      <c r="C55" s="117">
        <v>0</v>
      </c>
      <c r="D55" s="117">
        <v>0</v>
      </c>
      <c r="E55" s="117">
        <v>0</v>
      </c>
      <c r="F55" s="117">
        <v>0</v>
      </c>
      <c r="G55" s="117">
        <v>0</v>
      </c>
      <c r="H55" s="117">
        <v>0</v>
      </c>
      <c r="I55" s="117">
        <v>0</v>
      </c>
      <c r="J55" s="117">
        <v>0</v>
      </c>
      <c r="K55" s="117">
        <v>0</v>
      </c>
      <c r="L55" s="117">
        <v>0</v>
      </c>
      <c r="M55" s="117">
        <v>0</v>
      </c>
      <c r="N55" s="117">
        <v>0</v>
      </c>
      <c r="O55" s="117">
        <v>0</v>
      </c>
      <c r="P55" s="117">
        <v>0</v>
      </c>
      <c r="Q55" s="117">
        <v>0</v>
      </c>
      <c r="R55" s="117">
        <v>0</v>
      </c>
      <c r="S55" s="117">
        <v>0</v>
      </c>
      <c r="T55" s="117">
        <v>0</v>
      </c>
      <c r="U55" s="117">
        <v>0</v>
      </c>
      <c r="V55" s="117">
        <v>0</v>
      </c>
      <c r="W55" s="117">
        <v>0</v>
      </c>
      <c r="X55" s="117">
        <v>0</v>
      </c>
      <c r="Y55" s="117">
        <v>0</v>
      </c>
      <c r="Z55" s="117">
        <v>0</v>
      </c>
      <c r="AA55" s="323">
        <v>0</v>
      </c>
    </row>
    <row r="56" spans="1:27" hidden="1" x14ac:dyDescent="0.25">
      <c r="A56" s="341" t="s">
        <v>142</v>
      </c>
      <c r="B56" s="139">
        <v>0.1</v>
      </c>
      <c r="C56" s="36">
        <f>C55*'Ppto Ing'!D53*(1+$B$56)</f>
        <v>0</v>
      </c>
      <c r="D56" s="36">
        <f>D55*'Ppto Ing'!E53*(1+$B$11)</f>
        <v>0</v>
      </c>
      <c r="E56" s="36">
        <f>E55*'Ppto Ing'!F53*(1+$B$11)</f>
        <v>0</v>
      </c>
      <c r="F56" s="36">
        <f>F55*'Ppto Ing'!G53*(1+$B$11)</f>
        <v>0</v>
      </c>
      <c r="G56" s="36">
        <f>G55*'Ppto Ing'!H53*(1+$B$11)</f>
        <v>0</v>
      </c>
      <c r="H56" s="36">
        <f>H55*'Ppto Ing'!I53*(1+$B$11)</f>
        <v>0</v>
      </c>
      <c r="I56" s="36">
        <f>I55*'Ppto Ing'!J53*(1+$B$11)</f>
        <v>0</v>
      </c>
      <c r="J56" s="36">
        <f>J55*'Ppto Ing'!K53*(1+$B$11)</f>
        <v>0</v>
      </c>
      <c r="K56" s="36">
        <f>K55*'Ppto Ing'!L53*(1+$B$11)</f>
        <v>0</v>
      </c>
      <c r="L56" s="36">
        <f>L55*'Ppto Ing'!M53*(1+$B$11)</f>
        <v>0</v>
      </c>
      <c r="M56" s="36">
        <f>M55*'Ppto Ing'!N53*(1+$B$11)</f>
        <v>0</v>
      </c>
      <c r="N56" s="36">
        <f>N55*'Ppto Ing'!O53*(1+$B$11)</f>
        <v>0</v>
      </c>
      <c r="O56" s="36">
        <f>O55*'Ppto Ing'!P53*(1+$B$11)</f>
        <v>0</v>
      </c>
      <c r="P56" s="36">
        <f>P55*'Ppto Ing'!Q53*(1+$B$11)</f>
        <v>0</v>
      </c>
      <c r="Q56" s="36">
        <f>Q55*'Ppto Ing'!R53*(1+$B$11)</f>
        <v>0</v>
      </c>
      <c r="R56" s="36">
        <f>R55*'Ppto Ing'!S53*(1+$B$11)</f>
        <v>0</v>
      </c>
      <c r="S56" s="36">
        <f>S55*'Ppto Ing'!T53*(1+$B$11)</f>
        <v>0</v>
      </c>
      <c r="T56" s="36">
        <f>T55*'Ppto Ing'!U53*(1+$B$11)</f>
        <v>0</v>
      </c>
      <c r="U56" s="36">
        <f>U55*'Ppto Ing'!V53*(1+$B$11)</f>
        <v>0</v>
      </c>
      <c r="V56" s="36">
        <f>V55*'Ppto Ing'!W53*(1+$B$11)</f>
        <v>0</v>
      </c>
      <c r="W56" s="36">
        <f>W55*'Ppto Ing'!X53*(1+$B$11)</f>
        <v>0</v>
      </c>
      <c r="X56" s="36">
        <f>X55*'Ppto Ing'!Y53*(1+$B$11)</f>
        <v>0</v>
      </c>
      <c r="Y56" s="36">
        <f>Y55*'Ppto Ing'!Z53*(1+$B$11)</f>
        <v>0</v>
      </c>
      <c r="Z56" s="36">
        <f>Z55*'Ppto Ing'!AA53*(1+$B$11)</f>
        <v>0</v>
      </c>
      <c r="AA56" s="342">
        <f>AA55*'Ppto Ing'!AB53*(1+$B$11)</f>
        <v>0</v>
      </c>
    </row>
    <row r="57" spans="1:27" hidden="1" x14ac:dyDescent="0.25">
      <c r="A57" s="306" t="s">
        <v>50</v>
      </c>
      <c r="B57" s="25"/>
      <c r="C57" s="117">
        <v>0</v>
      </c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323">
        <v>0</v>
      </c>
    </row>
    <row r="58" spans="1:27" hidden="1" x14ac:dyDescent="0.25">
      <c r="A58" s="306" t="s">
        <v>101</v>
      </c>
      <c r="B58" s="25"/>
      <c r="C58" s="113"/>
      <c r="D58" s="113"/>
      <c r="E58" s="113"/>
      <c r="F58" s="113">
        <v>0</v>
      </c>
      <c r="G58" s="113">
        <v>0</v>
      </c>
      <c r="H58" s="113">
        <v>0</v>
      </c>
      <c r="I58" s="113">
        <v>0</v>
      </c>
      <c r="J58" s="113">
        <v>0</v>
      </c>
      <c r="K58" s="113">
        <v>0</v>
      </c>
      <c r="L58" s="113">
        <v>0</v>
      </c>
      <c r="M58" s="113">
        <v>0</v>
      </c>
      <c r="N58" s="113">
        <v>0</v>
      </c>
      <c r="O58" s="113">
        <v>0</v>
      </c>
      <c r="P58" s="113">
        <v>0</v>
      </c>
      <c r="Q58" s="113">
        <v>0</v>
      </c>
      <c r="R58" s="113">
        <v>0</v>
      </c>
      <c r="S58" s="113">
        <v>0</v>
      </c>
      <c r="T58" s="113">
        <v>0</v>
      </c>
      <c r="U58" s="113">
        <v>0</v>
      </c>
      <c r="V58" s="113">
        <v>0</v>
      </c>
      <c r="W58" s="113">
        <v>0</v>
      </c>
      <c r="X58" s="113">
        <v>0</v>
      </c>
      <c r="Y58" s="113">
        <v>0</v>
      </c>
      <c r="Z58" s="113">
        <v>0</v>
      </c>
      <c r="AA58" s="339">
        <v>0</v>
      </c>
    </row>
    <row r="59" spans="1:27" hidden="1" x14ac:dyDescent="0.25">
      <c r="A59" s="341" t="s">
        <v>141</v>
      </c>
      <c r="B59" s="139">
        <v>0.05</v>
      </c>
      <c r="C59" s="36">
        <f>C57*'Ppto Ing'!D53*(1+C58)*(1+$B$59)</f>
        <v>0</v>
      </c>
      <c r="D59" s="36">
        <f>D57*'Ppto Ing'!E53*(1+D58)*(1+$B$14)</f>
        <v>0</v>
      </c>
      <c r="E59" s="36">
        <f>E57*'Ppto Ing'!F53*(1+E58)*(1+$B$14)</f>
        <v>0</v>
      </c>
      <c r="F59" s="36">
        <f>F57*'Ppto Ing'!G53*(1+F58)*(1+$B$14)</f>
        <v>0</v>
      </c>
      <c r="G59" s="36">
        <f>G57*'Ppto Ing'!H53*(1+G58)*(1+$B$14)</f>
        <v>0</v>
      </c>
      <c r="H59" s="36">
        <f>H57*'Ppto Ing'!I53*(1+H58)*(1+$B$14)</f>
        <v>0</v>
      </c>
      <c r="I59" s="36">
        <f>I57*'Ppto Ing'!J53*(1+I58)*(1+$B$14)</f>
        <v>0</v>
      </c>
      <c r="J59" s="36">
        <f>J57*'Ppto Ing'!K53*(1+J58)*(1+$B$14)</f>
        <v>0</v>
      </c>
      <c r="K59" s="36">
        <f>K57*'Ppto Ing'!L53*(1+K58)*(1+$B$14)</f>
        <v>0</v>
      </c>
      <c r="L59" s="36">
        <f>L57*'Ppto Ing'!M53*(1+L58)*(1+$B$14)</f>
        <v>0</v>
      </c>
      <c r="M59" s="36">
        <f>M57*'Ppto Ing'!N53*(1+M58)*(1+$B$14)</f>
        <v>0</v>
      </c>
      <c r="N59" s="36">
        <f>N57*'Ppto Ing'!O53*(1+N58)*(1+$B$14)</f>
        <v>0</v>
      </c>
      <c r="O59" s="36">
        <f>O57*'Ppto Ing'!P53*(1+O58)*(1+$B$14)</f>
        <v>0</v>
      </c>
      <c r="P59" s="36">
        <f>P57*'Ppto Ing'!Q53*(1+P58)*(1+$B$14)</f>
        <v>0</v>
      </c>
      <c r="Q59" s="36">
        <f>Q57*'Ppto Ing'!R53*(1+Q58)*(1+$B$14)</f>
        <v>0</v>
      </c>
      <c r="R59" s="36">
        <f>R57*'Ppto Ing'!S53*(1+R58)*(1+$B$14)</f>
        <v>0</v>
      </c>
      <c r="S59" s="36">
        <f>S57*'Ppto Ing'!T53*(1+S58)*(1+$B$14)</f>
        <v>0</v>
      </c>
      <c r="T59" s="36">
        <f>T57*'Ppto Ing'!U53*(1+T58)*(1+$B$14)</f>
        <v>0</v>
      </c>
      <c r="U59" s="36">
        <f>U57*'Ppto Ing'!V53*(1+U58)*(1+$B$14)</f>
        <v>0</v>
      </c>
      <c r="V59" s="36">
        <f>V57*'Ppto Ing'!W53*(1+V58)*(1+$B$14)</f>
        <v>0</v>
      </c>
      <c r="W59" s="36">
        <f>W57*'Ppto Ing'!X53*(1+W58)*(1+$B$14)</f>
        <v>0</v>
      </c>
      <c r="X59" s="36">
        <f>X57*'Ppto Ing'!Y53*(1+X58)*(1+$B$14)</f>
        <v>0</v>
      </c>
      <c r="Y59" s="36">
        <f>Y57*'Ppto Ing'!Z53*(1+Y58)*(1+$B$14)</f>
        <v>0</v>
      </c>
      <c r="Z59" s="36">
        <f>Z57*'Ppto Ing'!AA53*(1+Z58)*(1+$B$14)</f>
        <v>0</v>
      </c>
      <c r="AA59" s="342">
        <f>AA57*'Ppto Ing'!AB53*(1+AA58)*(1+$B$14)</f>
        <v>0</v>
      </c>
    </row>
    <row r="60" spans="1:27" hidden="1" x14ac:dyDescent="0.25">
      <c r="A60" s="306" t="s">
        <v>51</v>
      </c>
      <c r="B60" s="25"/>
      <c r="C60" s="117">
        <v>0</v>
      </c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0</v>
      </c>
      <c r="X60" s="117">
        <v>0</v>
      </c>
      <c r="Y60" s="117">
        <v>0</v>
      </c>
      <c r="Z60" s="117">
        <v>0</v>
      </c>
      <c r="AA60" s="323">
        <v>0</v>
      </c>
    </row>
    <row r="61" spans="1:27" hidden="1" x14ac:dyDescent="0.25">
      <c r="A61" s="341" t="s">
        <v>51</v>
      </c>
      <c r="B61" s="139">
        <v>0.03</v>
      </c>
      <c r="C61" s="36">
        <f>C60*'Ppto Ing'!D53*(1+$B$61)</f>
        <v>0</v>
      </c>
      <c r="D61" s="36">
        <f>D60*'Ppto Ing'!E53*(1+$B$16)</f>
        <v>0</v>
      </c>
      <c r="E61" s="36">
        <f>E60*'Ppto Ing'!F53*(1+$B$16)</f>
        <v>0</v>
      </c>
      <c r="F61" s="36">
        <f>F60*'Ppto Ing'!G53*(1+$B$16)</f>
        <v>0</v>
      </c>
      <c r="G61" s="36">
        <f>G60*'Ppto Ing'!H53*(1+$B$16)</f>
        <v>0</v>
      </c>
      <c r="H61" s="36">
        <f>H60*'Ppto Ing'!I53*(1+$B$16)</f>
        <v>0</v>
      </c>
      <c r="I61" s="36">
        <f>I60*'Ppto Ing'!J53*(1+$B$16)</f>
        <v>0</v>
      </c>
      <c r="J61" s="36">
        <f>J60*'Ppto Ing'!K53*(1+$B$16)</f>
        <v>0</v>
      </c>
      <c r="K61" s="36">
        <f>K60*'Ppto Ing'!L53*(1+$B$16)</f>
        <v>0</v>
      </c>
      <c r="L61" s="36">
        <f>L60*'Ppto Ing'!M53*(1+$B$16)</f>
        <v>0</v>
      </c>
      <c r="M61" s="36">
        <f>M60*'Ppto Ing'!N53*(1+$B$16)</f>
        <v>0</v>
      </c>
      <c r="N61" s="36">
        <f>N60*'Ppto Ing'!O53*(1+$B$16)</f>
        <v>0</v>
      </c>
      <c r="O61" s="36">
        <f>O60*'Ppto Ing'!P53*(1+$B$16)</f>
        <v>0</v>
      </c>
      <c r="P61" s="36">
        <f>P60*'Ppto Ing'!Q53*(1+$B$16)</f>
        <v>0</v>
      </c>
      <c r="Q61" s="36">
        <f>Q60*'Ppto Ing'!R53*(1+$B$16)</f>
        <v>0</v>
      </c>
      <c r="R61" s="36">
        <f>R60*'Ppto Ing'!S53*(1+$B$16)</f>
        <v>0</v>
      </c>
      <c r="S61" s="36">
        <f>S60*'Ppto Ing'!T53*(1+$B$16)</f>
        <v>0</v>
      </c>
      <c r="T61" s="36">
        <f>T60*'Ppto Ing'!U53*(1+$B$16)</f>
        <v>0</v>
      </c>
      <c r="U61" s="36">
        <f>U60*'Ppto Ing'!V53*(1+$B$16)</f>
        <v>0</v>
      </c>
      <c r="V61" s="36">
        <f>V60*'Ppto Ing'!W53*(1+$B$16)</f>
        <v>0</v>
      </c>
      <c r="W61" s="36">
        <f>W60*'Ppto Ing'!X53*(1+$B$16)</f>
        <v>0</v>
      </c>
      <c r="X61" s="36">
        <f>X60*'Ppto Ing'!Y53*(1+$B$16)</f>
        <v>0</v>
      </c>
      <c r="Y61" s="36">
        <f>Y60*'Ppto Ing'!Z53*(1+$B$16)</f>
        <v>0</v>
      </c>
      <c r="Z61" s="36">
        <f>Z60*'Ppto Ing'!AA53*(1+$B$16)</f>
        <v>0</v>
      </c>
      <c r="AA61" s="342">
        <f>AA60*'Ppto Ing'!AB53*(1+$B$16)</f>
        <v>0</v>
      </c>
    </row>
    <row r="62" spans="1:27" ht="16.5" hidden="1" thickBot="1" x14ac:dyDescent="0.3">
      <c r="A62" s="343" t="s">
        <v>264</v>
      </c>
      <c r="B62" s="344"/>
      <c r="C62" s="345">
        <f>C56+C59+C61</f>
        <v>0</v>
      </c>
      <c r="D62" s="345">
        <f>D56+D59+D61</f>
        <v>0</v>
      </c>
      <c r="E62" s="345">
        <f t="shared" ref="E62:I62" si="68">E56+E59+E61</f>
        <v>0</v>
      </c>
      <c r="F62" s="345">
        <f t="shared" si="68"/>
        <v>0</v>
      </c>
      <c r="G62" s="345">
        <f t="shared" si="68"/>
        <v>0</v>
      </c>
      <c r="H62" s="345">
        <f t="shared" si="68"/>
        <v>0</v>
      </c>
      <c r="I62" s="345">
        <f t="shared" si="68"/>
        <v>0</v>
      </c>
      <c r="J62" s="345">
        <f t="shared" ref="J62:Y62" si="69">J56+J59+J61</f>
        <v>0</v>
      </c>
      <c r="K62" s="345">
        <f t="shared" si="69"/>
        <v>0</v>
      </c>
      <c r="L62" s="345">
        <f t="shared" si="69"/>
        <v>0</v>
      </c>
      <c r="M62" s="345">
        <f t="shared" si="69"/>
        <v>0</v>
      </c>
      <c r="N62" s="345">
        <f t="shared" si="69"/>
        <v>0</v>
      </c>
      <c r="O62" s="345">
        <f t="shared" si="69"/>
        <v>0</v>
      </c>
      <c r="P62" s="345">
        <f t="shared" si="69"/>
        <v>0</v>
      </c>
      <c r="Q62" s="345">
        <f t="shared" si="69"/>
        <v>0</v>
      </c>
      <c r="R62" s="345">
        <f t="shared" si="69"/>
        <v>0</v>
      </c>
      <c r="S62" s="345">
        <f t="shared" si="69"/>
        <v>0</v>
      </c>
      <c r="T62" s="345">
        <f t="shared" si="69"/>
        <v>0</v>
      </c>
      <c r="U62" s="345">
        <f t="shared" si="69"/>
        <v>0</v>
      </c>
      <c r="V62" s="345">
        <f t="shared" si="69"/>
        <v>0</v>
      </c>
      <c r="W62" s="345">
        <f t="shared" si="69"/>
        <v>0</v>
      </c>
      <c r="X62" s="345">
        <f t="shared" si="69"/>
        <v>0</v>
      </c>
      <c r="Y62" s="345">
        <f t="shared" si="69"/>
        <v>0</v>
      </c>
      <c r="Z62" s="345">
        <f t="shared" ref="Z62:AA62" si="70">Z56+Z59+Z61</f>
        <v>0</v>
      </c>
      <c r="AA62" s="346">
        <f t="shared" si="70"/>
        <v>0</v>
      </c>
    </row>
    <row r="63" spans="1:27" hidden="1" x14ac:dyDescent="0.25">
      <c r="A63" s="336" t="s">
        <v>250</v>
      </c>
      <c r="B63" s="337"/>
      <c r="C63" s="303"/>
      <c r="D63" s="303"/>
      <c r="E63" s="303"/>
      <c r="F63" s="303"/>
      <c r="G63" s="303"/>
      <c r="H63" s="303"/>
      <c r="I63" s="303"/>
      <c r="J63" s="303"/>
      <c r="K63" s="303"/>
      <c r="L63" s="303"/>
      <c r="M63" s="303"/>
      <c r="N63" s="303"/>
      <c r="O63" s="303"/>
      <c r="P63" s="303"/>
      <c r="Q63" s="303"/>
      <c r="R63" s="303"/>
      <c r="S63" s="303"/>
      <c r="T63" s="303"/>
      <c r="U63" s="303"/>
      <c r="V63" s="303"/>
      <c r="W63" s="303"/>
      <c r="X63" s="303"/>
      <c r="Y63" s="303"/>
      <c r="Z63" s="303"/>
      <c r="AA63" s="304"/>
    </row>
    <row r="64" spans="1:27" hidden="1" x14ac:dyDescent="0.25">
      <c r="A64" s="316" t="s">
        <v>131</v>
      </c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96"/>
    </row>
    <row r="65" spans="1:27" hidden="1" x14ac:dyDescent="0.25">
      <c r="A65" s="338" t="s">
        <v>46</v>
      </c>
      <c r="B65" s="25"/>
      <c r="C65" s="117">
        <v>0</v>
      </c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323"/>
    </row>
    <row r="66" spans="1:27" ht="15.75" hidden="1" x14ac:dyDescent="0.25">
      <c r="A66" s="30" t="s">
        <v>47</v>
      </c>
      <c r="B66" s="31" t="s">
        <v>78</v>
      </c>
      <c r="C66" s="32"/>
      <c r="D66" s="117">
        <v>0</v>
      </c>
      <c r="E66" s="117">
        <v>0</v>
      </c>
      <c r="F66" s="117">
        <v>0</v>
      </c>
      <c r="G66" s="117">
        <v>0</v>
      </c>
      <c r="H66" s="117">
        <v>0</v>
      </c>
      <c r="I66" s="117">
        <v>0</v>
      </c>
      <c r="J66" s="117">
        <v>0</v>
      </c>
      <c r="K66" s="117">
        <v>0</v>
      </c>
      <c r="L66" s="117">
        <v>0</v>
      </c>
      <c r="M66" s="117">
        <v>0</v>
      </c>
      <c r="N66" s="117">
        <v>0</v>
      </c>
      <c r="O66" s="117">
        <v>0</v>
      </c>
      <c r="P66" s="117">
        <v>0</v>
      </c>
      <c r="Q66" s="117">
        <v>0</v>
      </c>
      <c r="R66" s="117">
        <v>0</v>
      </c>
      <c r="S66" s="117">
        <v>0</v>
      </c>
      <c r="T66" s="117">
        <v>0</v>
      </c>
      <c r="U66" s="117">
        <v>0</v>
      </c>
      <c r="V66" s="117">
        <v>0</v>
      </c>
      <c r="W66" s="117">
        <v>0</v>
      </c>
      <c r="X66" s="117">
        <v>0</v>
      </c>
      <c r="Y66" s="117">
        <v>0</v>
      </c>
      <c r="Z66" s="117">
        <v>0</v>
      </c>
      <c r="AA66" s="323">
        <v>0</v>
      </c>
    </row>
    <row r="67" spans="1:27" ht="16.5" hidden="1" thickBot="1" x14ac:dyDescent="0.3">
      <c r="A67" s="28"/>
      <c r="B67" s="29" t="s">
        <v>79</v>
      </c>
      <c r="C67" s="25"/>
      <c r="D67" s="113">
        <v>0</v>
      </c>
      <c r="E67" s="113">
        <v>0</v>
      </c>
      <c r="F67" s="113">
        <v>0</v>
      </c>
      <c r="G67" s="113">
        <v>0</v>
      </c>
      <c r="H67" s="113">
        <v>0</v>
      </c>
      <c r="I67" s="113">
        <v>0</v>
      </c>
      <c r="J67" s="113">
        <v>0</v>
      </c>
      <c r="K67" s="113">
        <v>0</v>
      </c>
      <c r="L67" s="113">
        <v>0</v>
      </c>
      <c r="M67" s="113">
        <v>0</v>
      </c>
      <c r="N67" s="113">
        <v>0</v>
      </c>
      <c r="O67" s="113">
        <v>0</v>
      </c>
      <c r="P67" s="113">
        <v>0</v>
      </c>
      <c r="Q67" s="113">
        <v>0</v>
      </c>
      <c r="R67" s="113">
        <v>0</v>
      </c>
      <c r="S67" s="113">
        <v>0</v>
      </c>
      <c r="T67" s="113">
        <v>0</v>
      </c>
      <c r="U67" s="113">
        <v>0</v>
      </c>
      <c r="V67" s="113">
        <v>0</v>
      </c>
      <c r="W67" s="113">
        <v>0</v>
      </c>
      <c r="X67" s="113">
        <v>0</v>
      </c>
      <c r="Y67" s="113">
        <v>0</v>
      </c>
      <c r="Z67" s="113">
        <v>0</v>
      </c>
      <c r="AA67" s="339">
        <v>0</v>
      </c>
    </row>
    <row r="68" spans="1:27" ht="15.75" hidden="1" x14ac:dyDescent="0.25">
      <c r="A68" s="324" t="s">
        <v>265</v>
      </c>
      <c r="B68" s="121">
        <v>2</v>
      </c>
      <c r="C68" s="34">
        <f>IF($B$68=1,(C65+C66),IF($B$68=2,(C65*(1+C67)),0))</f>
        <v>0</v>
      </c>
      <c r="D68" s="34">
        <f>IF($B$8=1,(D65+D66),IF($B$8=2,(D65*(1+D67)),IF($B$8=3,(D65+D66)*(1+D67))))</f>
        <v>0</v>
      </c>
      <c r="E68" s="34">
        <f t="shared" ref="E68:I68" si="71">IF($B$8=1,(E65+E66),IF($B$8=2,(E65*(1+E67)),IF($B$8=3,(E65+E66)*(1+E67))))</f>
        <v>0</v>
      </c>
      <c r="F68" s="34">
        <f t="shared" si="71"/>
        <v>0</v>
      </c>
      <c r="G68" s="34">
        <f t="shared" si="71"/>
        <v>0</v>
      </c>
      <c r="H68" s="34">
        <f t="shared" si="71"/>
        <v>0</v>
      </c>
      <c r="I68" s="34">
        <f t="shared" si="71"/>
        <v>0</v>
      </c>
      <c r="J68" s="34">
        <f t="shared" ref="J68:Y68" si="72">IF($B$8=1,(J65+J66),IF($B$8=2,(J65*(1+J67)),IF($B$8=3,(J65+J66)*(1+J67))))</f>
        <v>0</v>
      </c>
      <c r="K68" s="34">
        <f t="shared" si="72"/>
        <v>0</v>
      </c>
      <c r="L68" s="34">
        <f t="shared" si="72"/>
        <v>0</v>
      </c>
      <c r="M68" s="34">
        <f t="shared" si="72"/>
        <v>0</v>
      </c>
      <c r="N68" s="34">
        <f t="shared" si="72"/>
        <v>0</v>
      </c>
      <c r="O68" s="34">
        <f t="shared" si="72"/>
        <v>0</v>
      </c>
      <c r="P68" s="34">
        <f t="shared" si="72"/>
        <v>0</v>
      </c>
      <c r="Q68" s="34">
        <f t="shared" si="72"/>
        <v>0</v>
      </c>
      <c r="R68" s="34">
        <f t="shared" si="72"/>
        <v>0</v>
      </c>
      <c r="S68" s="34">
        <f t="shared" si="72"/>
        <v>0</v>
      </c>
      <c r="T68" s="34">
        <f t="shared" si="72"/>
        <v>0</v>
      </c>
      <c r="U68" s="34">
        <f t="shared" si="72"/>
        <v>0</v>
      </c>
      <c r="V68" s="34">
        <f t="shared" si="72"/>
        <v>0</v>
      </c>
      <c r="W68" s="34">
        <f t="shared" si="72"/>
        <v>0</v>
      </c>
      <c r="X68" s="34">
        <f t="shared" si="72"/>
        <v>0</v>
      </c>
      <c r="Y68" s="34">
        <f t="shared" si="72"/>
        <v>0</v>
      </c>
      <c r="Z68" s="34">
        <f t="shared" ref="Z68:AA68" si="73">IF($B$8=1,(Z65+Z66),IF($B$8=2,(Z65*(1+Z67)),IF($B$8=3,(Z65+Z66)*(1+Z67))))</f>
        <v>0</v>
      </c>
      <c r="AA68" s="325">
        <f t="shared" si="73"/>
        <v>0</v>
      </c>
    </row>
    <row r="69" spans="1:27" hidden="1" x14ac:dyDescent="0.25">
      <c r="A69" s="340" t="s">
        <v>48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96"/>
    </row>
    <row r="70" spans="1:27" hidden="1" x14ac:dyDescent="0.25">
      <c r="A70" s="306" t="s">
        <v>49</v>
      </c>
      <c r="B70" s="25"/>
      <c r="C70" s="117">
        <v>0</v>
      </c>
      <c r="D70" s="117">
        <v>0</v>
      </c>
      <c r="E70" s="117">
        <v>0</v>
      </c>
      <c r="F70" s="117">
        <v>0</v>
      </c>
      <c r="G70" s="117">
        <v>0</v>
      </c>
      <c r="H70" s="117">
        <v>0</v>
      </c>
      <c r="I70" s="117">
        <v>0</v>
      </c>
      <c r="J70" s="117">
        <v>0</v>
      </c>
      <c r="K70" s="117">
        <v>0</v>
      </c>
      <c r="L70" s="117">
        <v>0</v>
      </c>
      <c r="M70" s="117">
        <v>0</v>
      </c>
      <c r="N70" s="117">
        <v>0</v>
      </c>
      <c r="O70" s="117">
        <v>0</v>
      </c>
      <c r="P70" s="117">
        <v>0</v>
      </c>
      <c r="Q70" s="117">
        <v>0</v>
      </c>
      <c r="R70" s="117">
        <v>0</v>
      </c>
      <c r="S70" s="117">
        <v>0</v>
      </c>
      <c r="T70" s="117">
        <v>0</v>
      </c>
      <c r="U70" s="117">
        <v>0</v>
      </c>
      <c r="V70" s="117">
        <v>0</v>
      </c>
      <c r="W70" s="117">
        <v>0</v>
      </c>
      <c r="X70" s="117">
        <v>0</v>
      </c>
      <c r="Y70" s="117">
        <v>0</v>
      </c>
      <c r="Z70" s="117">
        <v>0</v>
      </c>
      <c r="AA70" s="323">
        <v>0</v>
      </c>
    </row>
    <row r="71" spans="1:27" hidden="1" x14ac:dyDescent="0.25">
      <c r="A71" s="341" t="s">
        <v>142</v>
      </c>
      <c r="B71" s="139">
        <v>0.1</v>
      </c>
      <c r="C71" s="36">
        <f>C70*'Ppto Ing'!D97*(1+$B$71)</f>
        <v>0</v>
      </c>
      <c r="D71" s="36">
        <f>D70*'Ppto Ing'!E97*(1+$B$11)</f>
        <v>0</v>
      </c>
      <c r="E71" s="36">
        <f>E70*'Ppto Ing'!F97*(1+$B$11)</f>
        <v>0</v>
      </c>
      <c r="F71" s="36">
        <f>F70*'Ppto Ing'!G97*(1+$B$11)</f>
        <v>0</v>
      </c>
      <c r="G71" s="36">
        <f>G70*'Ppto Ing'!H97*(1+$B$11)</f>
        <v>0</v>
      </c>
      <c r="H71" s="36">
        <f>H70*'Ppto Ing'!I97*(1+$B$11)</f>
        <v>0</v>
      </c>
      <c r="I71" s="36">
        <f>I70*'Ppto Ing'!J97*(1+$B$11)</f>
        <v>0</v>
      </c>
      <c r="J71" s="36">
        <f>J70*'Ppto Ing'!K97*(1+$B$11)</f>
        <v>0</v>
      </c>
      <c r="K71" s="36">
        <f>K70*'Ppto Ing'!L97*(1+$B$11)</f>
        <v>0</v>
      </c>
      <c r="L71" s="36">
        <f>L70*'Ppto Ing'!M97*(1+$B$11)</f>
        <v>0</v>
      </c>
      <c r="M71" s="36">
        <f>M70*'Ppto Ing'!N97*(1+$B$11)</f>
        <v>0</v>
      </c>
      <c r="N71" s="36">
        <f>N70*'Ppto Ing'!O97*(1+$B$11)</f>
        <v>0</v>
      </c>
      <c r="O71" s="36">
        <f>O70*'Ppto Ing'!P97*(1+$B$11)</f>
        <v>0</v>
      </c>
      <c r="P71" s="36">
        <f>P70*'Ppto Ing'!Q97*(1+$B$11)</f>
        <v>0</v>
      </c>
      <c r="Q71" s="36">
        <f>Q70*'Ppto Ing'!R97*(1+$B$11)</f>
        <v>0</v>
      </c>
      <c r="R71" s="36">
        <f>R70*'Ppto Ing'!S97*(1+$B$11)</f>
        <v>0</v>
      </c>
      <c r="S71" s="36">
        <f>S70*'Ppto Ing'!T97*(1+$B$11)</f>
        <v>0</v>
      </c>
      <c r="T71" s="36">
        <f>T70*'Ppto Ing'!U97*(1+$B$11)</f>
        <v>0</v>
      </c>
      <c r="U71" s="36">
        <f>U70*'Ppto Ing'!V97*(1+$B$11)</f>
        <v>0</v>
      </c>
      <c r="V71" s="36">
        <f>V70*'Ppto Ing'!W97*(1+$B$11)</f>
        <v>0</v>
      </c>
      <c r="W71" s="36">
        <f>W70*'Ppto Ing'!X97*(1+$B$11)</f>
        <v>0</v>
      </c>
      <c r="X71" s="36">
        <f>X70*'Ppto Ing'!Y97*(1+$B$11)</f>
        <v>0</v>
      </c>
      <c r="Y71" s="36">
        <f>Y70*'Ppto Ing'!Z97*(1+$B$11)</f>
        <v>0</v>
      </c>
      <c r="Z71" s="36">
        <f>Z70*'Ppto Ing'!AA97*(1+$B$11)</f>
        <v>0</v>
      </c>
      <c r="AA71" s="342">
        <f>AA70*'Ppto Ing'!AB97*(1+$B$11)</f>
        <v>0</v>
      </c>
    </row>
    <row r="72" spans="1:27" hidden="1" x14ac:dyDescent="0.25">
      <c r="A72" s="306" t="s">
        <v>50</v>
      </c>
      <c r="B72" s="25"/>
      <c r="C72" s="117">
        <v>0</v>
      </c>
      <c r="D72" s="117">
        <v>0</v>
      </c>
      <c r="E72" s="117">
        <v>0</v>
      </c>
      <c r="F72" s="117">
        <v>0</v>
      </c>
      <c r="G72" s="117">
        <v>0</v>
      </c>
      <c r="H72" s="117">
        <v>0</v>
      </c>
      <c r="I72" s="117">
        <v>0</v>
      </c>
      <c r="J72" s="117">
        <v>0</v>
      </c>
      <c r="K72" s="117">
        <v>0</v>
      </c>
      <c r="L72" s="117">
        <v>0</v>
      </c>
      <c r="M72" s="117">
        <v>0</v>
      </c>
      <c r="N72" s="117">
        <v>0</v>
      </c>
      <c r="O72" s="117">
        <v>0</v>
      </c>
      <c r="P72" s="117">
        <v>0</v>
      </c>
      <c r="Q72" s="117">
        <v>0</v>
      </c>
      <c r="R72" s="117">
        <v>0</v>
      </c>
      <c r="S72" s="117">
        <v>0</v>
      </c>
      <c r="T72" s="117">
        <v>0</v>
      </c>
      <c r="U72" s="117">
        <v>0</v>
      </c>
      <c r="V72" s="117">
        <v>0</v>
      </c>
      <c r="W72" s="117">
        <v>0</v>
      </c>
      <c r="X72" s="117">
        <v>0</v>
      </c>
      <c r="Y72" s="117">
        <v>0</v>
      </c>
      <c r="Z72" s="117">
        <v>0</v>
      </c>
      <c r="AA72" s="323">
        <v>0</v>
      </c>
    </row>
    <row r="73" spans="1:27" hidden="1" x14ac:dyDescent="0.25">
      <c r="A73" s="306" t="s">
        <v>101</v>
      </c>
      <c r="B73" s="25"/>
      <c r="C73" s="113"/>
      <c r="D73" s="113"/>
      <c r="E73" s="113"/>
      <c r="F73" s="113">
        <v>0</v>
      </c>
      <c r="G73" s="113">
        <v>0</v>
      </c>
      <c r="H73" s="113">
        <v>0</v>
      </c>
      <c r="I73" s="113">
        <v>0</v>
      </c>
      <c r="J73" s="113">
        <v>0</v>
      </c>
      <c r="K73" s="113">
        <v>0</v>
      </c>
      <c r="L73" s="113">
        <v>0</v>
      </c>
      <c r="M73" s="113">
        <v>0</v>
      </c>
      <c r="N73" s="113">
        <v>0</v>
      </c>
      <c r="O73" s="113">
        <v>0</v>
      </c>
      <c r="P73" s="113">
        <v>0</v>
      </c>
      <c r="Q73" s="113">
        <v>0</v>
      </c>
      <c r="R73" s="113">
        <v>0</v>
      </c>
      <c r="S73" s="113">
        <v>0</v>
      </c>
      <c r="T73" s="113">
        <v>0</v>
      </c>
      <c r="U73" s="113">
        <v>0</v>
      </c>
      <c r="V73" s="113">
        <v>0</v>
      </c>
      <c r="W73" s="113">
        <v>0</v>
      </c>
      <c r="X73" s="113">
        <v>0</v>
      </c>
      <c r="Y73" s="113">
        <v>0</v>
      </c>
      <c r="Z73" s="113">
        <v>0</v>
      </c>
      <c r="AA73" s="339">
        <v>0</v>
      </c>
    </row>
    <row r="74" spans="1:27" hidden="1" x14ac:dyDescent="0.25">
      <c r="A74" s="341" t="s">
        <v>141</v>
      </c>
      <c r="B74" s="139">
        <v>0.05</v>
      </c>
      <c r="C74" s="36">
        <f>C72*'Ppto Ing'!D97*(1+C73)*(1+$B$74)</f>
        <v>0</v>
      </c>
      <c r="D74" s="36">
        <f>D72*'Ppto Ing'!E97*(1+D73)*(1+$B$14)</f>
        <v>0</v>
      </c>
      <c r="E74" s="36">
        <f>E72*'Ppto Ing'!F97*(1+E73)*(1+$B$14)</f>
        <v>0</v>
      </c>
      <c r="F74" s="36">
        <f>F72*'Ppto Ing'!G97*(1+F73)*(1+$B$14)</f>
        <v>0</v>
      </c>
      <c r="G74" s="36">
        <f>G72*'Ppto Ing'!H97*(1+G73)*(1+$B$14)</f>
        <v>0</v>
      </c>
      <c r="H74" s="36">
        <f>H72*'Ppto Ing'!I97*(1+H73)*(1+$B$14)</f>
        <v>0</v>
      </c>
      <c r="I74" s="36">
        <f>I72*'Ppto Ing'!J97*(1+I73)*(1+$B$14)</f>
        <v>0</v>
      </c>
      <c r="J74" s="36">
        <f>J72*'Ppto Ing'!K97*(1+J73)*(1+$B$14)</f>
        <v>0</v>
      </c>
      <c r="K74" s="36">
        <f>K72*'Ppto Ing'!L97*(1+K73)*(1+$B$14)</f>
        <v>0</v>
      </c>
      <c r="L74" s="36">
        <f>L72*'Ppto Ing'!M97*(1+L73)*(1+$B$14)</f>
        <v>0</v>
      </c>
      <c r="M74" s="36">
        <f>M72*'Ppto Ing'!N97*(1+M73)*(1+$B$14)</f>
        <v>0</v>
      </c>
      <c r="N74" s="36">
        <f>N72*'Ppto Ing'!O97*(1+N73)*(1+$B$14)</f>
        <v>0</v>
      </c>
      <c r="O74" s="36">
        <f>O72*'Ppto Ing'!P97*(1+O73)*(1+$B$14)</f>
        <v>0</v>
      </c>
      <c r="P74" s="36">
        <f>P72*'Ppto Ing'!Q97*(1+P73)*(1+$B$14)</f>
        <v>0</v>
      </c>
      <c r="Q74" s="36">
        <f>Q72*'Ppto Ing'!R97*(1+Q73)*(1+$B$14)</f>
        <v>0</v>
      </c>
      <c r="R74" s="36">
        <f>R72*'Ppto Ing'!S97*(1+R73)*(1+$B$14)</f>
        <v>0</v>
      </c>
      <c r="S74" s="36">
        <f>S72*'Ppto Ing'!T97*(1+S73)*(1+$B$14)</f>
        <v>0</v>
      </c>
      <c r="T74" s="36">
        <f>T72*'Ppto Ing'!U97*(1+T73)*(1+$B$14)</f>
        <v>0</v>
      </c>
      <c r="U74" s="36">
        <f>U72*'Ppto Ing'!V97*(1+U73)*(1+$B$14)</f>
        <v>0</v>
      </c>
      <c r="V74" s="36">
        <f>V72*'Ppto Ing'!W97*(1+V73)*(1+$B$14)</f>
        <v>0</v>
      </c>
      <c r="W74" s="36">
        <f>W72*'Ppto Ing'!X97*(1+W73)*(1+$B$14)</f>
        <v>0</v>
      </c>
      <c r="X74" s="36">
        <f>X72*'Ppto Ing'!Y97*(1+X73)*(1+$B$14)</f>
        <v>0</v>
      </c>
      <c r="Y74" s="36">
        <f>Y72*'Ppto Ing'!Z97*(1+Y73)*(1+$B$14)</f>
        <v>0</v>
      </c>
      <c r="Z74" s="36">
        <f>Z72*'Ppto Ing'!AA97*(1+Z73)*(1+$B$14)</f>
        <v>0</v>
      </c>
      <c r="AA74" s="342">
        <f>AA72*'Ppto Ing'!AB97*(1+AA73)*(1+$B$14)</f>
        <v>0</v>
      </c>
    </row>
    <row r="75" spans="1:27" hidden="1" x14ac:dyDescent="0.25">
      <c r="A75" s="306" t="s">
        <v>51</v>
      </c>
      <c r="B75" s="25"/>
      <c r="C75" s="117">
        <v>0</v>
      </c>
      <c r="D75" s="117">
        <v>0</v>
      </c>
      <c r="E75" s="117">
        <v>0</v>
      </c>
      <c r="F75" s="117">
        <v>0</v>
      </c>
      <c r="G75" s="117">
        <v>0</v>
      </c>
      <c r="H75" s="117">
        <v>0</v>
      </c>
      <c r="I75" s="117">
        <v>0</v>
      </c>
      <c r="J75" s="117">
        <v>0</v>
      </c>
      <c r="K75" s="117">
        <v>0</v>
      </c>
      <c r="L75" s="117">
        <v>0</v>
      </c>
      <c r="M75" s="117">
        <v>0</v>
      </c>
      <c r="N75" s="117">
        <v>0</v>
      </c>
      <c r="O75" s="117">
        <v>0</v>
      </c>
      <c r="P75" s="117">
        <v>0</v>
      </c>
      <c r="Q75" s="117">
        <v>0</v>
      </c>
      <c r="R75" s="117">
        <v>0</v>
      </c>
      <c r="S75" s="117">
        <v>0</v>
      </c>
      <c r="T75" s="117">
        <v>0</v>
      </c>
      <c r="U75" s="117">
        <v>0</v>
      </c>
      <c r="V75" s="117">
        <v>0</v>
      </c>
      <c r="W75" s="117">
        <v>0</v>
      </c>
      <c r="X75" s="117">
        <v>0</v>
      </c>
      <c r="Y75" s="117">
        <v>0</v>
      </c>
      <c r="Z75" s="117">
        <v>0</v>
      </c>
      <c r="AA75" s="323">
        <v>0</v>
      </c>
    </row>
    <row r="76" spans="1:27" hidden="1" x14ac:dyDescent="0.25">
      <c r="A76" s="341" t="s">
        <v>51</v>
      </c>
      <c r="B76" s="139">
        <v>0.03</v>
      </c>
      <c r="C76" s="36">
        <f>C75*'Ppto Ing'!D97*(1+$B$76)</f>
        <v>0</v>
      </c>
      <c r="D76" s="36">
        <f>D75*'Ppto Ing'!E97*(1+$B$16)</f>
        <v>0</v>
      </c>
      <c r="E76" s="36">
        <f>E75*'Ppto Ing'!F97*(1+$B$16)</f>
        <v>0</v>
      </c>
      <c r="F76" s="36">
        <f>F75*'Ppto Ing'!G97*(1+$B$16)</f>
        <v>0</v>
      </c>
      <c r="G76" s="36">
        <f>G75*'Ppto Ing'!H97*(1+$B$16)</f>
        <v>0</v>
      </c>
      <c r="H76" s="36">
        <f>H75*'Ppto Ing'!I97*(1+$B$16)</f>
        <v>0</v>
      </c>
      <c r="I76" s="36">
        <f>I75*'Ppto Ing'!J97*(1+$B$16)</f>
        <v>0</v>
      </c>
      <c r="J76" s="36">
        <f>J75*'Ppto Ing'!K97*(1+$B$16)</f>
        <v>0</v>
      </c>
      <c r="K76" s="36">
        <f>K75*'Ppto Ing'!L97*(1+$B$16)</f>
        <v>0</v>
      </c>
      <c r="L76" s="36">
        <f>L75*'Ppto Ing'!M97*(1+$B$16)</f>
        <v>0</v>
      </c>
      <c r="M76" s="36">
        <f>M75*'Ppto Ing'!N97*(1+$B$16)</f>
        <v>0</v>
      </c>
      <c r="N76" s="36">
        <f>N75*'Ppto Ing'!O97*(1+$B$16)</f>
        <v>0</v>
      </c>
      <c r="O76" s="36">
        <f>O75*'Ppto Ing'!P97*(1+$B$16)</f>
        <v>0</v>
      </c>
      <c r="P76" s="36">
        <f>P75*'Ppto Ing'!Q97*(1+$B$16)</f>
        <v>0</v>
      </c>
      <c r="Q76" s="36">
        <f>Q75*'Ppto Ing'!R97*(1+$B$16)</f>
        <v>0</v>
      </c>
      <c r="R76" s="36">
        <f>R75*'Ppto Ing'!S97*(1+$B$16)</f>
        <v>0</v>
      </c>
      <c r="S76" s="36">
        <f>S75*'Ppto Ing'!T97*(1+$B$16)</f>
        <v>0</v>
      </c>
      <c r="T76" s="36">
        <f>T75*'Ppto Ing'!U97*(1+$B$16)</f>
        <v>0</v>
      </c>
      <c r="U76" s="36">
        <f>U75*'Ppto Ing'!V97*(1+$B$16)</f>
        <v>0</v>
      </c>
      <c r="V76" s="36">
        <f>V75*'Ppto Ing'!W97*(1+$B$16)</f>
        <v>0</v>
      </c>
      <c r="W76" s="36">
        <f>W75*'Ppto Ing'!X97*(1+$B$16)</f>
        <v>0</v>
      </c>
      <c r="X76" s="36">
        <f>X75*'Ppto Ing'!Y97*(1+$B$16)</f>
        <v>0</v>
      </c>
      <c r="Y76" s="36">
        <f>Y75*'Ppto Ing'!Z97*(1+$B$16)</f>
        <v>0</v>
      </c>
      <c r="Z76" s="36">
        <f>Z75*'Ppto Ing'!AA97*(1+$B$16)</f>
        <v>0</v>
      </c>
      <c r="AA76" s="342">
        <f>AA75*'Ppto Ing'!AB97*(1+$B$16)</f>
        <v>0</v>
      </c>
    </row>
    <row r="77" spans="1:27" ht="16.5" hidden="1" thickBot="1" x14ac:dyDescent="0.3">
      <c r="A77" s="356" t="s">
        <v>266</v>
      </c>
      <c r="B77" s="334"/>
      <c r="C77" s="335">
        <f>C71+C74+C76</f>
        <v>0</v>
      </c>
      <c r="D77" s="335">
        <f>D71+D74+D76</f>
        <v>0</v>
      </c>
      <c r="E77" s="335">
        <f t="shared" ref="E77:I77" si="74">E71+E74+E76</f>
        <v>0</v>
      </c>
      <c r="F77" s="335">
        <f t="shared" si="74"/>
        <v>0</v>
      </c>
      <c r="G77" s="335">
        <f t="shared" si="74"/>
        <v>0</v>
      </c>
      <c r="H77" s="335">
        <f t="shared" si="74"/>
        <v>0</v>
      </c>
      <c r="I77" s="335">
        <f t="shared" si="74"/>
        <v>0</v>
      </c>
      <c r="J77" s="335">
        <f t="shared" ref="J77:Y77" si="75">J71+J74+J76</f>
        <v>0</v>
      </c>
      <c r="K77" s="335">
        <f t="shared" si="75"/>
        <v>0</v>
      </c>
      <c r="L77" s="335">
        <f t="shared" si="75"/>
        <v>0</v>
      </c>
      <c r="M77" s="335">
        <f t="shared" si="75"/>
        <v>0</v>
      </c>
      <c r="N77" s="335">
        <f t="shared" si="75"/>
        <v>0</v>
      </c>
      <c r="O77" s="335">
        <f t="shared" si="75"/>
        <v>0</v>
      </c>
      <c r="P77" s="335">
        <f t="shared" si="75"/>
        <v>0</v>
      </c>
      <c r="Q77" s="335">
        <f t="shared" si="75"/>
        <v>0</v>
      </c>
      <c r="R77" s="335">
        <f t="shared" si="75"/>
        <v>0</v>
      </c>
      <c r="S77" s="335">
        <f t="shared" si="75"/>
        <v>0</v>
      </c>
      <c r="T77" s="335">
        <f t="shared" si="75"/>
        <v>0</v>
      </c>
      <c r="U77" s="335">
        <f t="shared" si="75"/>
        <v>0</v>
      </c>
      <c r="V77" s="335">
        <f t="shared" si="75"/>
        <v>0</v>
      </c>
      <c r="W77" s="335">
        <f t="shared" si="75"/>
        <v>0</v>
      </c>
      <c r="X77" s="335">
        <f t="shared" si="75"/>
        <v>0</v>
      </c>
      <c r="Y77" s="335">
        <f t="shared" si="75"/>
        <v>0</v>
      </c>
      <c r="Z77" s="335">
        <f t="shared" ref="Z77:AA77" si="76">Z71+Z74+Z76</f>
        <v>0</v>
      </c>
      <c r="AA77" s="357">
        <f t="shared" si="76"/>
        <v>0</v>
      </c>
    </row>
    <row r="78" spans="1:27" x14ac:dyDescent="0.25">
      <c r="A78" s="358" t="s">
        <v>268</v>
      </c>
      <c r="B78" s="360"/>
      <c r="C78" s="361">
        <f t="shared" ref="C78:AA78" si="77">C68+C53+C38+C23+C8</f>
        <v>0</v>
      </c>
      <c r="D78" s="361">
        <f t="shared" si="77"/>
        <v>0</v>
      </c>
      <c r="E78" s="361">
        <f t="shared" si="77"/>
        <v>0</v>
      </c>
      <c r="F78" s="361">
        <f t="shared" si="77"/>
        <v>0</v>
      </c>
      <c r="G78" s="361">
        <f t="shared" si="77"/>
        <v>0</v>
      </c>
      <c r="H78" s="361">
        <f t="shared" si="77"/>
        <v>0</v>
      </c>
      <c r="I78" s="361">
        <f t="shared" si="77"/>
        <v>0</v>
      </c>
      <c r="J78" s="361">
        <f t="shared" si="77"/>
        <v>0</v>
      </c>
      <c r="K78" s="361">
        <f t="shared" si="77"/>
        <v>0</v>
      </c>
      <c r="L78" s="361">
        <f t="shared" si="77"/>
        <v>0</v>
      </c>
      <c r="M78" s="361">
        <f t="shared" si="77"/>
        <v>0</v>
      </c>
      <c r="N78" s="361">
        <f t="shared" si="77"/>
        <v>0</v>
      </c>
      <c r="O78" s="361">
        <f t="shared" si="77"/>
        <v>0</v>
      </c>
      <c r="P78" s="361">
        <f t="shared" si="77"/>
        <v>0</v>
      </c>
      <c r="Q78" s="361">
        <f t="shared" si="77"/>
        <v>0</v>
      </c>
      <c r="R78" s="361">
        <f t="shared" si="77"/>
        <v>0</v>
      </c>
      <c r="S78" s="361">
        <f t="shared" si="77"/>
        <v>0</v>
      </c>
      <c r="T78" s="361">
        <f t="shared" si="77"/>
        <v>0</v>
      </c>
      <c r="U78" s="361">
        <f t="shared" si="77"/>
        <v>0</v>
      </c>
      <c r="V78" s="361">
        <f t="shared" si="77"/>
        <v>0</v>
      </c>
      <c r="W78" s="361">
        <f t="shared" si="77"/>
        <v>0</v>
      </c>
      <c r="X78" s="361">
        <f t="shared" si="77"/>
        <v>0</v>
      </c>
      <c r="Y78" s="361">
        <f t="shared" si="77"/>
        <v>0</v>
      </c>
      <c r="Z78" s="361">
        <f t="shared" si="77"/>
        <v>0</v>
      </c>
      <c r="AA78" s="362">
        <f t="shared" si="77"/>
        <v>0</v>
      </c>
    </row>
    <row r="79" spans="1:27" ht="15.75" thickBot="1" x14ac:dyDescent="0.3">
      <c r="A79" s="359" t="s">
        <v>267</v>
      </c>
      <c r="B79" s="363"/>
      <c r="C79" s="364">
        <f>C77+C62+C47+C32+C17</f>
        <v>0</v>
      </c>
      <c r="D79" s="364">
        <f t="shared" ref="D79:AA79" si="78">D77+D62+D47+D32+D17</f>
        <v>180400000</v>
      </c>
      <c r="E79" s="364">
        <f t="shared" si="78"/>
        <v>185812000</v>
      </c>
      <c r="F79" s="364">
        <f t="shared" si="78"/>
        <v>186714000</v>
      </c>
      <c r="G79" s="364">
        <f t="shared" si="78"/>
        <v>187074800</v>
      </c>
      <c r="H79" s="364">
        <f t="shared" si="78"/>
        <v>185992400</v>
      </c>
      <c r="I79" s="364">
        <f t="shared" si="78"/>
        <v>0</v>
      </c>
      <c r="J79" s="364">
        <f t="shared" si="78"/>
        <v>0</v>
      </c>
      <c r="K79" s="364">
        <f t="shared" si="78"/>
        <v>0</v>
      </c>
      <c r="L79" s="364">
        <f t="shared" si="78"/>
        <v>0</v>
      </c>
      <c r="M79" s="364">
        <f t="shared" si="78"/>
        <v>0</v>
      </c>
      <c r="N79" s="364">
        <f t="shared" si="78"/>
        <v>0</v>
      </c>
      <c r="O79" s="364">
        <f t="shared" si="78"/>
        <v>0</v>
      </c>
      <c r="P79" s="364">
        <f t="shared" si="78"/>
        <v>0</v>
      </c>
      <c r="Q79" s="364">
        <f t="shared" si="78"/>
        <v>0</v>
      </c>
      <c r="R79" s="364">
        <f t="shared" si="78"/>
        <v>0</v>
      </c>
      <c r="S79" s="364">
        <f t="shared" si="78"/>
        <v>0</v>
      </c>
      <c r="T79" s="364">
        <f t="shared" si="78"/>
        <v>0</v>
      </c>
      <c r="U79" s="364">
        <f t="shared" si="78"/>
        <v>0</v>
      </c>
      <c r="V79" s="364">
        <f t="shared" si="78"/>
        <v>0</v>
      </c>
      <c r="W79" s="364">
        <f t="shared" si="78"/>
        <v>0</v>
      </c>
      <c r="X79" s="364">
        <f t="shared" si="78"/>
        <v>0</v>
      </c>
      <c r="Y79" s="364">
        <f t="shared" si="78"/>
        <v>0</v>
      </c>
      <c r="Z79" s="364">
        <f t="shared" si="78"/>
        <v>0</v>
      </c>
      <c r="AA79" s="365">
        <f t="shared" si="78"/>
        <v>0</v>
      </c>
    </row>
    <row r="80" spans="1:27" ht="15.75" thickBot="1" x14ac:dyDescent="0.3"/>
    <row r="81" spans="1:27" x14ac:dyDescent="0.25">
      <c r="A81" s="347"/>
      <c r="B81" s="348"/>
      <c r="C81" s="348"/>
      <c r="D81" s="349"/>
      <c r="E81" s="349"/>
      <c r="F81" s="349"/>
      <c r="G81" s="349"/>
      <c r="H81" s="349"/>
      <c r="I81" s="349"/>
      <c r="J81" s="349"/>
      <c r="K81" s="349"/>
      <c r="L81" s="349"/>
      <c r="M81" s="349"/>
      <c r="N81" s="349"/>
      <c r="O81" s="349"/>
      <c r="P81" s="349"/>
      <c r="Q81" s="349"/>
      <c r="R81" s="349"/>
      <c r="S81" s="349"/>
      <c r="T81" s="349"/>
      <c r="U81" s="349"/>
      <c r="V81" s="349"/>
      <c r="W81" s="349"/>
      <c r="X81" s="349"/>
      <c r="Y81" s="349"/>
      <c r="Z81" s="349"/>
      <c r="AA81" s="350"/>
    </row>
    <row r="82" spans="1:27" x14ac:dyDescent="0.25">
      <c r="A82" s="351" t="s">
        <v>147</v>
      </c>
      <c r="B82" s="35"/>
      <c r="C82" s="35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42"/>
    </row>
    <row r="83" spans="1:27" x14ac:dyDescent="0.25">
      <c r="A83" s="306" t="s">
        <v>52</v>
      </c>
      <c r="B83" s="25"/>
      <c r="C83" s="117"/>
      <c r="D83" s="117"/>
      <c r="E83" s="117"/>
      <c r="F83" s="117"/>
      <c r="G83" s="117"/>
      <c r="H83" s="117"/>
      <c r="I83" s="117">
        <v>0</v>
      </c>
      <c r="J83" s="117">
        <v>0</v>
      </c>
      <c r="K83" s="117">
        <v>0</v>
      </c>
      <c r="L83" s="117">
        <v>0</v>
      </c>
      <c r="M83" s="117">
        <v>0</v>
      </c>
      <c r="N83" s="117">
        <v>0</v>
      </c>
      <c r="O83" s="117">
        <v>0</v>
      </c>
      <c r="P83" s="117">
        <v>0</v>
      </c>
      <c r="Q83" s="117">
        <v>0</v>
      </c>
      <c r="R83" s="117">
        <v>0</v>
      </c>
      <c r="S83" s="117">
        <v>0</v>
      </c>
      <c r="T83" s="117">
        <v>0</v>
      </c>
      <c r="U83" s="117">
        <v>0</v>
      </c>
      <c r="V83" s="117">
        <v>0</v>
      </c>
      <c r="W83" s="117">
        <v>0</v>
      </c>
      <c r="X83" s="117">
        <v>0</v>
      </c>
      <c r="Y83" s="117">
        <v>0</v>
      </c>
      <c r="Z83" s="117">
        <v>0</v>
      </c>
      <c r="AA83" s="323">
        <v>0</v>
      </c>
    </row>
    <row r="84" spans="1:27" x14ac:dyDescent="0.25">
      <c r="A84" s="306" t="s">
        <v>53</v>
      </c>
      <c r="B84" s="25"/>
      <c r="C84" s="113"/>
      <c r="D84" s="113"/>
      <c r="E84" s="113"/>
      <c r="F84" s="113"/>
      <c r="G84" s="113"/>
      <c r="H84" s="113"/>
      <c r="I84" s="113">
        <v>0</v>
      </c>
      <c r="J84" s="113">
        <v>0</v>
      </c>
      <c r="K84" s="113">
        <v>0</v>
      </c>
      <c r="L84" s="113">
        <v>0</v>
      </c>
      <c r="M84" s="113">
        <v>0</v>
      </c>
      <c r="N84" s="113">
        <v>0</v>
      </c>
      <c r="O84" s="113">
        <v>0</v>
      </c>
      <c r="P84" s="113">
        <v>0</v>
      </c>
      <c r="Q84" s="113">
        <v>0</v>
      </c>
      <c r="R84" s="113">
        <v>0</v>
      </c>
      <c r="S84" s="113">
        <v>0</v>
      </c>
      <c r="T84" s="113">
        <v>0</v>
      </c>
      <c r="U84" s="113">
        <v>0</v>
      </c>
      <c r="V84" s="113">
        <v>0</v>
      </c>
      <c r="W84" s="113">
        <v>0</v>
      </c>
      <c r="X84" s="113">
        <v>0</v>
      </c>
      <c r="Y84" s="113">
        <v>0</v>
      </c>
      <c r="Z84" s="113">
        <v>0</v>
      </c>
      <c r="AA84" s="339">
        <v>0</v>
      </c>
    </row>
    <row r="85" spans="1:27" x14ac:dyDescent="0.25">
      <c r="A85" s="352"/>
      <c r="B85" s="60"/>
      <c r="C85" s="60"/>
      <c r="D85" s="55">
        <f>+'Ppto Ing'!E8*'Ppto Ing'!E12*'Ppto Costos y Gtos'!D84</f>
        <v>0</v>
      </c>
      <c r="E85" s="55">
        <f>+'Ppto Ing'!F8*'Ppto Ing'!F12*'Ppto Costos y Gtos'!E84</f>
        <v>0</v>
      </c>
      <c r="F85" s="55">
        <f>+'Ppto Ing'!G8*'Ppto Ing'!G12*'Ppto Costos y Gtos'!F84</f>
        <v>0</v>
      </c>
      <c r="G85" s="55">
        <f>+'Ppto Ing'!H8*'Ppto Ing'!H12*'Ppto Costos y Gtos'!G84</f>
        <v>0</v>
      </c>
      <c r="H85" s="55">
        <f>+'Ppto Ing'!I8*'Ppto Ing'!I12*'Ppto Costos y Gtos'!H84</f>
        <v>0</v>
      </c>
      <c r="I85" s="55">
        <f>+'Ppto Ing'!J8*'Ppto Ing'!J12*'Ppto Costos y Gtos'!I84</f>
        <v>0</v>
      </c>
      <c r="J85" s="55">
        <f>+'Ppto Ing'!K8*'Ppto Ing'!K12*'Ppto Costos y Gtos'!J84</f>
        <v>0</v>
      </c>
      <c r="K85" s="55">
        <f>+'Ppto Ing'!L8*'Ppto Ing'!L12*'Ppto Costos y Gtos'!K84</f>
        <v>0</v>
      </c>
      <c r="L85" s="55">
        <f>+'Ppto Ing'!M8*'Ppto Ing'!M12*'Ppto Costos y Gtos'!L84</f>
        <v>0</v>
      </c>
      <c r="M85" s="55">
        <f>+'Ppto Ing'!N8*'Ppto Ing'!N12*'Ppto Costos y Gtos'!M84</f>
        <v>0</v>
      </c>
      <c r="N85" s="55">
        <f>+'Ppto Ing'!O8*'Ppto Ing'!O12*'Ppto Costos y Gtos'!N84</f>
        <v>0</v>
      </c>
      <c r="O85" s="55">
        <f>+'Ppto Ing'!P8*'Ppto Ing'!P12*'Ppto Costos y Gtos'!O84</f>
        <v>0</v>
      </c>
      <c r="P85" s="55">
        <f>+'Ppto Ing'!Q8*'Ppto Ing'!Q12*'Ppto Costos y Gtos'!P84</f>
        <v>0</v>
      </c>
      <c r="Q85" s="55">
        <f>+'Ppto Ing'!R8*'Ppto Ing'!R12*'Ppto Costos y Gtos'!Q84</f>
        <v>0</v>
      </c>
      <c r="R85" s="55">
        <f>+'Ppto Ing'!S8*'Ppto Ing'!S12*'Ppto Costos y Gtos'!R84</f>
        <v>0</v>
      </c>
      <c r="S85" s="55">
        <f>+'Ppto Ing'!T8*'Ppto Ing'!T12*'Ppto Costos y Gtos'!S84</f>
        <v>0</v>
      </c>
      <c r="T85" s="55">
        <f>+'Ppto Ing'!U8*'Ppto Ing'!U12*'Ppto Costos y Gtos'!T84</f>
        <v>0</v>
      </c>
      <c r="U85" s="55">
        <f>+'Ppto Ing'!V8*'Ppto Ing'!V12*'Ppto Costos y Gtos'!U84</f>
        <v>0</v>
      </c>
      <c r="V85" s="55">
        <f>+'Ppto Ing'!W8*'Ppto Ing'!W12*'Ppto Costos y Gtos'!V84</f>
        <v>0</v>
      </c>
      <c r="W85" s="55">
        <f>+'Ppto Ing'!X8*'Ppto Ing'!X12*'Ppto Costos y Gtos'!W84</f>
        <v>0</v>
      </c>
      <c r="X85" s="55">
        <f>+'Ppto Ing'!Y8*'Ppto Ing'!Y12*'Ppto Costos y Gtos'!X84</f>
        <v>0</v>
      </c>
      <c r="Y85" s="55">
        <f>+'Ppto Ing'!Z8*'Ppto Ing'!Z12*'Ppto Costos y Gtos'!Y84</f>
        <v>0</v>
      </c>
      <c r="Z85" s="55">
        <f>+'Ppto Ing'!AA8*'Ppto Ing'!AA12*'Ppto Costos y Gtos'!Z84</f>
        <v>0</v>
      </c>
      <c r="AA85" s="353">
        <f>+'Ppto Ing'!AB8*'Ppto Ing'!AB12*'Ppto Costos y Gtos'!AA84</f>
        <v>0</v>
      </c>
    </row>
    <row r="86" spans="1:27" ht="15.75" x14ac:dyDescent="0.25">
      <c r="A86" s="324" t="s">
        <v>132</v>
      </c>
      <c r="B86" s="24"/>
      <c r="C86" s="34"/>
      <c r="D86" s="34">
        <f t="shared" ref="D86:I86" si="79">+D83+D85</f>
        <v>0</v>
      </c>
      <c r="E86" s="34">
        <f t="shared" si="79"/>
        <v>0</v>
      </c>
      <c r="F86" s="34">
        <f t="shared" si="79"/>
        <v>0</v>
      </c>
      <c r="G86" s="34">
        <f t="shared" si="79"/>
        <v>0</v>
      </c>
      <c r="H86" s="34">
        <f t="shared" si="79"/>
        <v>0</v>
      </c>
      <c r="I86" s="34">
        <f t="shared" si="79"/>
        <v>0</v>
      </c>
      <c r="J86" s="34">
        <f t="shared" ref="J86:Y86" si="80">+J83+J85</f>
        <v>0</v>
      </c>
      <c r="K86" s="34">
        <f t="shared" si="80"/>
        <v>0</v>
      </c>
      <c r="L86" s="34">
        <f t="shared" si="80"/>
        <v>0</v>
      </c>
      <c r="M86" s="34">
        <f t="shared" si="80"/>
        <v>0</v>
      </c>
      <c r="N86" s="34">
        <f t="shared" si="80"/>
        <v>0</v>
      </c>
      <c r="O86" s="34">
        <f t="shared" si="80"/>
        <v>0</v>
      </c>
      <c r="P86" s="34">
        <f t="shared" si="80"/>
        <v>0</v>
      </c>
      <c r="Q86" s="34">
        <f t="shared" si="80"/>
        <v>0</v>
      </c>
      <c r="R86" s="34">
        <f t="shared" si="80"/>
        <v>0</v>
      </c>
      <c r="S86" s="34">
        <f t="shared" si="80"/>
        <v>0</v>
      </c>
      <c r="T86" s="34">
        <f t="shared" si="80"/>
        <v>0</v>
      </c>
      <c r="U86" s="34">
        <f t="shared" si="80"/>
        <v>0</v>
      </c>
      <c r="V86" s="34">
        <f t="shared" si="80"/>
        <v>0</v>
      </c>
      <c r="W86" s="34">
        <f t="shared" si="80"/>
        <v>0</v>
      </c>
      <c r="X86" s="34">
        <f t="shared" si="80"/>
        <v>0</v>
      </c>
      <c r="Y86" s="34">
        <f t="shared" si="80"/>
        <v>0</v>
      </c>
      <c r="Z86" s="34">
        <f t="shared" ref="Z86:AA86" si="81">+Z83+Z85</f>
        <v>0</v>
      </c>
      <c r="AA86" s="325">
        <f t="shared" si="81"/>
        <v>0</v>
      </c>
    </row>
    <row r="87" spans="1:27" x14ac:dyDescent="0.25">
      <c r="A87" s="354"/>
      <c r="B87" s="16"/>
      <c r="C87" s="3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355"/>
    </row>
    <row r="88" spans="1:27" x14ac:dyDescent="0.25">
      <c r="A88" s="306" t="s">
        <v>54</v>
      </c>
      <c r="B88" s="25"/>
      <c r="C88" s="117"/>
      <c r="D88" s="117">
        <f>+'[1]MO. Operación'!$M$9</f>
        <v>16800000</v>
      </c>
      <c r="E88" s="117">
        <f>+'[1]MO. Operación'!$M$9+('[1]MO. Operación'!$M$9*3%)</f>
        <v>17304000</v>
      </c>
      <c r="F88" s="117">
        <f>+'[1]MO. Operación'!$M$9+('[1]MO. Operación'!$M$9*6%)</f>
        <v>17808000</v>
      </c>
      <c r="G88" s="117">
        <f>+'[1]MO. Operación'!$M$9+('[1]MO. Operación'!$M$9*9%)</f>
        <v>18312000</v>
      </c>
      <c r="H88" s="117">
        <f>+'[1]MO. Operación'!$M$9+('[1]MO. Operación'!$M$9*12%)</f>
        <v>18816000</v>
      </c>
      <c r="I88" s="117">
        <v>0</v>
      </c>
      <c r="J88" s="117">
        <v>0</v>
      </c>
      <c r="K88" s="117">
        <v>0</v>
      </c>
      <c r="L88" s="117">
        <v>0</v>
      </c>
      <c r="M88" s="117">
        <v>0</v>
      </c>
      <c r="N88" s="117">
        <v>0</v>
      </c>
      <c r="O88" s="117">
        <v>0</v>
      </c>
      <c r="P88" s="117">
        <v>0</v>
      </c>
      <c r="Q88" s="117">
        <v>0</v>
      </c>
      <c r="R88" s="117">
        <v>0</v>
      </c>
      <c r="S88" s="117">
        <v>0</v>
      </c>
      <c r="T88" s="117">
        <v>0</v>
      </c>
      <c r="U88" s="117">
        <v>0</v>
      </c>
      <c r="V88" s="117">
        <v>0</v>
      </c>
      <c r="W88" s="117">
        <v>0</v>
      </c>
      <c r="X88" s="117">
        <v>0</v>
      </c>
      <c r="Y88" s="117">
        <v>0</v>
      </c>
      <c r="Z88" s="117">
        <v>0</v>
      </c>
      <c r="AA88" s="323">
        <v>0</v>
      </c>
    </row>
    <row r="89" spans="1:27" x14ac:dyDescent="0.25">
      <c r="A89" s="306" t="s">
        <v>409</v>
      </c>
      <c r="B89" s="25"/>
      <c r="C89" s="117"/>
      <c r="D89" s="117">
        <f>+[1]Publicidad!$C$7</f>
        <v>1026990</v>
      </c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323"/>
    </row>
    <row r="90" spans="1:27" x14ac:dyDescent="0.25">
      <c r="A90" s="306" t="s">
        <v>80</v>
      </c>
      <c r="B90" s="25" t="s">
        <v>78</v>
      </c>
      <c r="C90" s="117"/>
      <c r="D90" s="117"/>
      <c r="E90" s="117"/>
      <c r="F90" s="117"/>
      <c r="G90" s="117"/>
      <c r="H90" s="117"/>
      <c r="I90" s="117">
        <v>0</v>
      </c>
      <c r="J90" s="117">
        <v>0</v>
      </c>
      <c r="K90" s="117">
        <v>0</v>
      </c>
      <c r="L90" s="117">
        <v>0</v>
      </c>
      <c r="M90" s="117">
        <v>0</v>
      </c>
      <c r="N90" s="117">
        <v>0</v>
      </c>
      <c r="O90" s="117">
        <v>0</v>
      </c>
      <c r="P90" s="117">
        <v>0</v>
      </c>
      <c r="Q90" s="117">
        <v>0</v>
      </c>
      <c r="R90" s="117">
        <v>0</v>
      </c>
      <c r="S90" s="117">
        <v>0</v>
      </c>
      <c r="T90" s="117">
        <v>0</v>
      </c>
      <c r="U90" s="117">
        <v>0</v>
      </c>
      <c r="V90" s="117">
        <v>0</v>
      </c>
      <c r="W90" s="117">
        <v>0</v>
      </c>
      <c r="X90" s="117">
        <v>0</v>
      </c>
      <c r="Y90" s="117">
        <v>0</v>
      </c>
      <c r="Z90" s="117">
        <v>0</v>
      </c>
      <c r="AA90" s="323">
        <v>0</v>
      </c>
    </row>
    <row r="91" spans="1:27" x14ac:dyDescent="0.25">
      <c r="A91" s="306"/>
      <c r="B91" s="25" t="s">
        <v>79</v>
      </c>
      <c r="C91" s="113"/>
      <c r="D91" s="113"/>
      <c r="E91" s="113"/>
      <c r="F91" s="113"/>
      <c r="G91" s="113"/>
      <c r="H91" s="113"/>
      <c r="I91" s="113">
        <v>0</v>
      </c>
      <c r="J91" s="113">
        <v>0</v>
      </c>
      <c r="K91" s="113">
        <v>0</v>
      </c>
      <c r="L91" s="113">
        <v>0</v>
      </c>
      <c r="M91" s="113">
        <v>0</v>
      </c>
      <c r="N91" s="113">
        <v>0</v>
      </c>
      <c r="O91" s="113">
        <v>0</v>
      </c>
      <c r="P91" s="113">
        <v>0</v>
      </c>
      <c r="Q91" s="113">
        <v>0</v>
      </c>
      <c r="R91" s="113">
        <v>0</v>
      </c>
      <c r="S91" s="113">
        <v>0</v>
      </c>
      <c r="T91" s="113">
        <v>0</v>
      </c>
      <c r="U91" s="113">
        <v>0</v>
      </c>
      <c r="V91" s="113">
        <v>0</v>
      </c>
      <c r="W91" s="113">
        <v>0</v>
      </c>
      <c r="X91" s="113">
        <v>0</v>
      </c>
      <c r="Y91" s="113">
        <v>0</v>
      </c>
      <c r="Z91" s="113">
        <v>0</v>
      </c>
      <c r="AA91" s="339">
        <v>0</v>
      </c>
    </row>
    <row r="92" spans="1:27" ht="15.75" x14ac:dyDescent="0.25">
      <c r="A92" s="324" t="s">
        <v>133</v>
      </c>
      <c r="B92" s="121">
        <v>1</v>
      </c>
      <c r="C92" s="34">
        <f t="shared" ref="C92:AA92" si="82">IF($B$92=1,(C88+C90),IF($B$92=2,(C88*(1+C91)),0))</f>
        <v>0</v>
      </c>
      <c r="D92" s="34">
        <f>IF($B$92=1,(D88+D89+D90),IF($B$92=2,(D88*(1+D91)),0))</f>
        <v>17826990</v>
      </c>
      <c r="E92" s="34">
        <f t="shared" si="82"/>
        <v>17304000</v>
      </c>
      <c r="F92" s="34">
        <f t="shared" si="82"/>
        <v>17808000</v>
      </c>
      <c r="G92" s="34">
        <f t="shared" si="82"/>
        <v>18312000</v>
      </c>
      <c r="H92" s="34">
        <f t="shared" si="82"/>
        <v>18816000</v>
      </c>
      <c r="I92" s="34">
        <f t="shared" si="82"/>
        <v>0</v>
      </c>
      <c r="J92" s="34">
        <f t="shared" si="82"/>
        <v>0</v>
      </c>
      <c r="K92" s="34">
        <f t="shared" si="82"/>
        <v>0</v>
      </c>
      <c r="L92" s="34">
        <f t="shared" si="82"/>
        <v>0</v>
      </c>
      <c r="M92" s="34">
        <f t="shared" si="82"/>
        <v>0</v>
      </c>
      <c r="N92" s="34">
        <f t="shared" si="82"/>
        <v>0</v>
      </c>
      <c r="O92" s="34">
        <f t="shared" si="82"/>
        <v>0</v>
      </c>
      <c r="P92" s="34">
        <f t="shared" si="82"/>
        <v>0</v>
      </c>
      <c r="Q92" s="34">
        <f t="shared" si="82"/>
        <v>0</v>
      </c>
      <c r="R92" s="34">
        <f t="shared" si="82"/>
        <v>0</v>
      </c>
      <c r="S92" s="34">
        <f t="shared" si="82"/>
        <v>0</v>
      </c>
      <c r="T92" s="34">
        <f t="shared" si="82"/>
        <v>0</v>
      </c>
      <c r="U92" s="34">
        <f t="shared" si="82"/>
        <v>0</v>
      </c>
      <c r="V92" s="34">
        <f t="shared" si="82"/>
        <v>0</v>
      </c>
      <c r="W92" s="34">
        <f t="shared" si="82"/>
        <v>0</v>
      </c>
      <c r="X92" s="34">
        <f t="shared" si="82"/>
        <v>0</v>
      </c>
      <c r="Y92" s="34">
        <f t="shared" si="82"/>
        <v>0</v>
      </c>
      <c r="Z92" s="34">
        <f t="shared" si="82"/>
        <v>0</v>
      </c>
      <c r="AA92" s="325">
        <f t="shared" si="82"/>
        <v>0</v>
      </c>
    </row>
    <row r="93" spans="1:27" ht="15.75" x14ac:dyDescent="0.25">
      <c r="A93" s="324"/>
      <c r="B93" s="2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25"/>
    </row>
    <row r="94" spans="1:27" ht="16.5" thickBot="1" x14ac:dyDescent="0.3">
      <c r="A94" s="343" t="s">
        <v>81</v>
      </c>
      <c r="B94" s="344"/>
      <c r="C94" s="345">
        <f t="shared" ref="C94" si="83">C92+C86+C17+C8</f>
        <v>0</v>
      </c>
      <c r="D94" s="345">
        <f>+D78+D79+D86+D92</f>
        <v>198226990</v>
      </c>
      <c r="E94" s="345">
        <f t="shared" ref="E94:AA94" si="84">+E78+E79+E86+E92</f>
        <v>203116000</v>
      </c>
      <c r="F94" s="345">
        <f t="shared" si="84"/>
        <v>204522000</v>
      </c>
      <c r="G94" s="345">
        <f t="shared" si="84"/>
        <v>205386800</v>
      </c>
      <c r="H94" s="345">
        <f t="shared" si="84"/>
        <v>204808400</v>
      </c>
      <c r="I94" s="345">
        <f t="shared" si="84"/>
        <v>0</v>
      </c>
      <c r="J94" s="345">
        <f t="shared" si="84"/>
        <v>0</v>
      </c>
      <c r="K94" s="345">
        <f t="shared" si="84"/>
        <v>0</v>
      </c>
      <c r="L94" s="345">
        <f t="shared" si="84"/>
        <v>0</v>
      </c>
      <c r="M94" s="345">
        <f t="shared" si="84"/>
        <v>0</v>
      </c>
      <c r="N94" s="345">
        <f t="shared" si="84"/>
        <v>0</v>
      </c>
      <c r="O94" s="345">
        <f t="shared" si="84"/>
        <v>0</v>
      </c>
      <c r="P94" s="345">
        <f t="shared" si="84"/>
        <v>0</v>
      </c>
      <c r="Q94" s="345">
        <f t="shared" si="84"/>
        <v>0</v>
      </c>
      <c r="R94" s="345">
        <f t="shared" si="84"/>
        <v>0</v>
      </c>
      <c r="S94" s="345">
        <f t="shared" si="84"/>
        <v>0</v>
      </c>
      <c r="T94" s="345">
        <f t="shared" si="84"/>
        <v>0</v>
      </c>
      <c r="U94" s="345">
        <f t="shared" si="84"/>
        <v>0</v>
      </c>
      <c r="V94" s="345">
        <f t="shared" si="84"/>
        <v>0</v>
      </c>
      <c r="W94" s="345">
        <f t="shared" si="84"/>
        <v>0</v>
      </c>
      <c r="X94" s="345">
        <f t="shared" si="84"/>
        <v>0</v>
      </c>
      <c r="Y94" s="345">
        <f t="shared" si="84"/>
        <v>0</v>
      </c>
      <c r="Z94" s="345">
        <f t="shared" si="84"/>
        <v>0</v>
      </c>
      <c r="AA94" s="345">
        <f t="shared" si="84"/>
        <v>0</v>
      </c>
    </row>
  </sheetData>
  <conditionalFormatting sqref="D10:H10">
    <cfRule type="cellIs" dxfId="124" priority="65" operator="greaterThan">
      <formula>0</formula>
    </cfRule>
  </conditionalFormatting>
  <conditionalFormatting sqref="I10:AA10">
    <cfRule type="cellIs" dxfId="123" priority="64" operator="greaterThan">
      <formula>0</formula>
    </cfRule>
  </conditionalFormatting>
  <conditionalFormatting sqref="D12:AA12">
    <cfRule type="cellIs" dxfId="122" priority="63" operator="greaterThan">
      <formula>0</formula>
    </cfRule>
  </conditionalFormatting>
  <conditionalFormatting sqref="D15:AA15">
    <cfRule type="cellIs" dxfId="121" priority="62" operator="greaterThan">
      <formula>0</formula>
    </cfRule>
  </conditionalFormatting>
  <conditionalFormatting sqref="D13">
    <cfRule type="cellIs" dxfId="120" priority="61" operator="greaterThan">
      <formula>0</formula>
    </cfRule>
  </conditionalFormatting>
  <conditionalFormatting sqref="E13:AA13">
    <cfRule type="cellIs" dxfId="119" priority="60" operator="greaterThan">
      <formula>0</formula>
    </cfRule>
  </conditionalFormatting>
  <conditionalFormatting sqref="D5:AA6">
    <cfRule type="cellIs" dxfId="118" priority="59" operator="greaterThan">
      <formula>0</formula>
    </cfRule>
  </conditionalFormatting>
  <conditionalFormatting sqref="C7:AA7">
    <cfRule type="cellIs" dxfId="117" priority="58" operator="greaterThan">
      <formula>0</formula>
    </cfRule>
  </conditionalFormatting>
  <conditionalFormatting sqref="D83:AA83">
    <cfRule type="cellIs" dxfId="116" priority="57" operator="greaterThan">
      <formula>0</formula>
    </cfRule>
  </conditionalFormatting>
  <conditionalFormatting sqref="D84:AA84">
    <cfRule type="cellIs" dxfId="115" priority="56" operator="greaterThan">
      <formula>0</formula>
    </cfRule>
  </conditionalFormatting>
  <conditionalFormatting sqref="D88:AA90">
    <cfRule type="cellIs" dxfId="114" priority="55" operator="greaterThan">
      <formula>0</formula>
    </cfRule>
  </conditionalFormatting>
  <conditionalFormatting sqref="D91:AA91">
    <cfRule type="cellIs" dxfId="113" priority="54" operator="greaterThan">
      <formula>0</formula>
    </cfRule>
  </conditionalFormatting>
  <conditionalFormatting sqref="C83">
    <cfRule type="cellIs" dxfId="112" priority="53" operator="greaterThan">
      <formula>0</formula>
    </cfRule>
  </conditionalFormatting>
  <conditionalFormatting sqref="C84">
    <cfRule type="cellIs" dxfId="111" priority="52" operator="greaterThan">
      <formula>0</formula>
    </cfRule>
  </conditionalFormatting>
  <conditionalFormatting sqref="C88:C89">
    <cfRule type="cellIs" dxfId="110" priority="51" operator="greaterThan">
      <formula>0</formula>
    </cfRule>
  </conditionalFormatting>
  <conditionalFormatting sqref="C90">
    <cfRule type="cellIs" dxfId="109" priority="50" operator="greaterThan">
      <formula>0</formula>
    </cfRule>
  </conditionalFormatting>
  <conditionalFormatting sqref="C91">
    <cfRule type="cellIs" dxfId="108" priority="49" operator="greaterThan">
      <formula>0</formula>
    </cfRule>
  </conditionalFormatting>
  <conditionalFormatting sqref="C5">
    <cfRule type="cellIs" dxfId="107" priority="48" operator="greaterThan">
      <formula>0</formula>
    </cfRule>
  </conditionalFormatting>
  <conditionalFormatting sqref="C25:D25">
    <cfRule type="cellIs" dxfId="106" priority="43" operator="greaterThan">
      <formula>0</formula>
    </cfRule>
  </conditionalFormatting>
  <conditionalFormatting sqref="E25:AA25">
    <cfRule type="cellIs" dxfId="105" priority="42" operator="greaterThan">
      <formula>0</formula>
    </cfRule>
  </conditionalFormatting>
  <conditionalFormatting sqref="C27:AA27">
    <cfRule type="cellIs" dxfId="104" priority="41" operator="greaterThan">
      <formula>0</formula>
    </cfRule>
  </conditionalFormatting>
  <conditionalFormatting sqref="C30:AA30">
    <cfRule type="cellIs" dxfId="103" priority="40" operator="greaterThan">
      <formula>0</formula>
    </cfRule>
  </conditionalFormatting>
  <conditionalFormatting sqref="C28:D28">
    <cfRule type="cellIs" dxfId="102" priority="39" operator="greaterThan">
      <formula>0</formula>
    </cfRule>
  </conditionalFormatting>
  <conditionalFormatting sqref="E28:AA28">
    <cfRule type="cellIs" dxfId="101" priority="38" operator="greaterThan">
      <formula>0</formula>
    </cfRule>
  </conditionalFormatting>
  <conditionalFormatting sqref="D20:AA21">
    <cfRule type="cellIs" dxfId="100" priority="37" operator="greaterThan">
      <formula>0</formula>
    </cfRule>
  </conditionalFormatting>
  <conditionalFormatting sqref="C22:AA22">
    <cfRule type="cellIs" dxfId="99" priority="36" operator="greaterThan">
      <formula>0</formula>
    </cfRule>
  </conditionalFormatting>
  <conditionalFormatting sqref="C20">
    <cfRule type="cellIs" dxfId="98" priority="35" operator="greaterThan">
      <formula>0</formula>
    </cfRule>
  </conditionalFormatting>
  <conditionalFormatting sqref="C40:D40">
    <cfRule type="cellIs" dxfId="97" priority="34" operator="greaterThan">
      <formula>0</formula>
    </cfRule>
  </conditionalFormatting>
  <conditionalFormatting sqref="E40:AA40">
    <cfRule type="cellIs" dxfId="96" priority="33" operator="greaterThan">
      <formula>0</formula>
    </cfRule>
  </conditionalFormatting>
  <conditionalFormatting sqref="C42:AA42">
    <cfRule type="cellIs" dxfId="95" priority="32" operator="greaterThan">
      <formula>0</formula>
    </cfRule>
  </conditionalFormatting>
  <conditionalFormatting sqref="C45:AA45">
    <cfRule type="cellIs" dxfId="94" priority="31" operator="greaterThan">
      <formula>0</formula>
    </cfRule>
  </conditionalFormatting>
  <conditionalFormatting sqref="C43:D43">
    <cfRule type="cellIs" dxfId="93" priority="30" operator="greaterThan">
      <formula>0</formula>
    </cfRule>
  </conditionalFormatting>
  <conditionalFormatting sqref="E43:AA43">
    <cfRule type="cellIs" dxfId="92" priority="29" operator="greaterThan">
      <formula>0</formula>
    </cfRule>
  </conditionalFormatting>
  <conditionalFormatting sqref="D36:AA36">
    <cfRule type="cellIs" dxfId="91" priority="28" operator="greaterThan">
      <formula>0</formula>
    </cfRule>
  </conditionalFormatting>
  <conditionalFormatting sqref="C37:AA37">
    <cfRule type="cellIs" dxfId="90" priority="27" operator="greaterThan">
      <formula>0</formula>
    </cfRule>
  </conditionalFormatting>
  <conditionalFormatting sqref="C55:D55">
    <cfRule type="cellIs" dxfId="89" priority="25" operator="greaterThan">
      <formula>0</formula>
    </cfRule>
  </conditionalFormatting>
  <conditionalFormatting sqref="E55:AA55">
    <cfRule type="cellIs" dxfId="88" priority="24" operator="greaterThan">
      <formula>0</formula>
    </cfRule>
  </conditionalFormatting>
  <conditionalFormatting sqref="C57:AA57">
    <cfRule type="cellIs" dxfId="87" priority="23" operator="greaterThan">
      <formula>0</formula>
    </cfRule>
  </conditionalFormatting>
  <conditionalFormatting sqref="C60:AA60">
    <cfRule type="cellIs" dxfId="86" priority="22" operator="greaterThan">
      <formula>0</formula>
    </cfRule>
  </conditionalFormatting>
  <conditionalFormatting sqref="C58:D58">
    <cfRule type="cellIs" dxfId="85" priority="21" operator="greaterThan">
      <formula>0</formula>
    </cfRule>
  </conditionalFormatting>
  <conditionalFormatting sqref="E58:AA58">
    <cfRule type="cellIs" dxfId="84" priority="20" operator="greaterThan">
      <formula>0</formula>
    </cfRule>
  </conditionalFormatting>
  <conditionalFormatting sqref="D51:AA51">
    <cfRule type="cellIs" dxfId="83" priority="19" operator="greaterThan">
      <formula>0</formula>
    </cfRule>
  </conditionalFormatting>
  <conditionalFormatting sqref="C52:AA52">
    <cfRule type="cellIs" dxfId="82" priority="18" operator="greaterThan">
      <formula>0</formula>
    </cfRule>
  </conditionalFormatting>
  <conditionalFormatting sqref="C70:D70">
    <cfRule type="cellIs" dxfId="81" priority="16" operator="greaterThan">
      <formula>0</formula>
    </cfRule>
  </conditionalFormatting>
  <conditionalFormatting sqref="E70:AA70">
    <cfRule type="cellIs" dxfId="80" priority="15" operator="greaterThan">
      <formula>0</formula>
    </cfRule>
  </conditionalFormatting>
  <conditionalFormatting sqref="C72:AA72">
    <cfRule type="cellIs" dxfId="79" priority="14" operator="greaterThan">
      <formula>0</formula>
    </cfRule>
  </conditionalFormatting>
  <conditionalFormatting sqref="C75:AA75">
    <cfRule type="cellIs" dxfId="78" priority="13" operator="greaterThan">
      <formula>0</formula>
    </cfRule>
  </conditionalFormatting>
  <conditionalFormatting sqref="C73:D73">
    <cfRule type="cellIs" dxfId="77" priority="12" operator="greaterThan">
      <formula>0</formula>
    </cfRule>
  </conditionalFormatting>
  <conditionalFormatting sqref="E73:AA73">
    <cfRule type="cellIs" dxfId="76" priority="11" operator="greaterThan">
      <formula>0</formula>
    </cfRule>
  </conditionalFormatting>
  <conditionalFormatting sqref="D66:AA66">
    <cfRule type="cellIs" dxfId="75" priority="10" operator="greaterThan">
      <formula>0</formula>
    </cfRule>
  </conditionalFormatting>
  <conditionalFormatting sqref="C67:AA67">
    <cfRule type="cellIs" dxfId="74" priority="9" operator="greaterThan">
      <formula>0</formula>
    </cfRule>
  </conditionalFormatting>
  <conditionalFormatting sqref="D35:AA35">
    <cfRule type="cellIs" dxfId="73" priority="7" operator="greaterThan">
      <formula>0</formula>
    </cfRule>
  </conditionalFormatting>
  <conditionalFormatting sqref="C35">
    <cfRule type="cellIs" dxfId="72" priority="6" operator="greaterThan">
      <formula>0</formula>
    </cfRule>
  </conditionalFormatting>
  <conditionalFormatting sqref="D50:AA50">
    <cfRule type="cellIs" dxfId="71" priority="5" operator="greaterThan">
      <formula>0</formula>
    </cfRule>
  </conditionalFormatting>
  <conditionalFormatting sqref="C50">
    <cfRule type="cellIs" dxfId="70" priority="4" operator="greaterThan">
      <formula>0</formula>
    </cfRule>
  </conditionalFormatting>
  <conditionalFormatting sqref="D65:AA65">
    <cfRule type="cellIs" dxfId="69" priority="3" operator="greaterThan">
      <formula>0</formula>
    </cfRule>
  </conditionalFormatting>
  <conditionalFormatting sqref="C65">
    <cfRule type="cellIs" dxfId="68" priority="2" operator="greaterThan">
      <formula>0</formula>
    </cfRule>
  </conditionalFormatting>
  <dataValidations count="2">
    <dataValidation type="list" allowBlank="1" showInputMessage="1" showErrorMessage="1" errorTitle="Error en la entrada de datos" error="Debe ser valor de 1 o 2" promptTitle="Debe entrar 1 o 2" prompt="1 Es valor en $_x000a_2 Es %" sqref="B92:B93" xr:uid="{00000000-0002-0000-0200-000000000000}">
      <formula1>"1,2"</formula1>
    </dataValidation>
    <dataValidation type="list" allowBlank="1" showInputMessage="1" showErrorMessage="1" errorTitle="Error en la entrada de datos" error="Debe ser valor de 1 o 2 o 3" promptTitle="Debe entrar 1 o 2 o 3" prompt="1 Es valor en $_x000a_2 Es %_x000a_3 Es valor $ y %" sqref="B8 B23 B38 B53 B68" xr:uid="{00000000-0002-0000-0200-000001000000}">
      <formula1>"1,2,3"</formula1>
    </dataValidation>
  </dataValidations>
  <hyperlinks>
    <hyperlink ref="A1" location="Menu!A1" display="Menu" xr:uid="{00000000-0004-0000-0200-000000000000}"/>
  </hyperlinks>
  <pageMargins left="0.7" right="0.7" top="0.75" bottom="0.75" header="0.3" footer="0.3"/>
  <pageSetup paperSize="9"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/>
  <dimension ref="B1:AB9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6" sqref="D6"/>
    </sheetView>
  </sheetViews>
  <sheetFormatPr baseColWidth="10" defaultColWidth="11" defaultRowHeight="15" x14ac:dyDescent="0.25"/>
  <cols>
    <col min="2" max="2" width="51" bestFit="1" customWidth="1"/>
    <col min="3" max="3" width="5.42578125" bestFit="1" customWidth="1"/>
    <col min="4" max="5" width="13.5703125" bestFit="1" customWidth="1"/>
    <col min="6" max="6" width="19.140625" customWidth="1"/>
    <col min="7" max="7" width="13.85546875" customWidth="1"/>
    <col min="8" max="8" width="14.140625" customWidth="1"/>
    <col min="9" max="27" width="11.42578125" hidden="1" customWidth="1"/>
    <col min="28" max="30" width="0" hidden="1" customWidth="1"/>
  </cols>
  <sheetData>
    <row r="1" spans="2:28" ht="15.75" thickBot="1" x14ac:dyDescent="0.3"/>
    <row r="2" spans="2:28" ht="18.75" thickBot="1" x14ac:dyDescent="0.3">
      <c r="B2" s="367" t="s">
        <v>237</v>
      </c>
    </row>
    <row r="3" spans="2:28" ht="15.75" thickBot="1" x14ac:dyDescent="0.3">
      <c r="B3" s="418" t="s">
        <v>189</v>
      </c>
      <c r="C3" s="376">
        <v>365</v>
      </c>
    </row>
    <row r="4" spans="2:28" ht="15.75" thickBot="1" x14ac:dyDescent="0.3">
      <c r="B4" s="18"/>
      <c r="C4" s="317"/>
    </row>
    <row r="5" spans="2:28" ht="15.75" thickBot="1" x14ac:dyDescent="0.3">
      <c r="B5" s="419" t="s">
        <v>327</v>
      </c>
      <c r="C5" s="420">
        <v>0</v>
      </c>
      <c r="D5" s="420">
        <v>132000000</v>
      </c>
      <c r="E5" s="420">
        <f>+D5+(D5*3.5%)</f>
        <v>136620000</v>
      </c>
      <c r="F5" s="420">
        <f>+E5+(E5*3.5%)</f>
        <v>141401700</v>
      </c>
      <c r="G5" s="420">
        <f>+F5+(F5*3.5%)</f>
        <v>146350759.5</v>
      </c>
      <c r="H5" s="420">
        <f t="shared" ref="H5" si="0">+G5+(G5*3.5%)</f>
        <v>151473036.08250001</v>
      </c>
      <c r="I5" s="420">
        <v>0</v>
      </c>
      <c r="J5" s="420">
        <v>0</v>
      </c>
      <c r="K5" s="420">
        <v>0</v>
      </c>
      <c r="L5" s="420">
        <v>0</v>
      </c>
      <c r="M5" s="420">
        <v>0</v>
      </c>
      <c r="N5" s="420">
        <v>0</v>
      </c>
      <c r="O5" s="420">
        <v>0</v>
      </c>
      <c r="P5" s="420">
        <v>0</v>
      </c>
      <c r="Q5" s="420">
        <v>0</v>
      </c>
      <c r="R5" s="420">
        <v>0</v>
      </c>
      <c r="S5" s="420">
        <v>0</v>
      </c>
      <c r="T5" s="420">
        <v>0</v>
      </c>
      <c r="U5" s="420">
        <v>0</v>
      </c>
      <c r="V5" s="420">
        <v>0</v>
      </c>
      <c r="W5" s="420">
        <v>0</v>
      </c>
      <c r="X5" s="420">
        <v>0</v>
      </c>
      <c r="Y5" s="420">
        <v>0</v>
      </c>
      <c r="Z5" s="420">
        <v>0</v>
      </c>
      <c r="AA5" s="421">
        <v>0</v>
      </c>
    </row>
    <row r="6" spans="2:28" ht="15.75" thickBot="1" x14ac:dyDescent="0.3">
      <c r="B6" s="18"/>
      <c r="C6" s="317"/>
    </row>
    <row r="7" spans="2:28" ht="18.75" x14ac:dyDescent="0.3">
      <c r="B7" s="368" t="s">
        <v>284</v>
      </c>
      <c r="C7" s="348">
        <v>0</v>
      </c>
      <c r="D7" s="348">
        <f>+C7+1</f>
        <v>1</v>
      </c>
      <c r="E7" s="348">
        <f t="shared" ref="E7:K7" si="1">+D7+1</f>
        <v>2</v>
      </c>
      <c r="F7" s="348">
        <f t="shared" si="1"/>
        <v>3</v>
      </c>
      <c r="G7" s="348">
        <f t="shared" si="1"/>
        <v>4</v>
      </c>
      <c r="H7" s="348">
        <f t="shared" si="1"/>
        <v>5</v>
      </c>
      <c r="I7" s="348">
        <f t="shared" si="1"/>
        <v>6</v>
      </c>
      <c r="J7" s="348">
        <f t="shared" si="1"/>
        <v>7</v>
      </c>
      <c r="K7" s="348">
        <f t="shared" si="1"/>
        <v>8</v>
      </c>
      <c r="L7" s="348">
        <f t="shared" ref="L7" si="2">+K7+1</f>
        <v>9</v>
      </c>
      <c r="M7" s="348">
        <f t="shared" ref="M7" si="3">+L7+1</f>
        <v>10</v>
      </c>
      <c r="N7" s="348">
        <f t="shared" ref="N7" si="4">+M7+1</f>
        <v>11</v>
      </c>
      <c r="O7" s="348">
        <f t="shared" ref="O7" si="5">+N7+1</f>
        <v>12</v>
      </c>
      <c r="P7" s="348">
        <f t="shared" ref="P7" si="6">+O7+1</f>
        <v>13</v>
      </c>
      <c r="Q7" s="348">
        <f t="shared" ref="Q7" si="7">+P7+1</f>
        <v>14</v>
      </c>
      <c r="R7" s="348">
        <f t="shared" ref="R7" si="8">+Q7+1</f>
        <v>15</v>
      </c>
      <c r="S7" s="348">
        <f t="shared" ref="S7" si="9">+R7+1</f>
        <v>16</v>
      </c>
      <c r="T7" s="348">
        <f t="shared" ref="T7" si="10">+S7+1</f>
        <v>17</v>
      </c>
      <c r="U7" s="348">
        <f t="shared" ref="U7" si="11">+T7+1</f>
        <v>18</v>
      </c>
      <c r="V7" s="348">
        <f t="shared" ref="V7" si="12">+U7+1</f>
        <v>19</v>
      </c>
      <c r="W7" s="348">
        <f t="shared" ref="W7" si="13">+V7+1</f>
        <v>20</v>
      </c>
      <c r="X7" s="348">
        <f t="shared" ref="X7" si="14">+W7+1</f>
        <v>21</v>
      </c>
      <c r="Y7" s="348">
        <f t="shared" ref="Y7" si="15">+X7+1</f>
        <v>22</v>
      </c>
      <c r="Z7" s="348">
        <f t="shared" ref="Z7" si="16">+Y7+1</f>
        <v>23</v>
      </c>
      <c r="AA7" s="369">
        <f t="shared" ref="AA7" si="17">+Z7+1</f>
        <v>24</v>
      </c>
    </row>
    <row r="8" spans="2:28" x14ac:dyDescent="0.25">
      <c r="B8" s="341" t="s">
        <v>185</v>
      </c>
      <c r="C8" s="35"/>
      <c r="D8" s="169">
        <v>0.2</v>
      </c>
      <c r="E8" s="169">
        <v>0.3</v>
      </c>
      <c r="F8" s="169">
        <v>0.5</v>
      </c>
      <c r="G8" s="169">
        <v>0.7</v>
      </c>
      <c r="H8" s="169">
        <v>0.7</v>
      </c>
      <c r="I8" s="169">
        <v>1</v>
      </c>
      <c r="J8" s="169">
        <v>1</v>
      </c>
      <c r="K8" s="169">
        <v>1</v>
      </c>
      <c r="L8" s="169">
        <v>1</v>
      </c>
      <c r="M8" s="169">
        <v>1</v>
      </c>
      <c r="N8" s="169">
        <v>1</v>
      </c>
      <c r="O8" s="169">
        <v>1</v>
      </c>
      <c r="P8" s="169">
        <v>1</v>
      </c>
      <c r="Q8" s="169">
        <v>1</v>
      </c>
      <c r="R8" s="169">
        <v>1</v>
      </c>
      <c r="S8" s="169">
        <v>1</v>
      </c>
      <c r="T8" s="169">
        <v>1</v>
      </c>
      <c r="U8" s="169">
        <v>1</v>
      </c>
      <c r="V8" s="169">
        <v>1</v>
      </c>
      <c r="W8" s="169">
        <v>1</v>
      </c>
      <c r="X8" s="169">
        <v>1</v>
      </c>
      <c r="Y8" s="169">
        <v>1</v>
      </c>
      <c r="Z8" s="169">
        <v>1</v>
      </c>
      <c r="AA8" s="370">
        <v>1</v>
      </c>
    </row>
    <row r="9" spans="2:28" x14ac:dyDescent="0.25">
      <c r="B9" s="341" t="s">
        <v>186</v>
      </c>
      <c r="C9" s="35"/>
      <c r="D9" s="168">
        <f>1-D8</f>
        <v>0.8</v>
      </c>
      <c r="E9" s="168">
        <f t="shared" ref="E9:K9" si="18">1-E8</f>
        <v>0.7</v>
      </c>
      <c r="F9" s="168">
        <f t="shared" si="18"/>
        <v>0.5</v>
      </c>
      <c r="G9" s="168">
        <f t="shared" si="18"/>
        <v>0.30000000000000004</v>
      </c>
      <c r="H9" s="168">
        <f t="shared" si="18"/>
        <v>0.30000000000000004</v>
      </c>
      <c r="I9" s="168">
        <f t="shared" si="18"/>
        <v>0</v>
      </c>
      <c r="J9" s="168">
        <f t="shared" si="18"/>
        <v>0</v>
      </c>
      <c r="K9" s="168">
        <f t="shared" si="18"/>
        <v>0</v>
      </c>
      <c r="L9" s="168">
        <f t="shared" ref="L9:S9" si="19">1-L8</f>
        <v>0</v>
      </c>
      <c r="M9" s="168">
        <f t="shared" si="19"/>
        <v>0</v>
      </c>
      <c r="N9" s="168">
        <f t="shared" si="19"/>
        <v>0</v>
      </c>
      <c r="O9" s="168">
        <f t="shared" si="19"/>
        <v>0</v>
      </c>
      <c r="P9" s="168">
        <f t="shared" si="19"/>
        <v>0</v>
      </c>
      <c r="Q9" s="168">
        <f t="shared" si="19"/>
        <v>0</v>
      </c>
      <c r="R9" s="168">
        <f t="shared" si="19"/>
        <v>0</v>
      </c>
      <c r="S9" s="168">
        <f t="shared" si="19"/>
        <v>0</v>
      </c>
      <c r="T9" s="168">
        <f t="shared" ref="T9:AA9" si="20">1-T8</f>
        <v>0</v>
      </c>
      <c r="U9" s="168">
        <f t="shared" si="20"/>
        <v>0</v>
      </c>
      <c r="V9" s="168">
        <f t="shared" si="20"/>
        <v>0</v>
      </c>
      <c r="W9" s="168">
        <f t="shared" si="20"/>
        <v>0</v>
      </c>
      <c r="X9" s="168">
        <f t="shared" si="20"/>
        <v>0</v>
      </c>
      <c r="Y9" s="168">
        <f t="shared" si="20"/>
        <v>0</v>
      </c>
      <c r="Z9" s="168">
        <f t="shared" si="20"/>
        <v>0</v>
      </c>
      <c r="AA9" s="371">
        <f t="shared" si="20"/>
        <v>0</v>
      </c>
    </row>
    <row r="10" spans="2:28" x14ac:dyDescent="0.25">
      <c r="B10" s="341" t="s">
        <v>187</v>
      </c>
      <c r="C10" s="35"/>
      <c r="D10" s="170">
        <v>120</v>
      </c>
      <c r="E10" s="170">
        <v>90</v>
      </c>
      <c r="F10" s="170">
        <v>90</v>
      </c>
      <c r="G10" s="170">
        <v>60</v>
      </c>
      <c r="H10" s="170">
        <v>60</v>
      </c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372"/>
    </row>
    <row r="11" spans="2:28" x14ac:dyDescent="0.25">
      <c r="B11" s="381" t="s">
        <v>188</v>
      </c>
      <c r="C11" s="382">
        <v>365</v>
      </c>
      <c r="D11" s="382">
        <f>+C3</f>
        <v>365</v>
      </c>
      <c r="E11" s="382">
        <f>+D11</f>
        <v>365</v>
      </c>
      <c r="F11" s="382">
        <f t="shared" ref="F11:K11" si="21">+E11</f>
        <v>365</v>
      </c>
      <c r="G11" s="382">
        <f t="shared" si="21"/>
        <v>365</v>
      </c>
      <c r="H11" s="382">
        <f t="shared" si="21"/>
        <v>365</v>
      </c>
      <c r="I11" s="382">
        <f t="shared" si="21"/>
        <v>365</v>
      </c>
      <c r="J11" s="382">
        <f t="shared" si="21"/>
        <v>365</v>
      </c>
      <c r="K11" s="382">
        <f t="shared" si="21"/>
        <v>365</v>
      </c>
      <c r="L11" s="382">
        <f t="shared" ref="L11" si="22">+K11</f>
        <v>365</v>
      </c>
      <c r="M11" s="382">
        <f t="shared" ref="M11" si="23">+L11</f>
        <v>365</v>
      </c>
      <c r="N11" s="382">
        <f t="shared" ref="N11" si="24">+M11</f>
        <v>365</v>
      </c>
      <c r="O11" s="382">
        <f t="shared" ref="O11" si="25">+N11</f>
        <v>365</v>
      </c>
      <c r="P11" s="382">
        <f t="shared" ref="P11" si="26">+O11</f>
        <v>365</v>
      </c>
      <c r="Q11" s="382">
        <f t="shared" ref="Q11" si="27">+P11</f>
        <v>365</v>
      </c>
      <c r="R11" s="382">
        <f t="shared" ref="R11" si="28">+Q11</f>
        <v>365</v>
      </c>
      <c r="S11" s="382">
        <f t="shared" ref="S11" si="29">+R11</f>
        <v>365</v>
      </c>
      <c r="T11" s="382">
        <f t="shared" ref="T11" si="30">+S11</f>
        <v>365</v>
      </c>
      <c r="U11" s="382">
        <f t="shared" ref="U11" si="31">+T11</f>
        <v>365</v>
      </c>
      <c r="V11" s="382">
        <f t="shared" ref="V11" si="32">+U11</f>
        <v>365</v>
      </c>
      <c r="W11" s="382">
        <f t="shared" ref="W11" si="33">+V11</f>
        <v>365</v>
      </c>
      <c r="X11" s="382">
        <f t="shared" ref="X11" si="34">+W11</f>
        <v>365</v>
      </c>
      <c r="Y11" s="382">
        <f t="shared" ref="Y11" si="35">+X11</f>
        <v>365</v>
      </c>
      <c r="Z11" s="382">
        <f t="shared" ref="Z11" si="36">+Y11</f>
        <v>365</v>
      </c>
      <c r="AA11" s="383">
        <f t="shared" ref="AA11" si="37">+Z11</f>
        <v>365</v>
      </c>
    </row>
    <row r="12" spans="2:28" ht="15.75" thickBot="1" x14ac:dyDescent="0.3">
      <c r="B12" s="384" t="s">
        <v>289</v>
      </c>
      <c r="C12" s="385"/>
      <c r="D12" s="385">
        <f>'Ppto Ing'!E$13*'Capital de Trabajo'!D9*('Capital de Trabajo'!D10/'Capital de Trabajo'!D11)</f>
        <v>0</v>
      </c>
      <c r="E12" s="385">
        <f>'Ppto Ing'!F$13*'Capital de Trabajo'!E9*('Capital de Trabajo'!E10/'Capital de Trabajo'!E11)</f>
        <v>0</v>
      </c>
      <c r="F12" s="385">
        <f>'Ppto Ing'!G$13*'Capital de Trabajo'!F9*('Capital de Trabajo'!F10/'Capital de Trabajo'!F11)</f>
        <v>0</v>
      </c>
      <c r="G12" s="385">
        <f>'Ppto Ing'!H$13*'Capital de Trabajo'!G9*('Capital de Trabajo'!G10/'Capital de Trabajo'!G11)</f>
        <v>0</v>
      </c>
      <c r="H12" s="385">
        <f>'Ppto Ing'!I$13*'Capital de Trabajo'!H9*('Capital de Trabajo'!H10/'Capital de Trabajo'!H11)</f>
        <v>0</v>
      </c>
      <c r="I12" s="385">
        <f>'Ppto Ing'!J$13*'Capital de Trabajo'!I9*('Capital de Trabajo'!I10/'Capital de Trabajo'!I11)</f>
        <v>0</v>
      </c>
      <c r="J12" s="385">
        <f>'Ppto Ing'!K$13*'Capital de Trabajo'!J9*('Capital de Trabajo'!J10/'Capital de Trabajo'!J11)</f>
        <v>0</v>
      </c>
      <c r="K12" s="385">
        <f>'Ppto Ing'!L$13*'Capital de Trabajo'!K9*('Capital de Trabajo'!K10/'Capital de Trabajo'!K11)</f>
        <v>0</v>
      </c>
      <c r="L12" s="385">
        <f>'Ppto Ing'!M$13*'Capital de Trabajo'!L9*('Capital de Trabajo'!L10/'Capital de Trabajo'!L11)</f>
        <v>0</v>
      </c>
      <c r="M12" s="385">
        <f>'Ppto Ing'!N$13*'Capital de Trabajo'!M9*('Capital de Trabajo'!M10/'Capital de Trabajo'!M11)</f>
        <v>0</v>
      </c>
      <c r="N12" s="385">
        <f>'Ppto Ing'!O$13*'Capital de Trabajo'!N9*('Capital de Trabajo'!N10/'Capital de Trabajo'!N11)</f>
        <v>0</v>
      </c>
      <c r="O12" s="385">
        <f>'Ppto Ing'!P$13*'Capital de Trabajo'!O9*('Capital de Trabajo'!O10/'Capital de Trabajo'!O11)</f>
        <v>0</v>
      </c>
      <c r="P12" s="385">
        <f>'Ppto Ing'!Q$13*'Capital de Trabajo'!P9*('Capital de Trabajo'!P10/'Capital de Trabajo'!P11)</f>
        <v>0</v>
      </c>
      <c r="Q12" s="385">
        <f>'Ppto Ing'!R$13*'Capital de Trabajo'!Q9*('Capital de Trabajo'!Q10/'Capital de Trabajo'!Q11)</f>
        <v>0</v>
      </c>
      <c r="R12" s="385">
        <f>'Ppto Ing'!S$13*'Capital de Trabajo'!R9*('Capital de Trabajo'!R10/'Capital de Trabajo'!R11)</f>
        <v>0</v>
      </c>
      <c r="S12" s="385">
        <f>'Ppto Ing'!T$13*'Capital de Trabajo'!S9*('Capital de Trabajo'!S10/'Capital de Trabajo'!S11)</f>
        <v>0</v>
      </c>
      <c r="T12" s="385">
        <f>'Ppto Ing'!U$13*'Capital de Trabajo'!T9*('Capital de Trabajo'!T10/'Capital de Trabajo'!T11)</f>
        <v>0</v>
      </c>
      <c r="U12" s="385">
        <f>'Ppto Ing'!V$13*'Capital de Trabajo'!U9*('Capital de Trabajo'!U10/'Capital de Trabajo'!U11)</f>
        <v>0</v>
      </c>
      <c r="V12" s="385">
        <f>'Ppto Ing'!W$13*'Capital de Trabajo'!V9*('Capital de Trabajo'!V10/'Capital de Trabajo'!V11)</f>
        <v>0</v>
      </c>
      <c r="W12" s="385">
        <f>'Ppto Ing'!X$13*'Capital de Trabajo'!W9*('Capital de Trabajo'!W10/'Capital de Trabajo'!W11)</f>
        <v>0</v>
      </c>
      <c r="X12" s="385">
        <f>'Ppto Ing'!Y$13*'Capital de Trabajo'!X9*('Capital de Trabajo'!X10/'Capital de Trabajo'!X11)</f>
        <v>0</v>
      </c>
      <c r="Y12" s="385">
        <f>'Ppto Ing'!Z$13*'Capital de Trabajo'!Y9*('Capital de Trabajo'!Y10/'Capital de Trabajo'!Y11)</f>
        <v>0</v>
      </c>
      <c r="Z12" s="385">
        <f>'Ppto Ing'!AA$13*'Capital de Trabajo'!Z9*('Capital de Trabajo'!Z10/'Capital de Trabajo'!Z11)</f>
        <v>0</v>
      </c>
      <c r="AA12" s="385">
        <f>'Ppto Ing'!AB$13*'Capital de Trabajo'!AA9*('Capital de Trabajo'!AA10/'Capital de Trabajo'!AA11)</f>
        <v>0</v>
      </c>
      <c r="AB12" s="380"/>
    </row>
    <row r="13" spans="2:28" ht="15.75" thickBot="1" x14ac:dyDescent="0.3"/>
    <row r="14" spans="2:28" ht="18.75" x14ac:dyDescent="0.3">
      <c r="B14" s="368" t="s">
        <v>285</v>
      </c>
      <c r="C14" s="348">
        <v>0</v>
      </c>
      <c r="D14" s="348">
        <f>+C14+1</f>
        <v>1</v>
      </c>
      <c r="E14" s="348">
        <f t="shared" ref="E14" si="38">+D14+1</f>
        <v>2</v>
      </c>
      <c r="F14" s="348">
        <f t="shared" ref="F14" si="39">+E14+1</f>
        <v>3</v>
      </c>
      <c r="G14" s="348">
        <f t="shared" ref="G14" si="40">+F14+1</f>
        <v>4</v>
      </c>
      <c r="H14" s="348">
        <f t="shared" ref="H14" si="41">+G14+1</f>
        <v>5</v>
      </c>
      <c r="I14" s="348">
        <f t="shared" ref="I14" si="42">+H14+1</f>
        <v>6</v>
      </c>
      <c r="J14" s="348">
        <f t="shared" ref="J14" si="43">+I14+1</f>
        <v>7</v>
      </c>
      <c r="K14" s="348">
        <f t="shared" ref="K14" si="44">+J14+1</f>
        <v>8</v>
      </c>
      <c r="L14" s="348">
        <f t="shared" ref="L14" si="45">+K14+1</f>
        <v>9</v>
      </c>
      <c r="M14" s="348">
        <f t="shared" ref="M14" si="46">+L14+1</f>
        <v>10</v>
      </c>
      <c r="N14" s="348">
        <f t="shared" ref="N14" si="47">+M14+1</f>
        <v>11</v>
      </c>
      <c r="O14" s="348">
        <f t="shared" ref="O14" si="48">+N14+1</f>
        <v>12</v>
      </c>
      <c r="P14" s="348">
        <f t="shared" ref="P14" si="49">+O14+1</f>
        <v>13</v>
      </c>
      <c r="Q14" s="348">
        <f t="shared" ref="Q14" si="50">+P14+1</f>
        <v>14</v>
      </c>
      <c r="R14" s="348">
        <f t="shared" ref="R14" si="51">+Q14+1</f>
        <v>15</v>
      </c>
      <c r="S14" s="348">
        <f t="shared" ref="S14" si="52">+R14+1</f>
        <v>16</v>
      </c>
      <c r="T14" s="348">
        <f t="shared" ref="T14" si="53">+S14+1</f>
        <v>17</v>
      </c>
      <c r="U14" s="348">
        <f t="shared" ref="U14" si="54">+T14+1</f>
        <v>18</v>
      </c>
      <c r="V14" s="348">
        <f t="shared" ref="V14" si="55">+U14+1</f>
        <v>19</v>
      </c>
      <c r="W14" s="348">
        <f t="shared" ref="W14" si="56">+V14+1</f>
        <v>20</v>
      </c>
      <c r="X14" s="348">
        <f t="shared" ref="X14" si="57">+W14+1</f>
        <v>21</v>
      </c>
      <c r="Y14" s="348">
        <f t="shared" ref="Y14" si="58">+X14+1</f>
        <v>22</v>
      </c>
      <c r="Z14" s="348">
        <f t="shared" ref="Z14" si="59">+Y14+1</f>
        <v>23</v>
      </c>
      <c r="AA14" s="369">
        <f t="shared" ref="AA14" si="60">+Z14+1</f>
        <v>24</v>
      </c>
    </row>
    <row r="15" spans="2:28" x14ac:dyDescent="0.25">
      <c r="B15" s="341" t="s">
        <v>185</v>
      </c>
      <c r="C15" s="35"/>
      <c r="D15" s="169">
        <v>1</v>
      </c>
      <c r="E15" s="169">
        <v>1</v>
      </c>
      <c r="F15" s="169">
        <v>1</v>
      </c>
      <c r="G15" s="169">
        <v>1</v>
      </c>
      <c r="H15" s="169">
        <v>1</v>
      </c>
      <c r="I15" s="169">
        <v>1</v>
      </c>
      <c r="J15" s="169">
        <v>1</v>
      </c>
      <c r="K15" s="169">
        <v>1</v>
      </c>
      <c r="L15" s="169">
        <v>1</v>
      </c>
      <c r="M15" s="169">
        <v>1</v>
      </c>
      <c r="N15" s="169">
        <v>1</v>
      </c>
      <c r="O15" s="169">
        <v>1</v>
      </c>
      <c r="P15" s="169">
        <v>1</v>
      </c>
      <c r="Q15" s="169">
        <v>1</v>
      </c>
      <c r="R15" s="169">
        <v>1</v>
      </c>
      <c r="S15" s="169">
        <v>1</v>
      </c>
      <c r="T15" s="169">
        <v>1</v>
      </c>
      <c r="U15" s="169">
        <v>1</v>
      </c>
      <c r="V15" s="169">
        <v>1</v>
      </c>
      <c r="W15" s="169">
        <v>1</v>
      </c>
      <c r="X15" s="169">
        <v>1</v>
      </c>
      <c r="Y15" s="169">
        <v>1</v>
      </c>
      <c r="Z15" s="169">
        <v>1</v>
      </c>
      <c r="AA15" s="370">
        <v>1</v>
      </c>
    </row>
    <row r="16" spans="2:28" x14ac:dyDescent="0.25">
      <c r="B16" s="341" t="s">
        <v>186</v>
      </c>
      <c r="C16" s="35"/>
      <c r="D16" s="168">
        <f>1-D15</f>
        <v>0</v>
      </c>
      <c r="E16" s="168">
        <f t="shared" ref="E16:AA16" si="61">1-E15</f>
        <v>0</v>
      </c>
      <c r="F16" s="168">
        <f t="shared" si="61"/>
        <v>0</v>
      </c>
      <c r="G16" s="168">
        <f t="shared" si="61"/>
        <v>0</v>
      </c>
      <c r="H16" s="168">
        <f t="shared" si="61"/>
        <v>0</v>
      </c>
      <c r="I16" s="168">
        <f t="shared" si="61"/>
        <v>0</v>
      </c>
      <c r="J16" s="168">
        <f t="shared" si="61"/>
        <v>0</v>
      </c>
      <c r="K16" s="168">
        <f t="shared" si="61"/>
        <v>0</v>
      </c>
      <c r="L16" s="168">
        <f t="shared" si="61"/>
        <v>0</v>
      </c>
      <c r="M16" s="168">
        <f t="shared" si="61"/>
        <v>0</v>
      </c>
      <c r="N16" s="168">
        <f t="shared" si="61"/>
        <v>0</v>
      </c>
      <c r="O16" s="168">
        <f t="shared" si="61"/>
        <v>0</v>
      </c>
      <c r="P16" s="168">
        <f t="shared" si="61"/>
        <v>0</v>
      </c>
      <c r="Q16" s="168">
        <f t="shared" si="61"/>
        <v>0</v>
      </c>
      <c r="R16" s="168">
        <f t="shared" si="61"/>
        <v>0</v>
      </c>
      <c r="S16" s="168">
        <f t="shared" si="61"/>
        <v>0</v>
      </c>
      <c r="T16" s="168">
        <f t="shared" si="61"/>
        <v>0</v>
      </c>
      <c r="U16" s="168">
        <f t="shared" si="61"/>
        <v>0</v>
      </c>
      <c r="V16" s="168">
        <f t="shared" si="61"/>
        <v>0</v>
      </c>
      <c r="W16" s="168">
        <f t="shared" si="61"/>
        <v>0</v>
      </c>
      <c r="X16" s="168">
        <f t="shared" si="61"/>
        <v>0</v>
      </c>
      <c r="Y16" s="168">
        <f t="shared" si="61"/>
        <v>0</v>
      </c>
      <c r="Z16" s="168">
        <f t="shared" si="61"/>
        <v>0</v>
      </c>
      <c r="AA16" s="371">
        <f t="shared" si="61"/>
        <v>0</v>
      </c>
    </row>
    <row r="17" spans="2:28" x14ac:dyDescent="0.25">
      <c r="B17" s="341" t="s">
        <v>187</v>
      </c>
      <c r="C17" s="35"/>
      <c r="D17" s="170">
        <v>120</v>
      </c>
      <c r="E17" s="170">
        <v>90</v>
      </c>
      <c r="F17" s="170">
        <v>90</v>
      </c>
      <c r="G17" s="170">
        <v>60</v>
      </c>
      <c r="H17" s="170">
        <v>60</v>
      </c>
      <c r="I17" s="170">
        <v>60</v>
      </c>
      <c r="J17" s="170">
        <v>60</v>
      </c>
      <c r="K17" s="170">
        <v>60</v>
      </c>
      <c r="L17" s="170">
        <v>60</v>
      </c>
      <c r="M17" s="170">
        <v>60</v>
      </c>
      <c r="N17" s="170">
        <v>60</v>
      </c>
      <c r="O17" s="170">
        <v>60</v>
      </c>
      <c r="P17" s="170">
        <v>60</v>
      </c>
      <c r="Q17" s="170">
        <v>60</v>
      </c>
      <c r="R17" s="170">
        <v>60</v>
      </c>
      <c r="S17" s="170">
        <v>60</v>
      </c>
      <c r="T17" s="170">
        <v>60</v>
      </c>
      <c r="U17" s="170">
        <v>60</v>
      </c>
      <c r="V17" s="170">
        <v>60</v>
      </c>
      <c r="W17" s="170">
        <v>60</v>
      </c>
      <c r="X17" s="170">
        <v>60</v>
      </c>
      <c r="Y17" s="170">
        <v>60</v>
      </c>
      <c r="Z17" s="170">
        <v>60</v>
      </c>
      <c r="AA17" s="372">
        <v>60</v>
      </c>
    </row>
    <row r="18" spans="2:28" x14ac:dyDescent="0.25">
      <c r="B18" s="381" t="s">
        <v>188</v>
      </c>
      <c r="C18" s="382">
        <v>365</v>
      </c>
      <c r="D18" s="382">
        <v>365</v>
      </c>
      <c r="E18" s="382">
        <v>365</v>
      </c>
      <c r="F18" s="382">
        <v>365</v>
      </c>
      <c r="G18" s="382">
        <v>365</v>
      </c>
      <c r="H18" s="382">
        <v>365</v>
      </c>
      <c r="I18" s="382">
        <v>365</v>
      </c>
      <c r="J18" s="382">
        <v>365</v>
      </c>
      <c r="K18" s="382">
        <v>365</v>
      </c>
      <c r="L18" s="382">
        <v>365</v>
      </c>
      <c r="M18" s="382">
        <v>365</v>
      </c>
      <c r="N18" s="382">
        <v>365</v>
      </c>
      <c r="O18" s="382">
        <v>365</v>
      </c>
      <c r="P18" s="382">
        <v>365</v>
      </c>
      <c r="Q18" s="382">
        <v>365</v>
      </c>
      <c r="R18" s="382">
        <v>365</v>
      </c>
      <c r="S18" s="382">
        <v>365</v>
      </c>
      <c r="T18" s="382">
        <v>365</v>
      </c>
      <c r="U18" s="382">
        <v>365</v>
      </c>
      <c r="V18" s="382">
        <v>365</v>
      </c>
      <c r="W18" s="382">
        <v>365</v>
      </c>
      <c r="X18" s="382">
        <v>365</v>
      </c>
      <c r="Y18" s="382">
        <v>365</v>
      </c>
      <c r="Z18" s="382">
        <v>365</v>
      </c>
      <c r="AA18" s="382">
        <v>365</v>
      </c>
    </row>
    <row r="19" spans="2:28" ht="15.75" thickBot="1" x14ac:dyDescent="0.3">
      <c r="B19" s="384" t="s">
        <v>289</v>
      </c>
      <c r="C19" s="385"/>
      <c r="D19" s="385">
        <f>'Ppto Ing'!E$24*'Capital de Trabajo'!D16*('Capital de Trabajo'!D17/'Capital de Trabajo'!D18)</f>
        <v>0</v>
      </c>
      <c r="E19" s="385">
        <f>'Ppto Ing'!F$24*'Capital de Trabajo'!E16*('Capital de Trabajo'!E17/'Capital de Trabajo'!E18)</f>
        <v>0</v>
      </c>
      <c r="F19" s="385">
        <f>'Ppto Ing'!G$24*'Capital de Trabajo'!F16*('Capital de Trabajo'!F17/'Capital de Trabajo'!F18)</f>
        <v>0</v>
      </c>
      <c r="G19" s="385">
        <f>'Ppto Ing'!H$24*'Capital de Trabajo'!G16*('Capital de Trabajo'!G17/'Capital de Trabajo'!G18)</f>
        <v>0</v>
      </c>
      <c r="H19" s="385">
        <f>'Ppto Ing'!I$24*'Capital de Trabajo'!H16*('Capital de Trabajo'!H17/'Capital de Trabajo'!H18)</f>
        <v>0</v>
      </c>
      <c r="I19" s="385">
        <f>'Ppto Ing'!J$24*'Capital de Trabajo'!I16*('Capital de Trabajo'!I17/'Capital de Trabajo'!I18)</f>
        <v>0</v>
      </c>
      <c r="J19" s="385">
        <f>'Ppto Ing'!K$24*'Capital de Trabajo'!J16*('Capital de Trabajo'!J17/'Capital de Trabajo'!J18)</f>
        <v>0</v>
      </c>
      <c r="K19" s="385">
        <f>'Ppto Ing'!L$24*'Capital de Trabajo'!K16*('Capital de Trabajo'!K17/'Capital de Trabajo'!K18)</f>
        <v>0</v>
      </c>
      <c r="L19" s="385">
        <f>'Ppto Ing'!M$24*'Capital de Trabajo'!L16*('Capital de Trabajo'!L17/'Capital de Trabajo'!L18)</f>
        <v>0</v>
      </c>
      <c r="M19" s="385">
        <f>'Ppto Ing'!N$24*'Capital de Trabajo'!M16*('Capital de Trabajo'!M17/'Capital de Trabajo'!M18)</f>
        <v>0</v>
      </c>
      <c r="N19" s="385">
        <f>'Ppto Ing'!O$24*'Capital de Trabajo'!N16*('Capital de Trabajo'!N17/'Capital de Trabajo'!N18)</f>
        <v>0</v>
      </c>
      <c r="O19" s="385">
        <f>'Ppto Ing'!P$24*'Capital de Trabajo'!O16*('Capital de Trabajo'!O17/'Capital de Trabajo'!O18)</f>
        <v>0</v>
      </c>
      <c r="P19" s="385">
        <f>'Ppto Ing'!Q$24*'Capital de Trabajo'!P16*('Capital de Trabajo'!P17/'Capital de Trabajo'!P18)</f>
        <v>0</v>
      </c>
      <c r="Q19" s="385">
        <f>'Ppto Ing'!R$24*'Capital de Trabajo'!Q16*('Capital de Trabajo'!Q17/'Capital de Trabajo'!Q18)</f>
        <v>0</v>
      </c>
      <c r="R19" s="385">
        <f>'Ppto Ing'!S$24*'Capital de Trabajo'!R16*('Capital de Trabajo'!R17/'Capital de Trabajo'!R18)</f>
        <v>0</v>
      </c>
      <c r="S19" s="385">
        <f>'Ppto Ing'!T$24*'Capital de Trabajo'!S16*('Capital de Trabajo'!S17/'Capital de Trabajo'!S18)</f>
        <v>0</v>
      </c>
      <c r="T19" s="385">
        <f>'Ppto Ing'!U$24*'Capital de Trabajo'!T16*('Capital de Trabajo'!T17/'Capital de Trabajo'!T18)</f>
        <v>0</v>
      </c>
      <c r="U19" s="385">
        <f>'Ppto Ing'!V$24*'Capital de Trabajo'!U16*('Capital de Trabajo'!U17/'Capital de Trabajo'!U18)</f>
        <v>0</v>
      </c>
      <c r="V19" s="385">
        <f>'Ppto Ing'!W$24*'Capital de Trabajo'!V16*('Capital de Trabajo'!V17/'Capital de Trabajo'!V18)</f>
        <v>0</v>
      </c>
      <c r="W19" s="385">
        <f>'Ppto Ing'!X$24*'Capital de Trabajo'!W16*('Capital de Trabajo'!W17/'Capital de Trabajo'!W18)</f>
        <v>0</v>
      </c>
      <c r="X19" s="385">
        <f>'Ppto Ing'!Y$24*'Capital de Trabajo'!X16*('Capital de Trabajo'!X17/'Capital de Trabajo'!X18)</f>
        <v>0</v>
      </c>
      <c r="Y19" s="385">
        <f>'Ppto Ing'!Z$24*'Capital de Trabajo'!Y16*('Capital de Trabajo'!Y17/'Capital de Trabajo'!Y18)</f>
        <v>0</v>
      </c>
      <c r="Z19" s="385">
        <f>'Ppto Ing'!AA$24*'Capital de Trabajo'!Z16*('Capital de Trabajo'!Z17/'Capital de Trabajo'!Z18)</f>
        <v>0</v>
      </c>
      <c r="AA19" s="385">
        <f>'Ppto Ing'!AB$24*'Capital de Trabajo'!AA16*('Capital de Trabajo'!AA17/'Capital de Trabajo'!AA18)</f>
        <v>0</v>
      </c>
      <c r="AB19" s="380"/>
    </row>
    <row r="20" spans="2:28" ht="15.75" thickBot="1" x14ac:dyDescent="0.3"/>
    <row r="21" spans="2:28" ht="18.75" x14ac:dyDescent="0.3">
      <c r="B21" s="368" t="s">
        <v>286</v>
      </c>
      <c r="C21" s="348">
        <v>0</v>
      </c>
      <c r="D21" s="348">
        <f>+C21+1</f>
        <v>1</v>
      </c>
      <c r="E21" s="348">
        <f t="shared" ref="E21" si="62">+D21+1</f>
        <v>2</v>
      </c>
      <c r="F21" s="348">
        <f t="shared" ref="F21" si="63">+E21+1</f>
        <v>3</v>
      </c>
      <c r="G21" s="348">
        <f t="shared" ref="G21" si="64">+F21+1</f>
        <v>4</v>
      </c>
      <c r="H21" s="348">
        <f t="shared" ref="H21" si="65">+G21+1</f>
        <v>5</v>
      </c>
      <c r="I21" s="348">
        <f t="shared" ref="I21" si="66">+H21+1</f>
        <v>6</v>
      </c>
      <c r="J21" s="348">
        <f t="shared" ref="J21" si="67">+I21+1</f>
        <v>7</v>
      </c>
      <c r="K21" s="348">
        <f t="shared" ref="K21" si="68">+J21+1</f>
        <v>8</v>
      </c>
      <c r="L21" s="348">
        <f t="shared" ref="L21" si="69">+K21+1</f>
        <v>9</v>
      </c>
      <c r="M21" s="348">
        <f t="shared" ref="M21" si="70">+L21+1</f>
        <v>10</v>
      </c>
      <c r="N21" s="348">
        <f t="shared" ref="N21" si="71">+M21+1</f>
        <v>11</v>
      </c>
      <c r="O21" s="348">
        <f t="shared" ref="O21" si="72">+N21+1</f>
        <v>12</v>
      </c>
      <c r="P21" s="348">
        <f t="shared" ref="P21" si="73">+O21+1</f>
        <v>13</v>
      </c>
      <c r="Q21" s="348">
        <f t="shared" ref="Q21" si="74">+P21+1</f>
        <v>14</v>
      </c>
      <c r="R21" s="348">
        <f t="shared" ref="R21" si="75">+Q21+1</f>
        <v>15</v>
      </c>
      <c r="S21" s="348">
        <f t="shared" ref="S21" si="76">+R21+1</f>
        <v>16</v>
      </c>
      <c r="T21" s="348">
        <f t="shared" ref="T21" si="77">+S21+1</f>
        <v>17</v>
      </c>
      <c r="U21" s="348">
        <f t="shared" ref="U21" si="78">+T21+1</f>
        <v>18</v>
      </c>
      <c r="V21" s="348">
        <f t="shared" ref="V21" si="79">+U21+1</f>
        <v>19</v>
      </c>
      <c r="W21" s="348">
        <f t="shared" ref="W21" si="80">+V21+1</f>
        <v>20</v>
      </c>
      <c r="X21" s="348">
        <f t="shared" ref="X21" si="81">+W21+1</f>
        <v>21</v>
      </c>
      <c r="Y21" s="348">
        <f t="shared" ref="Y21" si="82">+X21+1</f>
        <v>22</v>
      </c>
      <c r="Z21" s="348">
        <f t="shared" ref="Z21" si="83">+Y21+1</f>
        <v>23</v>
      </c>
      <c r="AA21" s="369">
        <f t="shared" ref="AA21" si="84">+Z21+1</f>
        <v>24</v>
      </c>
    </row>
    <row r="22" spans="2:28" x14ac:dyDescent="0.25">
      <c r="B22" s="341" t="s">
        <v>185</v>
      </c>
      <c r="C22" s="35"/>
      <c r="D22" s="169">
        <v>1</v>
      </c>
      <c r="E22" s="169">
        <v>1</v>
      </c>
      <c r="F22" s="169">
        <v>1</v>
      </c>
      <c r="G22" s="169">
        <v>1</v>
      </c>
      <c r="H22" s="169">
        <v>1</v>
      </c>
      <c r="I22" s="169">
        <v>1</v>
      </c>
      <c r="J22" s="169">
        <v>1</v>
      </c>
      <c r="K22" s="169">
        <v>1</v>
      </c>
      <c r="L22" s="169">
        <v>1</v>
      </c>
      <c r="M22" s="169">
        <v>1</v>
      </c>
      <c r="N22" s="169">
        <v>1</v>
      </c>
      <c r="O22" s="169">
        <v>1</v>
      </c>
      <c r="P22" s="169">
        <v>1</v>
      </c>
      <c r="Q22" s="169">
        <v>1</v>
      </c>
      <c r="R22" s="169">
        <v>1</v>
      </c>
      <c r="S22" s="169">
        <v>1</v>
      </c>
      <c r="T22" s="169">
        <v>1</v>
      </c>
      <c r="U22" s="169">
        <v>1</v>
      </c>
      <c r="V22" s="169">
        <v>1</v>
      </c>
      <c r="W22" s="169">
        <v>1</v>
      </c>
      <c r="X22" s="169">
        <v>1</v>
      </c>
      <c r="Y22" s="169">
        <v>1</v>
      </c>
      <c r="Z22" s="169">
        <v>1</v>
      </c>
      <c r="AA22" s="370">
        <v>1</v>
      </c>
    </row>
    <row r="23" spans="2:28" x14ac:dyDescent="0.25">
      <c r="B23" s="341" t="s">
        <v>186</v>
      </c>
      <c r="C23" s="35"/>
      <c r="D23" s="168">
        <f>1-D22</f>
        <v>0</v>
      </c>
      <c r="E23" s="168">
        <f t="shared" ref="E23:AA23" si="85">1-E22</f>
        <v>0</v>
      </c>
      <c r="F23" s="168">
        <f t="shared" si="85"/>
        <v>0</v>
      </c>
      <c r="G23" s="168">
        <f t="shared" si="85"/>
        <v>0</v>
      </c>
      <c r="H23" s="168">
        <f t="shared" si="85"/>
        <v>0</v>
      </c>
      <c r="I23" s="168">
        <f t="shared" si="85"/>
        <v>0</v>
      </c>
      <c r="J23" s="168">
        <f t="shared" si="85"/>
        <v>0</v>
      </c>
      <c r="K23" s="168">
        <f t="shared" si="85"/>
        <v>0</v>
      </c>
      <c r="L23" s="168">
        <f t="shared" si="85"/>
        <v>0</v>
      </c>
      <c r="M23" s="168">
        <f t="shared" si="85"/>
        <v>0</v>
      </c>
      <c r="N23" s="168">
        <f t="shared" si="85"/>
        <v>0</v>
      </c>
      <c r="O23" s="168">
        <f t="shared" si="85"/>
        <v>0</v>
      </c>
      <c r="P23" s="168">
        <f t="shared" si="85"/>
        <v>0</v>
      </c>
      <c r="Q23" s="168">
        <f t="shared" si="85"/>
        <v>0</v>
      </c>
      <c r="R23" s="168">
        <f t="shared" si="85"/>
        <v>0</v>
      </c>
      <c r="S23" s="168">
        <f t="shared" si="85"/>
        <v>0</v>
      </c>
      <c r="T23" s="168">
        <f t="shared" si="85"/>
        <v>0</v>
      </c>
      <c r="U23" s="168">
        <f t="shared" si="85"/>
        <v>0</v>
      </c>
      <c r="V23" s="168">
        <f t="shared" si="85"/>
        <v>0</v>
      </c>
      <c r="W23" s="168">
        <f t="shared" si="85"/>
        <v>0</v>
      </c>
      <c r="X23" s="168">
        <f t="shared" si="85"/>
        <v>0</v>
      </c>
      <c r="Y23" s="168">
        <f t="shared" si="85"/>
        <v>0</v>
      </c>
      <c r="Z23" s="168">
        <f t="shared" si="85"/>
        <v>0</v>
      </c>
      <c r="AA23" s="371">
        <f t="shared" si="85"/>
        <v>0</v>
      </c>
    </row>
    <row r="24" spans="2:28" x14ac:dyDescent="0.25">
      <c r="B24" s="341" t="s">
        <v>187</v>
      </c>
      <c r="C24" s="35"/>
      <c r="D24" s="170">
        <v>120</v>
      </c>
      <c r="E24" s="170">
        <v>90</v>
      </c>
      <c r="F24" s="170">
        <v>90</v>
      </c>
      <c r="G24" s="170">
        <v>60</v>
      </c>
      <c r="H24" s="170">
        <v>60</v>
      </c>
      <c r="I24" s="170">
        <v>60</v>
      </c>
      <c r="J24" s="170">
        <v>60</v>
      </c>
      <c r="K24" s="170">
        <v>60</v>
      </c>
      <c r="L24" s="170">
        <v>60</v>
      </c>
      <c r="M24" s="170">
        <v>60</v>
      </c>
      <c r="N24" s="170">
        <v>60</v>
      </c>
      <c r="O24" s="170">
        <v>60</v>
      </c>
      <c r="P24" s="170">
        <v>60</v>
      </c>
      <c r="Q24" s="170">
        <v>60</v>
      </c>
      <c r="R24" s="170">
        <v>60</v>
      </c>
      <c r="S24" s="170">
        <v>60</v>
      </c>
      <c r="T24" s="170">
        <v>60</v>
      </c>
      <c r="U24" s="170">
        <v>60</v>
      </c>
      <c r="V24" s="170">
        <v>60</v>
      </c>
      <c r="W24" s="170">
        <v>60</v>
      </c>
      <c r="X24" s="170">
        <v>60</v>
      </c>
      <c r="Y24" s="170">
        <v>60</v>
      </c>
      <c r="Z24" s="170">
        <v>60</v>
      </c>
      <c r="AA24" s="372">
        <v>60</v>
      </c>
    </row>
    <row r="25" spans="2:28" x14ac:dyDescent="0.25">
      <c r="B25" s="381" t="s">
        <v>188</v>
      </c>
      <c r="C25" s="382">
        <v>365</v>
      </c>
      <c r="D25" s="382">
        <v>365</v>
      </c>
      <c r="E25" s="382">
        <v>365</v>
      </c>
      <c r="F25" s="382">
        <v>365</v>
      </c>
      <c r="G25" s="382">
        <v>365</v>
      </c>
      <c r="H25" s="382">
        <v>365</v>
      </c>
      <c r="I25" s="382">
        <v>365</v>
      </c>
      <c r="J25" s="382">
        <v>365</v>
      </c>
      <c r="K25" s="382">
        <v>365</v>
      </c>
      <c r="L25" s="382">
        <v>365</v>
      </c>
      <c r="M25" s="382">
        <v>365</v>
      </c>
      <c r="N25" s="382">
        <v>365</v>
      </c>
      <c r="O25" s="382">
        <v>365</v>
      </c>
      <c r="P25" s="382">
        <v>365</v>
      </c>
      <c r="Q25" s="382">
        <v>365</v>
      </c>
      <c r="R25" s="382">
        <v>365</v>
      </c>
      <c r="S25" s="382">
        <v>365</v>
      </c>
      <c r="T25" s="382">
        <v>365</v>
      </c>
      <c r="U25" s="382">
        <v>365</v>
      </c>
      <c r="V25" s="382">
        <v>365</v>
      </c>
      <c r="W25" s="382">
        <v>365</v>
      </c>
      <c r="X25" s="382">
        <v>365</v>
      </c>
      <c r="Y25" s="382">
        <v>365</v>
      </c>
      <c r="Z25" s="382">
        <v>365</v>
      </c>
      <c r="AA25" s="382">
        <v>365</v>
      </c>
    </row>
    <row r="26" spans="2:28" ht="15.75" thickBot="1" x14ac:dyDescent="0.3">
      <c r="B26" s="384" t="s">
        <v>289</v>
      </c>
      <c r="C26" s="385"/>
      <c r="D26" s="385">
        <f>'Ppto Ing'!E$35*'Capital de Trabajo'!D23*('Capital de Trabajo'!D24/'Capital de Trabajo'!D25)</f>
        <v>0</v>
      </c>
      <c r="E26" s="385">
        <f>'Ppto Ing'!F$35*'Capital de Trabajo'!E23*('Capital de Trabajo'!E24/'Capital de Trabajo'!E25)</f>
        <v>0</v>
      </c>
      <c r="F26" s="385">
        <f>'Ppto Ing'!G$35*'Capital de Trabajo'!F23*('Capital de Trabajo'!F24/'Capital de Trabajo'!F25)</f>
        <v>0</v>
      </c>
      <c r="G26" s="385">
        <f>'Ppto Ing'!H$35*'Capital de Trabajo'!G23*('Capital de Trabajo'!G24/'Capital de Trabajo'!G25)</f>
        <v>0</v>
      </c>
      <c r="H26" s="385">
        <f>'Ppto Ing'!I$35*'Capital de Trabajo'!H23*('Capital de Trabajo'!H24/'Capital de Trabajo'!H25)</f>
        <v>0</v>
      </c>
      <c r="I26" s="385">
        <f>'Ppto Ing'!J$35*'Capital de Trabajo'!I23*('Capital de Trabajo'!I24/'Capital de Trabajo'!I25)</f>
        <v>0</v>
      </c>
      <c r="J26" s="385">
        <f>'Ppto Ing'!K$35*'Capital de Trabajo'!J23*('Capital de Trabajo'!J24/'Capital de Trabajo'!J25)</f>
        <v>0</v>
      </c>
      <c r="K26" s="385">
        <f>'Ppto Ing'!L$35*'Capital de Trabajo'!K23*('Capital de Trabajo'!K24/'Capital de Trabajo'!K25)</f>
        <v>0</v>
      </c>
      <c r="L26" s="385">
        <f>'Ppto Ing'!M$35*'Capital de Trabajo'!L23*('Capital de Trabajo'!L24/'Capital de Trabajo'!L25)</f>
        <v>0</v>
      </c>
      <c r="M26" s="385">
        <f>'Ppto Ing'!N$35*'Capital de Trabajo'!M23*('Capital de Trabajo'!M24/'Capital de Trabajo'!M25)</f>
        <v>0</v>
      </c>
      <c r="N26" s="385">
        <f>'Ppto Ing'!O$35*'Capital de Trabajo'!N23*('Capital de Trabajo'!N24/'Capital de Trabajo'!N25)</f>
        <v>0</v>
      </c>
      <c r="O26" s="385">
        <f>'Ppto Ing'!P$35*'Capital de Trabajo'!O23*('Capital de Trabajo'!O24/'Capital de Trabajo'!O25)</f>
        <v>0</v>
      </c>
      <c r="P26" s="385">
        <f>'Ppto Ing'!Q$35*'Capital de Trabajo'!P23*('Capital de Trabajo'!P24/'Capital de Trabajo'!P25)</f>
        <v>0</v>
      </c>
      <c r="Q26" s="385">
        <f>'Ppto Ing'!R$35*'Capital de Trabajo'!Q23*('Capital de Trabajo'!Q24/'Capital de Trabajo'!Q25)</f>
        <v>0</v>
      </c>
      <c r="R26" s="385">
        <f>'Ppto Ing'!S$35*'Capital de Trabajo'!R23*('Capital de Trabajo'!R24/'Capital de Trabajo'!R25)</f>
        <v>0</v>
      </c>
      <c r="S26" s="385">
        <f>'Ppto Ing'!T$35*'Capital de Trabajo'!S23*('Capital de Trabajo'!S24/'Capital de Trabajo'!S25)</f>
        <v>0</v>
      </c>
      <c r="T26" s="385">
        <f>'Ppto Ing'!U$35*'Capital de Trabajo'!T23*('Capital de Trabajo'!T24/'Capital de Trabajo'!T25)</f>
        <v>0</v>
      </c>
      <c r="U26" s="385">
        <f>'Ppto Ing'!V$35*'Capital de Trabajo'!U23*('Capital de Trabajo'!U24/'Capital de Trabajo'!U25)</f>
        <v>0</v>
      </c>
      <c r="V26" s="385">
        <f>'Ppto Ing'!W$35*'Capital de Trabajo'!V23*('Capital de Trabajo'!V24/'Capital de Trabajo'!V25)</f>
        <v>0</v>
      </c>
      <c r="W26" s="385">
        <f>'Ppto Ing'!X$35*'Capital de Trabajo'!W23*('Capital de Trabajo'!W24/'Capital de Trabajo'!W25)</f>
        <v>0</v>
      </c>
      <c r="X26" s="385">
        <f>'Ppto Ing'!Y$35*'Capital de Trabajo'!X23*('Capital de Trabajo'!X24/'Capital de Trabajo'!X25)</f>
        <v>0</v>
      </c>
      <c r="Y26" s="385">
        <f>'Ppto Ing'!Z$35*'Capital de Trabajo'!Y23*('Capital de Trabajo'!Y24/'Capital de Trabajo'!Y25)</f>
        <v>0</v>
      </c>
      <c r="Z26" s="385">
        <f>'Ppto Ing'!AA$35*'Capital de Trabajo'!Z23*('Capital de Trabajo'!Z24/'Capital de Trabajo'!Z25)</f>
        <v>0</v>
      </c>
      <c r="AA26" s="385">
        <f>'Ppto Ing'!AB$35*'Capital de Trabajo'!AA23*('Capital de Trabajo'!AA24/'Capital de Trabajo'!AA25)</f>
        <v>0</v>
      </c>
      <c r="AB26" s="380"/>
    </row>
    <row r="27" spans="2:28" ht="15.75" thickBot="1" x14ac:dyDescent="0.3"/>
    <row r="28" spans="2:28" ht="18.75" x14ac:dyDescent="0.3">
      <c r="B28" s="368" t="s">
        <v>287</v>
      </c>
      <c r="C28" s="348">
        <v>0</v>
      </c>
      <c r="D28" s="348">
        <f>+C28+1</f>
        <v>1</v>
      </c>
      <c r="E28" s="348">
        <f t="shared" ref="E28" si="86">+D28+1</f>
        <v>2</v>
      </c>
      <c r="F28" s="348">
        <f t="shared" ref="F28" si="87">+E28+1</f>
        <v>3</v>
      </c>
      <c r="G28" s="348">
        <f t="shared" ref="G28" si="88">+F28+1</f>
        <v>4</v>
      </c>
      <c r="H28" s="348">
        <f t="shared" ref="H28" si="89">+G28+1</f>
        <v>5</v>
      </c>
      <c r="I28" s="348">
        <f t="shared" ref="I28" si="90">+H28+1</f>
        <v>6</v>
      </c>
      <c r="J28" s="348">
        <f t="shared" ref="J28" si="91">+I28+1</f>
        <v>7</v>
      </c>
      <c r="K28" s="348">
        <f t="shared" ref="K28" si="92">+J28+1</f>
        <v>8</v>
      </c>
      <c r="L28" s="348">
        <f t="shared" ref="L28" si="93">+K28+1</f>
        <v>9</v>
      </c>
      <c r="M28" s="348">
        <f t="shared" ref="M28" si="94">+L28+1</f>
        <v>10</v>
      </c>
      <c r="N28" s="348">
        <f t="shared" ref="N28" si="95">+M28+1</f>
        <v>11</v>
      </c>
      <c r="O28" s="348">
        <f t="shared" ref="O28" si="96">+N28+1</f>
        <v>12</v>
      </c>
      <c r="P28" s="348">
        <f t="shared" ref="P28" si="97">+O28+1</f>
        <v>13</v>
      </c>
      <c r="Q28" s="348">
        <f t="shared" ref="Q28" si="98">+P28+1</f>
        <v>14</v>
      </c>
      <c r="R28" s="348">
        <f t="shared" ref="R28" si="99">+Q28+1</f>
        <v>15</v>
      </c>
      <c r="S28" s="348">
        <f t="shared" ref="S28" si="100">+R28+1</f>
        <v>16</v>
      </c>
      <c r="T28" s="348">
        <f t="shared" ref="T28" si="101">+S28+1</f>
        <v>17</v>
      </c>
      <c r="U28" s="348">
        <f t="shared" ref="U28" si="102">+T28+1</f>
        <v>18</v>
      </c>
      <c r="V28" s="348">
        <f t="shared" ref="V28" si="103">+U28+1</f>
        <v>19</v>
      </c>
      <c r="W28" s="348">
        <f t="shared" ref="W28" si="104">+V28+1</f>
        <v>20</v>
      </c>
      <c r="X28" s="348">
        <f t="shared" ref="X28" si="105">+W28+1</f>
        <v>21</v>
      </c>
      <c r="Y28" s="348">
        <f t="shared" ref="Y28" si="106">+X28+1</f>
        <v>22</v>
      </c>
      <c r="Z28" s="348">
        <f t="shared" ref="Z28" si="107">+Y28+1</f>
        <v>23</v>
      </c>
      <c r="AA28" s="369">
        <f t="shared" ref="AA28" si="108">+Z28+1</f>
        <v>24</v>
      </c>
    </row>
    <row r="29" spans="2:28" x14ac:dyDescent="0.25">
      <c r="B29" s="341" t="s">
        <v>185</v>
      </c>
      <c r="C29" s="35"/>
      <c r="D29" s="169">
        <v>1</v>
      </c>
      <c r="E29" s="169">
        <v>1</v>
      </c>
      <c r="F29" s="169">
        <v>1</v>
      </c>
      <c r="G29" s="169">
        <v>1</v>
      </c>
      <c r="H29" s="169">
        <v>1</v>
      </c>
      <c r="I29" s="169">
        <v>1</v>
      </c>
      <c r="J29" s="169">
        <v>1</v>
      </c>
      <c r="K29" s="169">
        <v>1</v>
      </c>
      <c r="L29" s="169">
        <v>1</v>
      </c>
      <c r="M29" s="169">
        <v>1</v>
      </c>
      <c r="N29" s="169">
        <v>1</v>
      </c>
      <c r="O29" s="169">
        <v>1</v>
      </c>
      <c r="P29" s="169">
        <v>1</v>
      </c>
      <c r="Q29" s="169">
        <v>1</v>
      </c>
      <c r="R29" s="169">
        <v>1</v>
      </c>
      <c r="S29" s="169">
        <v>1</v>
      </c>
      <c r="T29" s="169">
        <v>1</v>
      </c>
      <c r="U29" s="169">
        <v>1</v>
      </c>
      <c r="V29" s="169">
        <v>1</v>
      </c>
      <c r="W29" s="169">
        <v>1</v>
      </c>
      <c r="X29" s="169">
        <v>1</v>
      </c>
      <c r="Y29" s="169">
        <v>1</v>
      </c>
      <c r="Z29" s="169">
        <v>1</v>
      </c>
      <c r="AA29" s="370">
        <v>1</v>
      </c>
    </row>
    <row r="30" spans="2:28" x14ac:dyDescent="0.25">
      <c r="B30" s="341" t="s">
        <v>186</v>
      </c>
      <c r="C30" s="35"/>
      <c r="D30" s="168">
        <f>1-D29</f>
        <v>0</v>
      </c>
      <c r="E30" s="168">
        <f t="shared" ref="E30:AA30" si="109">1-E29</f>
        <v>0</v>
      </c>
      <c r="F30" s="168">
        <f t="shared" si="109"/>
        <v>0</v>
      </c>
      <c r="G30" s="168">
        <f t="shared" si="109"/>
        <v>0</v>
      </c>
      <c r="H30" s="168">
        <f t="shared" si="109"/>
        <v>0</v>
      </c>
      <c r="I30" s="168">
        <f t="shared" si="109"/>
        <v>0</v>
      </c>
      <c r="J30" s="168">
        <f t="shared" si="109"/>
        <v>0</v>
      </c>
      <c r="K30" s="168">
        <f t="shared" si="109"/>
        <v>0</v>
      </c>
      <c r="L30" s="168">
        <f t="shared" si="109"/>
        <v>0</v>
      </c>
      <c r="M30" s="168">
        <f t="shared" si="109"/>
        <v>0</v>
      </c>
      <c r="N30" s="168">
        <f t="shared" si="109"/>
        <v>0</v>
      </c>
      <c r="O30" s="168">
        <f t="shared" si="109"/>
        <v>0</v>
      </c>
      <c r="P30" s="168">
        <f t="shared" si="109"/>
        <v>0</v>
      </c>
      <c r="Q30" s="168">
        <f t="shared" si="109"/>
        <v>0</v>
      </c>
      <c r="R30" s="168">
        <f t="shared" si="109"/>
        <v>0</v>
      </c>
      <c r="S30" s="168">
        <f t="shared" si="109"/>
        <v>0</v>
      </c>
      <c r="T30" s="168">
        <f t="shared" si="109"/>
        <v>0</v>
      </c>
      <c r="U30" s="168">
        <f t="shared" si="109"/>
        <v>0</v>
      </c>
      <c r="V30" s="168">
        <f t="shared" si="109"/>
        <v>0</v>
      </c>
      <c r="W30" s="168">
        <f t="shared" si="109"/>
        <v>0</v>
      </c>
      <c r="X30" s="168">
        <f t="shared" si="109"/>
        <v>0</v>
      </c>
      <c r="Y30" s="168">
        <f t="shared" si="109"/>
        <v>0</v>
      </c>
      <c r="Z30" s="168">
        <f t="shared" si="109"/>
        <v>0</v>
      </c>
      <c r="AA30" s="371">
        <f t="shared" si="109"/>
        <v>0</v>
      </c>
    </row>
    <row r="31" spans="2:28" x14ac:dyDescent="0.25">
      <c r="B31" s="341" t="s">
        <v>187</v>
      </c>
      <c r="C31" s="35"/>
      <c r="D31" s="170">
        <v>120</v>
      </c>
      <c r="E31" s="170">
        <v>90</v>
      </c>
      <c r="F31" s="170">
        <v>90</v>
      </c>
      <c r="G31" s="170">
        <v>60</v>
      </c>
      <c r="H31" s="170">
        <v>60</v>
      </c>
      <c r="I31" s="170">
        <v>60</v>
      </c>
      <c r="J31" s="170">
        <v>60</v>
      </c>
      <c r="K31" s="170">
        <v>60</v>
      </c>
      <c r="L31" s="170">
        <v>60</v>
      </c>
      <c r="M31" s="170">
        <v>60</v>
      </c>
      <c r="N31" s="170">
        <v>60</v>
      </c>
      <c r="O31" s="170">
        <v>60</v>
      </c>
      <c r="P31" s="170">
        <v>60</v>
      </c>
      <c r="Q31" s="170">
        <v>60</v>
      </c>
      <c r="R31" s="170">
        <v>60</v>
      </c>
      <c r="S31" s="170">
        <v>60</v>
      </c>
      <c r="T31" s="170">
        <v>60</v>
      </c>
      <c r="U31" s="170">
        <v>60</v>
      </c>
      <c r="V31" s="170">
        <v>60</v>
      </c>
      <c r="W31" s="170">
        <v>60</v>
      </c>
      <c r="X31" s="170">
        <v>60</v>
      </c>
      <c r="Y31" s="170">
        <v>60</v>
      </c>
      <c r="Z31" s="170">
        <v>60</v>
      </c>
      <c r="AA31" s="372">
        <v>60</v>
      </c>
    </row>
    <row r="32" spans="2:28" x14ac:dyDescent="0.25">
      <c r="B32" s="381" t="s">
        <v>188</v>
      </c>
      <c r="C32" s="382">
        <v>365</v>
      </c>
      <c r="D32" s="382">
        <v>365</v>
      </c>
      <c r="E32" s="382">
        <v>365</v>
      </c>
      <c r="F32" s="382">
        <v>365</v>
      </c>
      <c r="G32" s="382">
        <v>365</v>
      </c>
      <c r="H32" s="382">
        <v>365</v>
      </c>
      <c r="I32" s="382">
        <v>365</v>
      </c>
      <c r="J32" s="382">
        <v>365</v>
      </c>
      <c r="K32" s="382">
        <v>365</v>
      </c>
      <c r="L32" s="382">
        <v>365</v>
      </c>
      <c r="M32" s="382">
        <v>365</v>
      </c>
      <c r="N32" s="382">
        <v>365</v>
      </c>
      <c r="O32" s="382">
        <v>365</v>
      </c>
      <c r="P32" s="382">
        <v>365</v>
      </c>
      <c r="Q32" s="382">
        <v>365</v>
      </c>
      <c r="R32" s="382">
        <v>365</v>
      </c>
      <c r="S32" s="382">
        <v>365</v>
      </c>
      <c r="T32" s="382">
        <v>365</v>
      </c>
      <c r="U32" s="382">
        <v>365</v>
      </c>
      <c r="V32" s="382">
        <v>365</v>
      </c>
      <c r="W32" s="382">
        <v>365</v>
      </c>
      <c r="X32" s="382">
        <v>365</v>
      </c>
      <c r="Y32" s="382">
        <v>365</v>
      </c>
      <c r="Z32" s="382">
        <v>365</v>
      </c>
      <c r="AA32" s="382">
        <v>365</v>
      </c>
    </row>
    <row r="33" spans="2:28" ht="15.75" thickBot="1" x14ac:dyDescent="0.3">
      <c r="B33" s="384" t="s">
        <v>289</v>
      </c>
      <c r="C33" s="385"/>
      <c r="D33" s="385">
        <f>'Ppto Ing'!E$46*'Capital de Trabajo'!D30*('Capital de Trabajo'!D31/'Capital de Trabajo'!D32)</f>
        <v>0</v>
      </c>
      <c r="E33" s="385">
        <f>'Ppto Ing'!F$46*'Capital de Trabajo'!E30*('Capital de Trabajo'!E31/'Capital de Trabajo'!E32)</f>
        <v>0</v>
      </c>
      <c r="F33" s="385">
        <f>'Ppto Ing'!G$46*'Capital de Trabajo'!F30*('Capital de Trabajo'!F31/'Capital de Trabajo'!F32)</f>
        <v>0</v>
      </c>
      <c r="G33" s="385">
        <f>'Ppto Ing'!H$46*'Capital de Trabajo'!G30*('Capital de Trabajo'!G31/'Capital de Trabajo'!G32)</f>
        <v>0</v>
      </c>
      <c r="H33" s="385">
        <f>'Ppto Ing'!I$46*'Capital de Trabajo'!H30*('Capital de Trabajo'!H31/'Capital de Trabajo'!H32)</f>
        <v>0</v>
      </c>
      <c r="I33" s="385">
        <f>'Ppto Ing'!J$46*'Capital de Trabajo'!I30*('Capital de Trabajo'!I31/'Capital de Trabajo'!I32)</f>
        <v>0</v>
      </c>
      <c r="J33" s="385">
        <f>'Ppto Ing'!K$46*'Capital de Trabajo'!J30*('Capital de Trabajo'!J31/'Capital de Trabajo'!J32)</f>
        <v>0</v>
      </c>
      <c r="K33" s="385">
        <f>'Ppto Ing'!L$46*'Capital de Trabajo'!K30*('Capital de Trabajo'!K31/'Capital de Trabajo'!K32)</f>
        <v>0</v>
      </c>
      <c r="L33" s="385">
        <f>'Ppto Ing'!M$46*'Capital de Trabajo'!L30*('Capital de Trabajo'!L31/'Capital de Trabajo'!L32)</f>
        <v>0</v>
      </c>
      <c r="M33" s="385">
        <f>'Ppto Ing'!N$46*'Capital de Trabajo'!M30*('Capital de Trabajo'!M31/'Capital de Trabajo'!M32)</f>
        <v>0</v>
      </c>
      <c r="N33" s="385">
        <f>'Ppto Ing'!O$46*'Capital de Trabajo'!N30*('Capital de Trabajo'!N31/'Capital de Trabajo'!N32)</f>
        <v>0</v>
      </c>
      <c r="O33" s="385">
        <f>'Ppto Ing'!P$46*'Capital de Trabajo'!O30*('Capital de Trabajo'!O31/'Capital de Trabajo'!O32)</f>
        <v>0</v>
      </c>
      <c r="P33" s="385">
        <f>'Ppto Ing'!Q$46*'Capital de Trabajo'!P30*('Capital de Trabajo'!P31/'Capital de Trabajo'!P32)</f>
        <v>0</v>
      </c>
      <c r="Q33" s="385">
        <f>'Ppto Ing'!R$46*'Capital de Trabajo'!Q30*('Capital de Trabajo'!Q31/'Capital de Trabajo'!Q32)</f>
        <v>0</v>
      </c>
      <c r="R33" s="385">
        <f>'Ppto Ing'!S$46*'Capital de Trabajo'!R30*('Capital de Trabajo'!R31/'Capital de Trabajo'!R32)</f>
        <v>0</v>
      </c>
      <c r="S33" s="385">
        <f>'Ppto Ing'!T$46*'Capital de Trabajo'!S30*('Capital de Trabajo'!S31/'Capital de Trabajo'!S32)</f>
        <v>0</v>
      </c>
      <c r="T33" s="385">
        <f>'Ppto Ing'!U$46*'Capital de Trabajo'!T30*('Capital de Trabajo'!T31/'Capital de Trabajo'!T32)</f>
        <v>0</v>
      </c>
      <c r="U33" s="385">
        <f>'Ppto Ing'!V$46*'Capital de Trabajo'!U30*('Capital de Trabajo'!U31/'Capital de Trabajo'!U32)</f>
        <v>0</v>
      </c>
      <c r="V33" s="385">
        <f>'Ppto Ing'!W$46*'Capital de Trabajo'!V30*('Capital de Trabajo'!V31/'Capital de Trabajo'!V32)</f>
        <v>0</v>
      </c>
      <c r="W33" s="385">
        <f>'Ppto Ing'!X$46*'Capital de Trabajo'!W30*('Capital de Trabajo'!W31/'Capital de Trabajo'!W32)</f>
        <v>0</v>
      </c>
      <c r="X33" s="385">
        <f>'Ppto Ing'!Y$46*'Capital de Trabajo'!X30*('Capital de Trabajo'!X31/'Capital de Trabajo'!X32)</f>
        <v>0</v>
      </c>
      <c r="Y33" s="385">
        <f>'Ppto Ing'!Z$46*'Capital de Trabajo'!Y30*('Capital de Trabajo'!Y31/'Capital de Trabajo'!Y32)</f>
        <v>0</v>
      </c>
      <c r="Z33" s="385">
        <f>'Ppto Ing'!AA$46*'Capital de Trabajo'!Z30*('Capital de Trabajo'!Z31/'Capital de Trabajo'!Z32)</f>
        <v>0</v>
      </c>
      <c r="AA33" s="385">
        <f>'Ppto Ing'!AB$46*'Capital de Trabajo'!AA30*('Capital de Trabajo'!AA31/'Capital de Trabajo'!AA32)</f>
        <v>0</v>
      </c>
      <c r="AB33" s="380"/>
    </row>
    <row r="34" spans="2:28" ht="15.75" thickBot="1" x14ac:dyDescent="0.3"/>
    <row r="35" spans="2:28" ht="18.75" x14ac:dyDescent="0.3">
      <c r="B35" s="368" t="s">
        <v>288</v>
      </c>
      <c r="C35" s="348">
        <v>0</v>
      </c>
      <c r="D35" s="348">
        <f>+C35+1</f>
        <v>1</v>
      </c>
      <c r="E35" s="348">
        <f t="shared" ref="E35" si="110">+D35+1</f>
        <v>2</v>
      </c>
      <c r="F35" s="348">
        <f t="shared" ref="F35" si="111">+E35+1</f>
        <v>3</v>
      </c>
      <c r="G35" s="348">
        <f t="shared" ref="G35" si="112">+F35+1</f>
        <v>4</v>
      </c>
      <c r="H35" s="348">
        <f t="shared" ref="H35" si="113">+G35+1</f>
        <v>5</v>
      </c>
      <c r="I35" s="348">
        <f t="shared" ref="I35" si="114">+H35+1</f>
        <v>6</v>
      </c>
      <c r="J35" s="348">
        <f t="shared" ref="J35" si="115">+I35+1</f>
        <v>7</v>
      </c>
      <c r="K35" s="348">
        <f t="shared" ref="K35" si="116">+J35+1</f>
        <v>8</v>
      </c>
      <c r="L35" s="348">
        <f t="shared" ref="L35" si="117">+K35+1</f>
        <v>9</v>
      </c>
      <c r="M35" s="348">
        <f t="shared" ref="M35" si="118">+L35+1</f>
        <v>10</v>
      </c>
      <c r="N35" s="348">
        <f t="shared" ref="N35" si="119">+M35+1</f>
        <v>11</v>
      </c>
      <c r="O35" s="348">
        <f t="shared" ref="O35" si="120">+N35+1</f>
        <v>12</v>
      </c>
      <c r="P35" s="348">
        <f t="shared" ref="P35" si="121">+O35+1</f>
        <v>13</v>
      </c>
      <c r="Q35" s="348">
        <f t="shared" ref="Q35" si="122">+P35+1</f>
        <v>14</v>
      </c>
      <c r="R35" s="348">
        <f t="shared" ref="R35" si="123">+Q35+1</f>
        <v>15</v>
      </c>
      <c r="S35" s="348">
        <f t="shared" ref="S35" si="124">+R35+1</f>
        <v>16</v>
      </c>
      <c r="T35" s="348">
        <f t="shared" ref="T35" si="125">+S35+1</f>
        <v>17</v>
      </c>
      <c r="U35" s="348">
        <f t="shared" ref="U35" si="126">+T35+1</f>
        <v>18</v>
      </c>
      <c r="V35" s="348">
        <f t="shared" ref="V35" si="127">+U35+1</f>
        <v>19</v>
      </c>
      <c r="W35" s="348">
        <f t="shared" ref="W35" si="128">+V35+1</f>
        <v>20</v>
      </c>
      <c r="X35" s="348">
        <f t="shared" ref="X35" si="129">+W35+1</f>
        <v>21</v>
      </c>
      <c r="Y35" s="348">
        <f t="shared" ref="Y35" si="130">+X35+1</f>
        <v>22</v>
      </c>
      <c r="Z35" s="348">
        <f t="shared" ref="Z35" si="131">+Y35+1</f>
        <v>23</v>
      </c>
      <c r="AA35" s="369">
        <f t="shared" ref="AA35" si="132">+Z35+1</f>
        <v>24</v>
      </c>
    </row>
    <row r="36" spans="2:28" x14ac:dyDescent="0.25">
      <c r="B36" s="341" t="s">
        <v>185</v>
      </c>
      <c r="C36" s="35"/>
      <c r="D36" s="169">
        <v>1</v>
      </c>
      <c r="E36" s="169">
        <v>1</v>
      </c>
      <c r="F36" s="169">
        <v>1</v>
      </c>
      <c r="G36" s="169">
        <v>1</v>
      </c>
      <c r="H36" s="169">
        <v>1</v>
      </c>
      <c r="I36" s="169">
        <v>1</v>
      </c>
      <c r="J36" s="169">
        <v>1</v>
      </c>
      <c r="K36" s="169">
        <v>1</v>
      </c>
      <c r="L36" s="169">
        <v>1</v>
      </c>
      <c r="M36" s="169">
        <v>1</v>
      </c>
      <c r="N36" s="169">
        <v>1</v>
      </c>
      <c r="O36" s="169">
        <v>1</v>
      </c>
      <c r="P36" s="169">
        <v>1</v>
      </c>
      <c r="Q36" s="169">
        <v>1</v>
      </c>
      <c r="R36" s="169">
        <v>1</v>
      </c>
      <c r="S36" s="169">
        <v>1</v>
      </c>
      <c r="T36" s="169">
        <v>1</v>
      </c>
      <c r="U36" s="169">
        <v>1</v>
      </c>
      <c r="V36" s="169">
        <v>1</v>
      </c>
      <c r="W36" s="169">
        <v>1</v>
      </c>
      <c r="X36" s="169">
        <v>1</v>
      </c>
      <c r="Y36" s="169">
        <v>1</v>
      </c>
      <c r="Z36" s="169">
        <v>1</v>
      </c>
      <c r="AA36" s="370">
        <v>1</v>
      </c>
    </row>
    <row r="37" spans="2:28" x14ac:dyDescent="0.25">
      <c r="B37" s="341" t="s">
        <v>186</v>
      </c>
      <c r="C37" s="35"/>
      <c r="D37" s="168">
        <f>1-D36</f>
        <v>0</v>
      </c>
      <c r="E37" s="168">
        <f t="shared" ref="E37:AA37" si="133">1-E36</f>
        <v>0</v>
      </c>
      <c r="F37" s="168">
        <f t="shared" si="133"/>
        <v>0</v>
      </c>
      <c r="G37" s="168">
        <f t="shared" si="133"/>
        <v>0</v>
      </c>
      <c r="H37" s="168">
        <f t="shared" si="133"/>
        <v>0</v>
      </c>
      <c r="I37" s="168">
        <f t="shared" si="133"/>
        <v>0</v>
      </c>
      <c r="J37" s="168">
        <f t="shared" si="133"/>
        <v>0</v>
      </c>
      <c r="K37" s="168">
        <f t="shared" si="133"/>
        <v>0</v>
      </c>
      <c r="L37" s="168">
        <f t="shared" si="133"/>
        <v>0</v>
      </c>
      <c r="M37" s="168">
        <f t="shared" si="133"/>
        <v>0</v>
      </c>
      <c r="N37" s="168">
        <f t="shared" si="133"/>
        <v>0</v>
      </c>
      <c r="O37" s="168">
        <f t="shared" si="133"/>
        <v>0</v>
      </c>
      <c r="P37" s="168">
        <f t="shared" si="133"/>
        <v>0</v>
      </c>
      <c r="Q37" s="168">
        <f t="shared" si="133"/>
        <v>0</v>
      </c>
      <c r="R37" s="168">
        <f t="shared" si="133"/>
        <v>0</v>
      </c>
      <c r="S37" s="168">
        <f t="shared" si="133"/>
        <v>0</v>
      </c>
      <c r="T37" s="168">
        <f t="shared" si="133"/>
        <v>0</v>
      </c>
      <c r="U37" s="168">
        <f t="shared" si="133"/>
        <v>0</v>
      </c>
      <c r="V37" s="168">
        <f t="shared" si="133"/>
        <v>0</v>
      </c>
      <c r="W37" s="168">
        <f t="shared" si="133"/>
        <v>0</v>
      </c>
      <c r="X37" s="168">
        <f t="shared" si="133"/>
        <v>0</v>
      </c>
      <c r="Y37" s="168">
        <f t="shared" si="133"/>
        <v>0</v>
      </c>
      <c r="Z37" s="168">
        <f t="shared" si="133"/>
        <v>0</v>
      </c>
      <c r="AA37" s="371">
        <f t="shared" si="133"/>
        <v>0</v>
      </c>
    </row>
    <row r="38" spans="2:28" x14ac:dyDescent="0.25">
      <c r="B38" s="341" t="s">
        <v>187</v>
      </c>
      <c r="C38" s="35"/>
      <c r="D38" s="170">
        <v>120</v>
      </c>
      <c r="E38" s="170">
        <v>90</v>
      </c>
      <c r="F38" s="170">
        <v>90</v>
      </c>
      <c r="G38" s="170">
        <v>60</v>
      </c>
      <c r="H38" s="170">
        <v>60</v>
      </c>
      <c r="I38" s="170">
        <v>60</v>
      </c>
      <c r="J38" s="170">
        <v>60</v>
      </c>
      <c r="K38" s="170">
        <v>60</v>
      </c>
      <c r="L38" s="170">
        <v>60</v>
      </c>
      <c r="M38" s="170">
        <v>60</v>
      </c>
      <c r="N38" s="170">
        <v>60</v>
      </c>
      <c r="O38" s="170">
        <v>60</v>
      </c>
      <c r="P38" s="170">
        <v>60</v>
      </c>
      <c r="Q38" s="170">
        <v>60</v>
      </c>
      <c r="R38" s="170">
        <v>60</v>
      </c>
      <c r="S38" s="170">
        <v>60</v>
      </c>
      <c r="T38" s="170">
        <v>60</v>
      </c>
      <c r="U38" s="170">
        <v>60</v>
      </c>
      <c r="V38" s="170">
        <v>60</v>
      </c>
      <c r="W38" s="170">
        <v>60</v>
      </c>
      <c r="X38" s="170">
        <v>60</v>
      </c>
      <c r="Y38" s="170">
        <v>60</v>
      </c>
      <c r="Z38" s="170">
        <v>60</v>
      </c>
      <c r="AA38" s="372">
        <v>60</v>
      </c>
    </row>
    <row r="39" spans="2:28" x14ac:dyDescent="0.25">
      <c r="B39" s="381" t="s">
        <v>188</v>
      </c>
      <c r="C39" s="382">
        <v>365</v>
      </c>
      <c r="D39" s="382">
        <v>365</v>
      </c>
      <c r="E39" s="382">
        <v>365</v>
      </c>
      <c r="F39" s="382">
        <v>365</v>
      </c>
      <c r="G39" s="382">
        <v>365</v>
      </c>
      <c r="H39" s="382">
        <v>365</v>
      </c>
      <c r="I39" s="382">
        <v>365</v>
      </c>
      <c r="J39" s="382">
        <v>365</v>
      </c>
      <c r="K39" s="382">
        <v>365</v>
      </c>
      <c r="L39" s="382">
        <v>365</v>
      </c>
      <c r="M39" s="382">
        <v>365</v>
      </c>
      <c r="N39" s="382">
        <v>365</v>
      </c>
      <c r="O39" s="382">
        <v>365</v>
      </c>
      <c r="P39" s="382">
        <v>365</v>
      </c>
      <c r="Q39" s="382">
        <v>365</v>
      </c>
      <c r="R39" s="382">
        <v>365</v>
      </c>
      <c r="S39" s="382">
        <v>365</v>
      </c>
      <c r="T39" s="382">
        <v>365</v>
      </c>
      <c r="U39" s="382">
        <v>365</v>
      </c>
      <c r="V39" s="382">
        <v>365</v>
      </c>
      <c r="W39" s="382">
        <v>365</v>
      </c>
      <c r="X39" s="382">
        <v>365</v>
      </c>
      <c r="Y39" s="382">
        <v>365</v>
      </c>
      <c r="Z39" s="382">
        <v>365</v>
      </c>
      <c r="AA39" s="382">
        <v>365</v>
      </c>
    </row>
    <row r="40" spans="2:28" ht="15.75" thickBot="1" x14ac:dyDescent="0.3">
      <c r="B40" s="384" t="s">
        <v>289</v>
      </c>
      <c r="C40" s="385"/>
      <c r="D40" s="385">
        <f>'Ppto Ing'!E$57*'Capital de Trabajo'!D37*('Capital de Trabajo'!D38/'Capital de Trabajo'!D39)</f>
        <v>0</v>
      </c>
      <c r="E40" s="385">
        <f>'Ppto Ing'!F$57*'Capital de Trabajo'!E37*('Capital de Trabajo'!E38/'Capital de Trabajo'!E39)</f>
        <v>0</v>
      </c>
      <c r="F40" s="385">
        <f>'Ppto Ing'!G$57*'Capital de Trabajo'!F37*('Capital de Trabajo'!F38/'Capital de Trabajo'!F39)</f>
        <v>0</v>
      </c>
      <c r="G40" s="385">
        <f>'Ppto Ing'!H$57*'Capital de Trabajo'!G37*('Capital de Trabajo'!G38/'Capital de Trabajo'!G39)</f>
        <v>0</v>
      </c>
      <c r="H40" s="385">
        <f>'Ppto Ing'!I$57*'Capital de Trabajo'!H37*('Capital de Trabajo'!H38/'Capital de Trabajo'!H39)</f>
        <v>0</v>
      </c>
      <c r="I40" s="385">
        <f>'Ppto Ing'!J$57*'Capital de Trabajo'!I37*('Capital de Trabajo'!I38/'Capital de Trabajo'!I39)</f>
        <v>0</v>
      </c>
      <c r="J40" s="385">
        <f>'Ppto Ing'!K$57*'Capital de Trabajo'!J37*('Capital de Trabajo'!J38/'Capital de Trabajo'!J39)</f>
        <v>0</v>
      </c>
      <c r="K40" s="385">
        <f>'Ppto Ing'!L$57*'Capital de Trabajo'!K37*('Capital de Trabajo'!K38/'Capital de Trabajo'!K39)</f>
        <v>0</v>
      </c>
      <c r="L40" s="385">
        <f>'Ppto Ing'!M$57*'Capital de Trabajo'!L37*('Capital de Trabajo'!L38/'Capital de Trabajo'!L39)</f>
        <v>0</v>
      </c>
      <c r="M40" s="385">
        <f>'Ppto Ing'!N$57*'Capital de Trabajo'!M37*('Capital de Trabajo'!M38/'Capital de Trabajo'!M39)</f>
        <v>0</v>
      </c>
      <c r="N40" s="385">
        <f>'Ppto Ing'!O$57*'Capital de Trabajo'!N37*('Capital de Trabajo'!N38/'Capital de Trabajo'!N39)</f>
        <v>0</v>
      </c>
      <c r="O40" s="385">
        <f>'Ppto Ing'!P$57*'Capital de Trabajo'!O37*('Capital de Trabajo'!O38/'Capital de Trabajo'!O39)</f>
        <v>0</v>
      </c>
      <c r="P40" s="385">
        <f>'Ppto Ing'!Q$57*'Capital de Trabajo'!P37*('Capital de Trabajo'!P38/'Capital de Trabajo'!P39)</f>
        <v>0</v>
      </c>
      <c r="Q40" s="385">
        <f>'Ppto Ing'!R$57*'Capital de Trabajo'!Q37*('Capital de Trabajo'!Q38/'Capital de Trabajo'!Q39)</f>
        <v>0</v>
      </c>
      <c r="R40" s="385">
        <f>'Ppto Ing'!S$57*'Capital de Trabajo'!R37*('Capital de Trabajo'!R38/'Capital de Trabajo'!R39)</f>
        <v>0</v>
      </c>
      <c r="S40" s="385">
        <f>'Ppto Ing'!T$57*'Capital de Trabajo'!S37*('Capital de Trabajo'!S38/'Capital de Trabajo'!S39)</f>
        <v>0</v>
      </c>
      <c r="T40" s="385">
        <f>'Ppto Ing'!U$57*'Capital de Trabajo'!T37*('Capital de Trabajo'!T38/'Capital de Trabajo'!T39)</f>
        <v>0</v>
      </c>
      <c r="U40" s="385">
        <f>'Ppto Ing'!V$57*'Capital de Trabajo'!U37*('Capital de Trabajo'!U38/'Capital de Trabajo'!U39)</f>
        <v>0</v>
      </c>
      <c r="V40" s="385">
        <f>'Ppto Ing'!W$57*'Capital de Trabajo'!V37*('Capital de Trabajo'!V38/'Capital de Trabajo'!V39)</f>
        <v>0</v>
      </c>
      <c r="W40" s="385">
        <f>'Ppto Ing'!X$57*'Capital de Trabajo'!W37*('Capital de Trabajo'!W38/'Capital de Trabajo'!W39)</f>
        <v>0</v>
      </c>
      <c r="X40" s="385">
        <f>'Ppto Ing'!Y$57*'Capital de Trabajo'!X37*('Capital de Trabajo'!X38/'Capital de Trabajo'!X39)</f>
        <v>0</v>
      </c>
      <c r="Y40" s="385">
        <f>'Ppto Ing'!Z$57*'Capital de Trabajo'!Y37*('Capital de Trabajo'!Y38/'Capital de Trabajo'!Y39)</f>
        <v>0</v>
      </c>
      <c r="Z40" s="385">
        <f>'Ppto Ing'!AA$57*'Capital de Trabajo'!Z37*('Capital de Trabajo'!Z38/'Capital de Trabajo'!Z39)</f>
        <v>0</v>
      </c>
      <c r="AA40" s="385">
        <f>'Ppto Ing'!AB$57*'Capital de Trabajo'!AA37*('Capital de Trabajo'!AA38/'Capital de Trabajo'!AA39)</f>
        <v>0</v>
      </c>
      <c r="AB40" s="380"/>
    </row>
    <row r="41" spans="2:28" ht="15.75" thickBot="1" x14ac:dyDescent="0.3">
      <c r="B41" s="281"/>
      <c r="C41" s="387"/>
      <c r="D41" s="387"/>
      <c r="E41" s="387"/>
      <c r="F41" s="387"/>
      <c r="G41" s="387"/>
      <c r="H41" s="387"/>
      <c r="I41" s="387"/>
      <c r="J41" s="387"/>
      <c r="K41" s="387"/>
      <c r="L41" s="387"/>
      <c r="M41" s="387"/>
      <c r="N41" s="387"/>
      <c r="O41" s="387"/>
      <c r="P41" s="387"/>
      <c r="Q41" s="387"/>
      <c r="R41" s="387"/>
      <c r="S41" s="387"/>
      <c r="T41" s="387"/>
      <c r="U41" s="387"/>
      <c r="V41" s="387"/>
      <c r="W41" s="387"/>
      <c r="X41" s="387"/>
      <c r="Y41" s="387"/>
      <c r="Z41" s="387"/>
      <c r="AA41" s="387"/>
      <c r="AB41" s="380"/>
    </row>
    <row r="42" spans="2:28" ht="15.75" thickBot="1" x14ac:dyDescent="0.3">
      <c r="B42" s="390" t="s">
        <v>297</v>
      </c>
      <c r="C42" s="391">
        <f>C40+C33+C26+C19+C12</f>
        <v>0</v>
      </c>
      <c r="D42" s="391">
        <f t="shared" ref="D42:AA42" si="134">D40+D33+D26+D19+D12</f>
        <v>0</v>
      </c>
      <c r="E42" s="391">
        <f t="shared" si="134"/>
        <v>0</v>
      </c>
      <c r="F42" s="391">
        <f t="shared" si="134"/>
        <v>0</v>
      </c>
      <c r="G42" s="391">
        <f t="shared" si="134"/>
        <v>0</v>
      </c>
      <c r="H42" s="391">
        <f t="shared" si="134"/>
        <v>0</v>
      </c>
      <c r="I42" s="391">
        <f t="shared" si="134"/>
        <v>0</v>
      </c>
      <c r="J42" s="391">
        <f t="shared" si="134"/>
        <v>0</v>
      </c>
      <c r="K42" s="391">
        <f t="shared" si="134"/>
        <v>0</v>
      </c>
      <c r="L42" s="391">
        <f t="shared" si="134"/>
        <v>0</v>
      </c>
      <c r="M42" s="391">
        <f t="shared" si="134"/>
        <v>0</v>
      </c>
      <c r="N42" s="391">
        <f t="shared" si="134"/>
        <v>0</v>
      </c>
      <c r="O42" s="391">
        <f t="shared" si="134"/>
        <v>0</v>
      </c>
      <c r="P42" s="391">
        <f t="shared" si="134"/>
        <v>0</v>
      </c>
      <c r="Q42" s="391">
        <f t="shared" si="134"/>
        <v>0</v>
      </c>
      <c r="R42" s="391">
        <f t="shared" si="134"/>
        <v>0</v>
      </c>
      <c r="S42" s="391">
        <f t="shared" si="134"/>
        <v>0</v>
      </c>
      <c r="T42" s="391">
        <f t="shared" si="134"/>
        <v>0</v>
      </c>
      <c r="U42" s="391">
        <f t="shared" si="134"/>
        <v>0</v>
      </c>
      <c r="V42" s="391">
        <f t="shared" si="134"/>
        <v>0</v>
      </c>
      <c r="W42" s="391">
        <f t="shared" si="134"/>
        <v>0</v>
      </c>
      <c r="X42" s="391">
        <f t="shared" si="134"/>
        <v>0</v>
      </c>
      <c r="Y42" s="391">
        <f t="shared" si="134"/>
        <v>0</v>
      </c>
      <c r="Z42" s="391">
        <f t="shared" si="134"/>
        <v>0</v>
      </c>
      <c r="AA42" s="392">
        <f t="shared" si="134"/>
        <v>0</v>
      </c>
      <c r="AB42" s="380"/>
    </row>
    <row r="43" spans="2:28" ht="15.75" thickBot="1" x14ac:dyDescent="0.3"/>
    <row r="44" spans="2:28" ht="18.75" x14ac:dyDescent="0.3">
      <c r="B44" s="368" t="s">
        <v>291</v>
      </c>
      <c r="C44" s="348">
        <v>0</v>
      </c>
      <c r="D44" s="348">
        <f>+C44+1</f>
        <v>1</v>
      </c>
      <c r="E44" s="348">
        <f t="shared" ref="E44:K44" si="135">+D44+1</f>
        <v>2</v>
      </c>
      <c r="F44" s="348">
        <f t="shared" si="135"/>
        <v>3</v>
      </c>
      <c r="G44" s="348">
        <f t="shared" si="135"/>
        <v>4</v>
      </c>
      <c r="H44" s="348">
        <f t="shared" si="135"/>
        <v>5</v>
      </c>
      <c r="I44" s="348">
        <f t="shared" si="135"/>
        <v>6</v>
      </c>
      <c r="J44" s="348">
        <f t="shared" si="135"/>
        <v>7</v>
      </c>
      <c r="K44" s="348">
        <f t="shared" si="135"/>
        <v>8</v>
      </c>
      <c r="L44" s="348">
        <f t="shared" ref="L44" si="136">+K44+1</f>
        <v>9</v>
      </c>
      <c r="M44" s="348">
        <f t="shared" ref="M44" si="137">+L44+1</f>
        <v>10</v>
      </c>
      <c r="N44" s="348">
        <f t="shared" ref="N44" si="138">+M44+1</f>
        <v>11</v>
      </c>
      <c r="O44" s="348">
        <f t="shared" ref="O44" si="139">+N44+1</f>
        <v>12</v>
      </c>
      <c r="P44" s="348">
        <f t="shared" ref="P44" si="140">+O44+1</f>
        <v>13</v>
      </c>
      <c r="Q44" s="348">
        <f t="shared" ref="Q44" si="141">+P44+1</f>
        <v>14</v>
      </c>
      <c r="R44" s="348">
        <f t="shared" ref="R44" si="142">+Q44+1</f>
        <v>15</v>
      </c>
      <c r="S44" s="348">
        <f t="shared" ref="S44" si="143">+R44+1</f>
        <v>16</v>
      </c>
      <c r="T44" s="348">
        <f t="shared" ref="T44" si="144">+S44+1</f>
        <v>17</v>
      </c>
      <c r="U44" s="348">
        <f t="shared" ref="U44" si="145">+T44+1</f>
        <v>18</v>
      </c>
      <c r="V44" s="348">
        <f t="shared" ref="V44" si="146">+U44+1</f>
        <v>19</v>
      </c>
      <c r="W44" s="348">
        <f t="shared" ref="W44" si="147">+V44+1</f>
        <v>20</v>
      </c>
      <c r="X44" s="348">
        <f t="shared" ref="X44" si="148">+W44+1</f>
        <v>21</v>
      </c>
      <c r="Y44" s="348">
        <f t="shared" ref="Y44" si="149">+X44+1</f>
        <v>22</v>
      </c>
      <c r="Z44" s="348">
        <f t="shared" ref="Z44" si="150">+Y44+1</f>
        <v>23</v>
      </c>
      <c r="AA44" s="369">
        <f t="shared" ref="AA44" si="151">+Z44+1</f>
        <v>24</v>
      </c>
    </row>
    <row r="45" spans="2:28" x14ac:dyDescent="0.25">
      <c r="B45" s="341" t="s">
        <v>185</v>
      </c>
      <c r="C45" s="169"/>
      <c r="D45" s="169">
        <v>1</v>
      </c>
      <c r="E45" s="169">
        <v>0.8</v>
      </c>
      <c r="F45" s="169">
        <v>0.6</v>
      </c>
      <c r="G45" s="169">
        <v>0.4</v>
      </c>
      <c r="H45" s="169">
        <v>0.3</v>
      </c>
      <c r="I45" s="169">
        <v>1</v>
      </c>
      <c r="J45" s="169">
        <v>1</v>
      </c>
      <c r="K45" s="169">
        <v>1</v>
      </c>
      <c r="L45" s="169">
        <v>1</v>
      </c>
      <c r="M45" s="169">
        <v>1</v>
      </c>
      <c r="N45" s="169">
        <v>1</v>
      </c>
      <c r="O45" s="169">
        <v>1</v>
      </c>
      <c r="P45" s="169">
        <v>1</v>
      </c>
      <c r="Q45" s="169">
        <v>1</v>
      </c>
      <c r="R45" s="169">
        <v>1</v>
      </c>
      <c r="S45" s="169">
        <v>1</v>
      </c>
      <c r="T45" s="169">
        <v>1</v>
      </c>
      <c r="U45" s="169">
        <v>1</v>
      </c>
      <c r="V45" s="169">
        <v>1</v>
      </c>
      <c r="W45" s="169">
        <v>1</v>
      </c>
      <c r="X45" s="169">
        <v>1</v>
      </c>
      <c r="Y45" s="169">
        <v>1</v>
      </c>
      <c r="Z45" s="169">
        <v>1</v>
      </c>
      <c r="AA45" s="370">
        <v>1</v>
      </c>
    </row>
    <row r="46" spans="2:28" x14ac:dyDescent="0.25">
      <c r="B46" s="341" t="s">
        <v>186</v>
      </c>
      <c r="C46" s="168"/>
      <c r="D46" s="168">
        <f>1-D45</f>
        <v>0</v>
      </c>
      <c r="E46" s="168">
        <f t="shared" ref="E46" si="152">1-E45</f>
        <v>0.19999999999999996</v>
      </c>
      <c r="F46" s="168">
        <f t="shared" ref="F46" si="153">1-F45</f>
        <v>0.4</v>
      </c>
      <c r="G46" s="168">
        <f t="shared" ref="G46" si="154">1-G45</f>
        <v>0.6</v>
      </c>
      <c r="H46" s="168">
        <f t="shared" ref="H46" si="155">1-H45</f>
        <v>0.7</v>
      </c>
      <c r="I46" s="168">
        <f t="shared" ref="I46" si="156">1-I45</f>
        <v>0</v>
      </c>
      <c r="J46" s="168">
        <f t="shared" ref="J46" si="157">1-J45</f>
        <v>0</v>
      </c>
      <c r="K46" s="168">
        <f t="shared" ref="K46:N46" si="158">1-K45</f>
        <v>0</v>
      </c>
      <c r="L46" s="168">
        <f t="shared" si="158"/>
        <v>0</v>
      </c>
      <c r="M46" s="168">
        <f t="shared" si="158"/>
        <v>0</v>
      </c>
      <c r="N46" s="168">
        <f t="shared" si="158"/>
        <v>0</v>
      </c>
      <c r="O46" s="168">
        <f t="shared" ref="O46:AA46" si="159">1-O45</f>
        <v>0</v>
      </c>
      <c r="P46" s="168">
        <f t="shared" si="159"/>
        <v>0</v>
      </c>
      <c r="Q46" s="168">
        <f t="shared" si="159"/>
        <v>0</v>
      </c>
      <c r="R46" s="168">
        <f t="shared" si="159"/>
        <v>0</v>
      </c>
      <c r="S46" s="168">
        <f t="shared" si="159"/>
        <v>0</v>
      </c>
      <c r="T46" s="168">
        <f t="shared" si="159"/>
        <v>0</v>
      </c>
      <c r="U46" s="168">
        <f t="shared" si="159"/>
        <v>0</v>
      </c>
      <c r="V46" s="168">
        <f t="shared" si="159"/>
        <v>0</v>
      </c>
      <c r="W46" s="168">
        <f t="shared" ref="W46" si="160">1-W45</f>
        <v>0</v>
      </c>
      <c r="X46" s="168">
        <f t="shared" si="159"/>
        <v>0</v>
      </c>
      <c r="Y46" s="168">
        <f t="shared" si="159"/>
        <v>0</v>
      </c>
      <c r="Z46" s="168">
        <f t="shared" si="159"/>
        <v>0</v>
      </c>
      <c r="AA46" s="371">
        <f t="shared" si="159"/>
        <v>0</v>
      </c>
    </row>
    <row r="47" spans="2:28" x14ac:dyDescent="0.25">
      <c r="B47" s="341" t="s">
        <v>187</v>
      </c>
      <c r="C47" s="170"/>
      <c r="D47" s="170">
        <v>0</v>
      </c>
      <c r="E47" s="170">
        <v>60</v>
      </c>
      <c r="F47" s="170">
        <v>60</v>
      </c>
      <c r="G47" s="170">
        <v>90</v>
      </c>
      <c r="H47" s="170">
        <v>90</v>
      </c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372"/>
    </row>
    <row r="48" spans="2:28" x14ac:dyDescent="0.25">
      <c r="B48" s="341" t="s">
        <v>188</v>
      </c>
      <c r="C48" s="35"/>
      <c r="D48" s="35">
        <f t="shared" ref="D48:AA48" si="161">+D11</f>
        <v>365</v>
      </c>
      <c r="E48" s="35">
        <f t="shared" si="161"/>
        <v>365</v>
      </c>
      <c r="F48" s="35">
        <f t="shared" si="161"/>
        <v>365</v>
      </c>
      <c r="G48" s="35">
        <f t="shared" si="161"/>
        <v>365</v>
      </c>
      <c r="H48" s="35">
        <f t="shared" si="161"/>
        <v>365</v>
      </c>
      <c r="I48" s="35">
        <f t="shared" si="161"/>
        <v>365</v>
      </c>
      <c r="J48" s="35">
        <f t="shared" si="161"/>
        <v>365</v>
      </c>
      <c r="K48" s="35">
        <f t="shared" si="161"/>
        <v>365</v>
      </c>
      <c r="L48" s="35">
        <f t="shared" si="161"/>
        <v>365</v>
      </c>
      <c r="M48" s="35">
        <f t="shared" si="161"/>
        <v>365</v>
      </c>
      <c r="N48" s="35">
        <f t="shared" si="161"/>
        <v>365</v>
      </c>
      <c r="O48" s="35">
        <f t="shared" si="161"/>
        <v>365</v>
      </c>
      <c r="P48" s="35">
        <f t="shared" si="161"/>
        <v>365</v>
      </c>
      <c r="Q48" s="35">
        <f t="shared" si="161"/>
        <v>365</v>
      </c>
      <c r="R48" s="35">
        <f t="shared" si="161"/>
        <v>365</v>
      </c>
      <c r="S48" s="35">
        <f t="shared" si="161"/>
        <v>365</v>
      </c>
      <c r="T48" s="35">
        <f t="shared" si="161"/>
        <v>365</v>
      </c>
      <c r="U48" s="35">
        <f t="shared" si="161"/>
        <v>365</v>
      </c>
      <c r="V48" s="35">
        <f t="shared" si="161"/>
        <v>365</v>
      </c>
      <c r="W48" s="35">
        <f t="shared" si="161"/>
        <v>365</v>
      </c>
      <c r="X48" s="35">
        <f t="shared" si="161"/>
        <v>365</v>
      </c>
      <c r="Y48" s="35">
        <f t="shared" si="161"/>
        <v>365</v>
      </c>
      <c r="Z48" s="35">
        <f t="shared" si="161"/>
        <v>365</v>
      </c>
      <c r="AA48" s="388">
        <f t="shared" si="161"/>
        <v>365</v>
      </c>
    </row>
    <row r="49" spans="2:27" ht="15.75" thickBot="1" x14ac:dyDescent="0.3">
      <c r="B49" s="384" t="s">
        <v>290</v>
      </c>
      <c r="C49" s="385"/>
      <c r="D49" s="385">
        <f>'Ppto Costos y Gtos'!D14*D46*('Capital de Trabajo'!D47/'Capital de Trabajo'!D48)</f>
        <v>0</v>
      </c>
      <c r="E49" s="385">
        <f>'Ppto Costos y Gtos'!E14*E46*('Capital de Trabajo'!E47/'Capital de Trabajo'!E48)</f>
        <v>0</v>
      </c>
      <c r="F49" s="385">
        <f>'Ppto Costos y Gtos'!F14*F46*('Capital de Trabajo'!F47/'Capital de Trabajo'!F48)</f>
        <v>0</v>
      </c>
      <c r="G49" s="385">
        <f>'Ppto Costos y Gtos'!G14*G46*('Capital de Trabajo'!G47/'Capital de Trabajo'!G48)</f>
        <v>0</v>
      </c>
      <c r="H49" s="385">
        <f>'Ppto Costos y Gtos'!H14*H46*('Capital de Trabajo'!H47/'Capital de Trabajo'!H48)</f>
        <v>0</v>
      </c>
      <c r="I49" s="385">
        <f>'Ppto Costos y Gtos'!I14*I46*('Capital de Trabajo'!I47/'Capital de Trabajo'!I48)</f>
        <v>0</v>
      </c>
      <c r="J49" s="385">
        <f>'Ppto Costos y Gtos'!J14*J46*('Capital de Trabajo'!J47/'Capital de Trabajo'!J48)</f>
        <v>0</v>
      </c>
      <c r="K49" s="385">
        <f>'Ppto Costos y Gtos'!K14*K46*('Capital de Trabajo'!K47/'Capital de Trabajo'!K48)</f>
        <v>0</v>
      </c>
      <c r="L49" s="385">
        <f>'Ppto Costos y Gtos'!L14*L46*('Capital de Trabajo'!L47/'Capital de Trabajo'!L48)</f>
        <v>0</v>
      </c>
      <c r="M49" s="385">
        <f>'Ppto Costos y Gtos'!M14*M46*('Capital de Trabajo'!M47/'Capital de Trabajo'!M48)</f>
        <v>0</v>
      </c>
      <c r="N49" s="385">
        <f>'Ppto Costos y Gtos'!N14*N46*('Capital de Trabajo'!N47/'Capital de Trabajo'!N48)</f>
        <v>0</v>
      </c>
      <c r="O49" s="385">
        <f>'Ppto Costos y Gtos'!O14*O46*('Capital de Trabajo'!O47/'Capital de Trabajo'!O48)</f>
        <v>0</v>
      </c>
      <c r="P49" s="385">
        <f>'Ppto Costos y Gtos'!P14*P46*('Capital de Trabajo'!P47/'Capital de Trabajo'!P48)</f>
        <v>0</v>
      </c>
      <c r="Q49" s="385">
        <f>'Ppto Costos y Gtos'!Q14*Q46*('Capital de Trabajo'!Q47/'Capital de Trabajo'!Q48)</f>
        <v>0</v>
      </c>
      <c r="R49" s="385">
        <f>'Ppto Costos y Gtos'!R14*R46*('Capital de Trabajo'!R47/'Capital de Trabajo'!R48)</f>
        <v>0</v>
      </c>
      <c r="S49" s="385">
        <f>'Ppto Costos y Gtos'!S14*S46*('Capital de Trabajo'!S47/'Capital de Trabajo'!S48)</f>
        <v>0</v>
      </c>
      <c r="T49" s="385">
        <f>'Ppto Costos y Gtos'!T14*T46*('Capital de Trabajo'!T47/'Capital de Trabajo'!T48)</f>
        <v>0</v>
      </c>
      <c r="U49" s="385">
        <f>'Ppto Costos y Gtos'!U14*U46*('Capital de Trabajo'!U47/'Capital de Trabajo'!U48)</f>
        <v>0</v>
      </c>
      <c r="V49" s="385">
        <f>'Ppto Costos y Gtos'!V14*V46*('Capital de Trabajo'!V47/'Capital de Trabajo'!V48)</f>
        <v>0</v>
      </c>
      <c r="W49" s="385">
        <f>'Ppto Costos y Gtos'!W14*W46*('Capital de Trabajo'!W47/'Capital de Trabajo'!W48)</f>
        <v>0</v>
      </c>
      <c r="X49" s="385">
        <f>'Ppto Costos y Gtos'!X14*X46*('Capital de Trabajo'!X47/'Capital de Trabajo'!X48)</f>
        <v>0</v>
      </c>
      <c r="Y49" s="385">
        <f>'Ppto Costos y Gtos'!Y14*Y46*('Capital de Trabajo'!Y47/'Capital de Trabajo'!Y48)</f>
        <v>0</v>
      </c>
      <c r="Z49" s="385">
        <f>'Ppto Costos y Gtos'!Z14*Z46*('Capital de Trabajo'!Z47/'Capital de Trabajo'!Z48)</f>
        <v>0</v>
      </c>
      <c r="AA49" s="385">
        <f>'Ppto Costos y Gtos'!AA14*AA46*('Capital de Trabajo'!AA47/'Capital de Trabajo'!AA48)</f>
        <v>0</v>
      </c>
    </row>
    <row r="50" spans="2:27" ht="15.75" thickBot="1" x14ac:dyDescent="0.3"/>
    <row r="51" spans="2:27" ht="18.75" x14ac:dyDescent="0.3">
      <c r="B51" s="368" t="s">
        <v>295</v>
      </c>
      <c r="C51" s="348">
        <v>0</v>
      </c>
      <c r="D51" s="348">
        <f>+C51+1</f>
        <v>1</v>
      </c>
      <c r="E51" s="348">
        <f t="shared" ref="E51" si="162">+D51+1</f>
        <v>2</v>
      </c>
      <c r="F51" s="348">
        <f t="shared" ref="F51" si="163">+E51+1</f>
        <v>3</v>
      </c>
      <c r="G51" s="348">
        <f t="shared" ref="G51" si="164">+F51+1</f>
        <v>4</v>
      </c>
      <c r="H51" s="348">
        <f t="shared" ref="H51" si="165">+G51+1</f>
        <v>5</v>
      </c>
      <c r="I51" s="348">
        <f t="shared" ref="I51" si="166">+H51+1</f>
        <v>6</v>
      </c>
      <c r="J51" s="348">
        <f t="shared" ref="J51" si="167">+I51+1</f>
        <v>7</v>
      </c>
      <c r="K51" s="348">
        <f t="shared" ref="K51" si="168">+J51+1</f>
        <v>8</v>
      </c>
      <c r="L51" s="348">
        <f t="shared" ref="L51" si="169">+K51+1</f>
        <v>9</v>
      </c>
      <c r="M51" s="348">
        <f t="shared" ref="M51" si="170">+L51+1</f>
        <v>10</v>
      </c>
      <c r="N51" s="348">
        <f t="shared" ref="N51" si="171">+M51+1</f>
        <v>11</v>
      </c>
      <c r="O51" s="348">
        <f t="shared" ref="O51" si="172">+N51+1</f>
        <v>12</v>
      </c>
      <c r="P51" s="348">
        <f t="shared" ref="P51" si="173">+O51+1</f>
        <v>13</v>
      </c>
      <c r="Q51" s="348">
        <f t="shared" ref="Q51" si="174">+P51+1</f>
        <v>14</v>
      </c>
      <c r="R51" s="348">
        <f t="shared" ref="R51" si="175">+Q51+1</f>
        <v>15</v>
      </c>
      <c r="S51" s="348">
        <f t="shared" ref="S51" si="176">+R51+1</f>
        <v>16</v>
      </c>
      <c r="T51" s="348">
        <f t="shared" ref="T51" si="177">+S51+1</f>
        <v>17</v>
      </c>
      <c r="U51" s="348">
        <f t="shared" ref="U51" si="178">+T51+1</f>
        <v>18</v>
      </c>
      <c r="V51" s="348">
        <f t="shared" ref="V51" si="179">+U51+1</f>
        <v>19</v>
      </c>
      <c r="W51" s="348">
        <f t="shared" ref="W51" si="180">+V51+1</f>
        <v>20</v>
      </c>
      <c r="X51" s="348">
        <f t="shared" ref="X51" si="181">+W51+1</f>
        <v>21</v>
      </c>
      <c r="Y51" s="348">
        <f t="shared" ref="Y51" si="182">+X51+1</f>
        <v>22</v>
      </c>
      <c r="Z51" s="348">
        <f t="shared" ref="Z51" si="183">+Y51+1</f>
        <v>23</v>
      </c>
      <c r="AA51" s="369">
        <f t="shared" ref="AA51" si="184">+Z51+1</f>
        <v>24</v>
      </c>
    </row>
    <row r="52" spans="2:27" x14ac:dyDescent="0.25">
      <c r="B52" s="341" t="s">
        <v>185</v>
      </c>
      <c r="C52" s="169"/>
      <c r="D52" s="169">
        <v>1</v>
      </c>
      <c r="E52" s="169">
        <v>1</v>
      </c>
      <c r="F52" s="169">
        <v>1</v>
      </c>
      <c r="G52" s="169">
        <v>1</v>
      </c>
      <c r="H52" s="169">
        <v>1</v>
      </c>
      <c r="I52" s="169">
        <v>1</v>
      </c>
      <c r="J52" s="169">
        <v>1</v>
      </c>
      <c r="K52" s="169">
        <v>1</v>
      </c>
      <c r="L52" s="169">
        <v>1</v>
      </c>
      <c r="M52" s="169">
        <v>1</v>
      </c>
      <c r="N52" s="169">
        <v>1</v>
      </c>
      <c r="O52" s="169">
        <v>1</v>
      </c>
      <c r="P52" s="169">
        <v>1</v>
      </c>
      <c r="Q52" s="169">
        <v>1</v>
      </c>
      <c r="R52" s="169">
        <v>1</v>
      </c>
      <c r="S52" s="169">
        <v>1</v>
      </c>
      <c r="T52" s="169">
        <v>1</v>
      </c>
      <c r="U52" s="169">
        <v>1</v>
      </c>
      <c r="V52" s="169">
        <v>1</v>
      </c>
      <c r="W52" s="169">
        <v>1</v>
      </c>
      <c r="X52" s="169">
        <v>1</v>
      </c>
      <c r="Y52" s="169">
        <v>1</v>
      </c>
      <c r="Z52" s="169">
        <v>1</v>
      </c>
      <c r="AA52" s="370">
        <v>1</v>
      </c>
    </row>
    <row r="53" spans="2:27" x14ac:dyDescent="0.25">
      <c r="B53" s="341" t="s">
        <v>186</v>
      </c>
      <c r="C53" s="168"/>
      <c r="D53" s="168">
        <f>1-D52</f>
        <v>0</v>
      </c>
      <c r="E53" s="168">
        <f t="shared" ref="E53:AA53" si="185">1-E52</f>
        <v>0</v>
      </c>
      <c r="F53" s="168">
        <f t="shared" si="185"/>
        <v>0</v>
      </c>
      <c r="G53" s="168">
        <f t="shared" si="185"/>
        <v>0</v>
      </c>
      <c r="H53" s="168">
        <f t="shared" si="185"/>
        <v>0</v>
      </c>
      <c r="I53" s="168">
        <f t="shared" si="185"/>
        <v>0</v>
      </c>
      <c r="J53" s="168">
        <f t="shared" si="185"/>
        <v>0</v>
      </c>
      <c r="K53" s="168">
        <f t="shared" si="185"/>
        <v>0</v>
      </c>
      <c r="L53" s="168">
        <f t="shared" si="185"/>
        <v>0</v>
      </c>
      <c r="M53" s="168">
        <f t="shared" si="185"/>
        <v>0</v>
      </c>
      <c r="N53" s="168">
        <f t="shared" si="185"/>
        <v>0</v>
      </c>
      <c r="O53" s="168">
        <f t="shared" si="185"/>
        <v>0</v>
      </c>
      <c r="P53" s="168">
        <f t="shared" si="185"/>
        <v>0</v>
      </c>
      <c r="Q53" s="168">
        <f t="shared" si="185"/>
        <v>0</v>
      </c>
      <c r="R53" s="168">
        <f t="shared" si="185"/>
        <v>0</v>
      </c>
      <c r="S53" s="168">
        <f t="shared" si="185"/>
        <v>0</v>
      </c>
      <c r="T53" s="168">
        <f t="shared" si="185"/>
        <v>0</v>
      </c>
      <c r="U53" s="168">
        <f t="shared" si="185"/>
        <v>0</v>
      </c>
      <c r="V53" s="168">
        <f t="shared" si="185"/>
        <v>0</v>
      </c>
      <c r="W53" s="168">
        <f t="shared" si="185"/>
        <v>0</v>
      </c>
      <c r="X53" s="168">
        <f t="shared" si="185"/>
        <v>0</v>
      </c>
      <c r="Y53" s="168">
        <f t="shared" si="185"/>
        <v>0</v>
      </c>
      <c r="Z53" s="168">
        <f t="shared" si="185"/>
        <v>0</v>
      </c>
      <c r="AA53" s="371">
        <f t="shared" si="185"/>
        <v>0</v>
      </c>
    </row>
    <row r="54" spans="2:27" x14ac:dyDescent="0.25">
      <c r="B54" s="341" t="s">
        <v>187</v>
      </c>
      <c r="C54" s="170"/>
      <c r="D54" s="170">
        <v>0</v>
      </c>
      <c r="E54" s="170">
        <v>30</v>
      </c>
      <c r="F54" s="170">
        <v>60</v>
      </c>
      <c r="G54" s="170">
        <v>60</v>
      </c>
      <c r="H54" s="170">
        <v>90</v>
      </c>
      <c r="I54" s="170">
        <v>90</v>
      </c>
      <c r="J54" s="170">
        <v>90</v>
      </c>
      <c r="K54" s="170">
        <v>90</v>
      </c>
      <c r="L54" s="170">
        <v>90</v>
      </c>
      <c r="M54" s="170">
        <v>90</v>
      </c>
      <c r="N54" s="170">
        <v>90</v>
      </c>
      <c r="O54" s="170">
        <v>90</v>
      </c>
      <c r="P54" s="170">
        <v>90</v>
      </c>
      <c r="Q54" s="170">
        <v>90</v>
      </c>
      <c r="R54" s="170">
        <v>90</v>
      </c>
      <c r="S54" s="170">
        <v>90</v>
      </c>
      <c r="T54" s="170">
        <v>90</v>
      </c>
      <c r="U54" s="170">
        <v>90</v>
      </c>
      <c r="V54" s="170">
        <v>90</v>
      </c>
      <c r="W54" s="170">
        <v>90</v>
      </c>
      <c r="X54" s="170">
        <v>90</v>
      </c>
      <c r="Y54" s="170">
        <v>90</v>
      </c>
      <c r="Z54" s="170">
        <v>90</v>
      </c>
      <c r="AA54" s="372">
        <v>90</v>
      </c>
    </row>
    <row r="55" spans="2:27" x14ac:dyDescent="0.25">
      <c r="B55" s="341" t="s">
        <v>188</v>
      </c>
      <c r="C55" s="35"/>
      <c r="D55" s="35">
        <f t="shared" ref="D55:AA55" si="186">+D18</f>
        <v>365</v>
      </c>
      <c r="E55" s="35">
        <f t="shared" si="186"/>
        <v>365</v>
      </c>
      <c r="F55" s="35">
        <f t="shared" si="186"/>
        <v>365</v>
      </c>
      <c r="G55" s="35">
        <f t="shared" si="186"/>
        <v>365</v>
      </c>
      <c r="H55" s="35">
        <f t="shared" si="186"/>
        <v>365</v>
      </c>
      <c r="I55" s="35">
        <f t="shared" si="186"/>
        <v>365</v>
      </c>
      <c r="J55" s="35">
        <f t="shared" si="186"/>
        <v>365</v>
      </c>
      <c r="K55" s="35">
        <f t="shared" si="186"/>
        <v>365</v>
      </c>
      <c r="L55" s="35">
        <f t="shared" si="186"/>
        <v>365</v>
      </c>
      <c r="M55" s="35">
        <f t="shared" si="186"/>
        <v>365</v>
      </c>
      <c r="N55" s="35">
        <f t="shared" si="186"/>
        <v>365</v>
      </c>
      <c r="O55" s="35">
        <f t="shared" si="186"/>
        <v>365</v>
      </c>
      <c r="P55" s="35">
        <f t="shared" si="186"/>
        <v>365</v>
      </c>
      <c r="Q55" s="35">
        <f t="shared" si="186"/>
        <v>365</v>
      </c>
      <c r="R55" s="35">
        <f t="shared" si="186"/>
        <v>365</v>
      </c>
      <c r="S55" s="35">
        <f t="shared" si="186"/>
        <v>365</v>
      </c>
      <c r="T55" s="35">
        <f t="shared" si="186"/>
        <v>365</v>
      </c>
      <c r="U55" s="35">
        <f t="shared" si="186"/>
        <v>365</v>
      </c>
      <c r="V55" s="35">
        <f t="shared" si="186"/>
        <v>365</v>
      </c>
      <c r="W55" s="35">
        <f t="shared" si="186"/>
        <v>365</v>
      </c>
      <c r="X55" s="35">
        <f t="shared" si="186"/>
        <v>365</v>
      </c>
      <c r="Y55" s="35">
        <f t="shared" si="186"/>
        <v>365</v>
      </c>
      <c r="Z55" s="35">
        <f t="shared" si="186"/>
        <v>365</v>
      </c>
      <c r="AA55" s="388">
        <f t="shared" si="186"/>
        <v>365</v>
      </c>
    </row>
    <row r="56" spans="2:27" ht="15.75" thickBot="1" x14ac:dyDescent="0.3">
      <c r="B56" s="384" t="s">
        <v>290</v>
      </c>
      <c r="C56" s="385"/>
      <c r="D56" s="385">
        <f>'Ppto Costos y Gtos'!D29*D53*('Capital de Trabajo'!D54/'Capital de Trabajo'!D55)</f>
        <v>0</v>
      </c>
      <c r="E56" s="385">
        <f>'Ppto Costos y Gtos'!E29*E53*('Capital de Trabajo'!E54/'Capital de Trabajo'!E55)</f>
        <v>0</v>
      </c>
      <c r="F56" s="385">
        <f>'Ppto Costos y Gtos'!F29*F53*('Capital de Trabajo'!F54/'Capital de Trabajo'!F55)</f>
        <v>0</v>
      </c>
      <c r="G56" s="385">
        <f>'Ppto Costos y Gtos'!G29*G53*('Capital de Trabajo'!G54/'Capital de Trabajo'!G55)</f>
        <v>0</v>
      </c>
      <c r="H56" s="385">
        <f>'Ppto Costos y Gtos'!H29*H53*('Capital de Trabajo'!H54/'Capital de Trabajo'!H55)</f>
        <v>0</v>
      </c>
      <c r="I56" s="385">
        <f>'Ppto Costos y Gtos'!I29*I53*('Capital de Trabajo'!I54/'Capital de Trabajo'!I55)</f>
        <v>0</v>
      </c>
      <c r="J56" s="385">
        <f>'Ppto Costos y Gtos'!J29*J53*('Capital de Trabajo'!J54/'Capital de Trabajo'!J55)</f>
        <v>0</v>
      </c>
      <c r="K56" s="385">
        <f>'Ppto Costos y Gtos'!K29*K53*('Capital de Trabajo'!K54/'Capital de Trabajo'!K55)</f>
        <v>0</v>
      </c>
      <c r="L56" s="385">
        <f>'Ppto Costos y Gtos'!L29*L53*('Capital de Trabajo'!L54/'Capital de Trabajo'!L55)</f>
        <v>0</v>
      </c>
      <c r="M56" s="385">
        <f>'Ppto Costos y Gtos'!M29*M53*('Capital de Trabajo'!M54/'Capital de Trabajo'!M55)</f>
        <v>0</v>
      </c>
      <c r="N56" s="385">
        <f>'Ppto Costos y Gtos'!N29*N53*('Capital de Trabajo'!N54/'Capital de Trabajo'!N55)</f>
        <v>0</v>
      </c>
      <c r="O56" s="385">
        <f>'Ppto Costos y Gtos'!O29*O53*('Capital de Trabajo'!O54/'Capital de Trabajo'!O55)</f>
        <v>0</v>
      </c>
      <c r="P56" s="385">
        <f>'Ppto Costos y Gtos'!P29*P53*('Capital de Trabajo'!P54/'Capital de Trabajo'!P55)</f>
        <v>0</v>
      </c>
      <c r="Q56" s="385">
        <f>'Ppto Costos y Gtos'!Q29*Q53*('Capital de Trabajo'!Q54/'Capital de Trabajo'!Q55)</f>
        <v>0</v>
      </c>
      <c r="R56" s="385">
        <f>'Ppto Costos y Gtos'!R29*R53*('Capital de Trabajo'!R54/'Capital de Trabajo'!R55)</f>
        <v>0</v>
      </c>
      <c r="S56" s="385">
        <f>'Ppto Costos y Gtos'!S29*S53*('Capital de Trabajo'!S54/'Capital de Trabajo'!S55)</f>
        <v>0</v>
      </c>
      <c r="T56" s="385">
        <f>'Ppto Costos y Gtos'!T29*T53*('Capital de Trabajo'!T54/'Capital de Trabajo'!T55)</f>
        <v>0</v>
      </c>
      <c r="U56" s="385">
        <f>'Ppto Costos y Gtos'!U29*U53*('Capital de Trabajo'!U54/'Capital de Trabajo'!U55)</f>
        <v>0</v>
      </c>
      <c r="V56" s="385">
        <f>'Ppto Costos y Gtos'!V29*V53*('Capital de Trabajo'!V54/'Capital de Trabajo'!V55)</f>
        <v>0</v>
      </c>
      <c r="W56" s="385">
        <f>'Ppto Costos y Gtos'!W29*W53*('Capital de Trabajo'!W54/'Capital de Trabajo'!W55)</f>
        <v>0</v>
      </c>
      <c r="X56" s="385">
        <f>'Ppto Costos y Gtos'!X29*X53*('Capital de Trabajo'!X54/'Capital de Trabajo'!X55)</f>
        <v>0</v>
      </c>
      <c r="Y56" s="385">
        <f>'Ppto Costos y Gtos'!Y29*Y53*('Capital de Trabajo'!Y54/'Capital de Trabajo'!Y55)</f>
        <v>0</v>
      </c>
      <c r="Z56" s="385">
        <f>'Ppto Costos y Gtos'!Z29*Z53*('Capital de Trabajo'!Z54/'Capital de Trabajo'!Z55)</f>
        <v>0</v>
      </c>
      <c r="AA56" s="385">
        <f>'Ppto Costos y Gtos'!AA29*AA53*('Capital de Trabajo'!AA54/'Capital de Trabajo'!AA55)</f>
        <v>0</v>
      </c>
    </row>
    <row r="57" spans="2:27" ht="15.75" thickBot="1" x14ac:dyDescent="0.3"/>
    <row r="58" spans="2:27" ht="18.75" x14ac:dyDescent="0.3">
      <c r="B58" s="368" t="s">
        <v>294</v>
      </c>
      <c r="C58" s="348">
        <v>0</v>
      </c>
      <c r="D58" s="348">
        <f>+C58+1</f>
        <v>1</v>
      </c>
      <c r="E58" s="348">
        <f t="shared" ref="E58" si="187">+D58+1</f>
        <v>2</v>
      </c>
      <c r="F58" s="348">
        <f t="shared" ref="F58" si="188">+E58+1</f>
        <v>3</v>
      </c>
      <c r="G58" s="348">
        <f t="shared" ref="G58" si="189">+F58+1</f>
        <v>4</v>
      </c>
      <c r="H58" s="348">
        <f t="shared" ref="H58" si="190">+G58+1</f>
        <v>5</v>
      </c>
      <c r="I58" s="348">
        <f t="shared" ref="I58" si="191">+H58+1</f>
        <v>6</v>
      </c>
      <c r="J58" s="348">
        <f t="shared" ref="J58" si="192">+I58+1</f>
        <v>7</v>
      </c>
      <c r="K58" s="348">
        <f t="shared" ref="K58" si="193">+J58+1</f>
        <v>8</v>
      </c>
      <c r="L58" s="348">
        <f t="shared" ref="L58" si="194">+K58+1</f>
        <v>9</v>
      </c>
      <c r="M58" s="348">
        <f t="shared" ref="M58" si="195">+L58+1</f>
        <v>10</v>
      </c>
      <c r="N58" s="348">
        <f t="shared" ref="N58" si="196">+M58+1</f>
        <v>11</v>
      </c>
      <c r="O58" s="348">
        <f t="shared" ref="O58" si="197">+N58+1</f>
        <v>12</v>
      </c>
      <c r="P58" s="348">
        <f t="shared" ref="P58" si="198">+O58+1</f>
        <v>13</v>
      </c>
      <c r="Q58" s="348">
        <f t="shared" ref="Q58" si="199">+P58+1</f>
        <v>14</v>
      </c>
      <c r="R58" s="348">
        <f t="shared" ref="R58" si="200">+Q58+1</f>
        <v>15</v>
      </c>
      <c r="S58" s="348">
        <f t="shared" ref="S58" si="201">+R58+1</f>
        <v>16</v>
      </c>
      <c r="T58" s="348">
        <f t="shared" ref="T58" si="202">+S58+1</f>
        <v>17</v>
      </c>
      <c r="U58" s="348">
        <f t="shared" ref="U58" si="203">+T58+1</f>
        <v>18</v>
      </c>
      <c r="V58" s="348">
        <f t="shared" ref="V58" si="204">+U58+1</f>
        <v>19</v>
      </c>
      <c r="W58" s="348">
        <f t="shared" ref="W58" si="205">+V58+1</f>
        <v>20</v>
      </c>
      <c r="X58" s="348">
        <f t="shared" ref="X58" si="206">+W58+1</f>
        <v>21</v>
      </c>
      <c r="Y58" s="348">
        <f t="shared" ref="Y58" si="207">+X58+1</f>
        <v>22</v>
      </c>
      <c r="Z58" s="348">
        <f t="shared" ref="Z58" si="208">+Y58+1</f>
        <v>23</v>
      </c>
      <c r="AA58" s="369">
        <f t="shared" ref="AA58" si="209">+Z58+1</f>
        <v>24</v>
      </c>
    </row>
    <row r="59" spans="2:27" x14ac:dyDescent="0.25">
      <c r="B59" s="341" t="s">
        <v>185</v>
      </c>
      <c r="C59" s="169"/>
      <c r="D59" s="169">
        <v>1</v>
      </c>
      <c r="E59" s="169">
        <v>1</v>
      </c>
      <c r="F59" s="169">
        <v>1</v>
      </c>
      <c r="G59" s="169">
        <v>1</v>
      </c>
      <c r="H59" s="169">
        <v>1</v>
      </c>
      <c r="I59" s="169">
        <v>1</v>
      </c>
      <c r="J59" s="169">
        <v>1</v>
      </c>
      <c r="K59" s="169">
        <v>1</v>
      </c>
      <c r="L59" s="169">
        <v>1</v>
      </c>
      <c r="M59" s="169">
        <v>1</v>
      </c>
      <c r="N59" s="169">
        <v>1</v>
      </c>
      <c r="O59" s="169">
        <v>1</v>
      </c>
      <c r="P59" s="169">
        <v>1</v>
      </c>
      <c r="Q59" s="169">
        <v>1</v>
      </c>
      <c r="R59" s="169">
        <v>1</v>
      </c>
      <c r="S59" s="169">
        <v>1</v>
      </c>
      <c r="T59" s="169">
        <v>1</v>
      </c>
      <c r="U59" s="169">
        <v>1</v>
      </c>
      <c r="V59" s="169">
        <v>1</v>
      </c>
      <c r="W59" s="169">
        <v>1</v>
      </c>
      <c r="X59" s="169">
        <v>1</v>
      </c>
      <c r="Y59" s="169">
        <v>1</v>
      </c>
      <c r="Z59" s="169">
        <v>1</v>
      </c>
      <c r="AA59" s="370">
        <v>1</v>
      </c>
    </row>
    <row r="60" spans="2:27" x14ac:dyDescent="0.25">
      <c r="B60" s="341" t="s">
        <v>186</v>
      </c>
      <c r="C60" s="168"/>
      <c r="D60" s="168">
        <f>1-D59</f>
        <v>0</v>
      </c>
      <c r="E60" s="168">
        <f t="shared" ref="E60:AA60" si="210">1-E59</f>
        <v>0</v>
      </c>
      <c r="F60" s="168">
        <f t="shared" si="210"/>
        <v>0</v>
      </c>
      <c r="G60" s="168">
        <f t="shared" si="210"/>
        <v>0</v>
      </c>
      <c r="H60" s="168">
        <f t="shared" si="210"/>
        <v>0</v>
      </c>
      <c r="I60" s="168">
        <f t="shared" si="210"/>
        <v>0</v>
      </c>
      <c r="J60" s="168">
        <f t="shared" si="210"/>
        <v>0</v>
      </c>
      <c r="K60" s="168">
        <f t="shared" si="210"/>
        <v>0</v>
      </c>
      <c r="L60" s="168">
        <f t="shared" si="210"/>
        <v>0</v>
      </c>
      <c r="M60" s="168">
        <f t="shared" si="210"/>
        <v>0</v>
      </c>
      <c r="N60" s="168">
        <f t="shared" si="210"/>
        <v>0</v>
      </c>
      <c r="O60" s="168">
        <f t="shared" si="210"/>
        <v>0</v>
      </c>
      <c r="P60" s="168">
        <f t="shared" si="210"/>
        <v>0</v>
      </c>
      <c r="Q60" s="168">
        <f t="shared" si="210"/>
        <v>0</v>
      </c>
      <c r="R60" s="168">
        <f t="shared" si="210"/>
        <v>0</v>
      </c>
      <c r="S60" s="168">
        <f t="shared" si="210"/>
        <v>0</v>
      </c>
      <c r="T60" s="168">
        <f t="shared" si="210"/>
        <v>0</v>
      </c>
      <c r="U60" s="168">
        <f t="shared" si="210"/>
        <v>0</v>
      </c>
      <c r="V60" s="168">
        <f t="shared" si="210"/>
        <v>0</v>
      </c>
      <c r="W60" s="168">
        <f t="shared" si="210"/>
        <v>0</v>
      </c>
      <c r="X60" s="168">
        <f t="shared" si="210"/>
        <v>0</v>
      </c>
      <c r="Y60" s="168">
        <f t="shared" si="210"/>
        <v>0</v>
      </c>
      <c r="Z60" s="168">
        <f t="shared" si="210"/>
        <v>0</v>
      </c>
      <c r="AA60" s="371">
        <f t="shared" si="210"/>
        <v>0</v>
      </c>
    </row>
    <row r="61" spans="2:27" x14ac:dyDescent="0.25">
      <c r="B61" s="341" t="s">
        <v>187</v>
      </c>
      <c r="C61" s="170"/>
      <c r="D61" s="170">
        <v>0</v>
      </c>
      <c r="E61" s="170">
        <v>30</v>
      </c>
      <c r="F61" s="170">
        <v>60</v>
      </c>
      <c r="G61" s="170">
        <v>60</v>
      </c>
      <c r="H61" s="170">
        <v>90</v>
      </c>
      <c r="I61" s="170">
        <v>90</v>
      </c>
      <c r="J61" s="170">
        <v>90</v>
      </c>
      <c r="K61" s="170">
        <v>90</v>
      </c>
      <c r="L61" s="170">
        <v>90</v>
      </c>
      <c r="M61" s="170">
        <v>90</v>
      </c>
      <c r="N61" s="170">
        <v>90</v>
      </c>
      <c r="O61" s="170">
        <v>90</v>
      </c>
      <c r="P61" s="170">
        <v>90</v>
      </c>
      <c r="Q61" s="170">
        <v>90</v>
      </c>
      <c r="R61" s="170">
        <v>90</v>
      </c>
      <c r="S61" s="170">
        <v>90</v>
      </c>
      <c r="T61" s="170">
        <v>90</v>
      </c>
      <c r="U61" s="170">
        <v>90</v>
      </c>
      <c r="V61" s="170">
        <v>90</v>
      </c>
      <c r="W61" s="170">
        <v>90</v>
      </c>
      <c r="X61" s="170">
        <v>90</v>
      </c>
      <c r="Y61" s="170">
        <v>90</v>
      </c>
      <c r="Z61" s="170">
        <v>90</v>
      </c>
      <c r="AA61" s="372">
        <v>90</v>
      </c>
    </row>
    <row r="62" spans="2:27" x14ac:dyDescent="0.25">
      <c r="B62" s="341" t="s">
        <v>188</v>
      </c>
      <c r="C62" s="35"/>
      <c r="D62" s="35">
        <f t="shared" ref="D62:AA62" si="211">+D25</f>
        <v>365</v>
      </c>
      <c r="E62" s="35">
        <f t="shared" si="211"/>
        <v>365</v>
      </c>
      <c r="F62" s="35">
        <f t="shared" si="211"/>
        <v>365</v>
      </c>
      <c r="G62" s="35">
        <f t="shared" si="211"/>
        <v>365</v>
      </c>
      <c r="H62" s="35">
        <f t="shared" si="211"/>
        <v>365</v>
      </c>
      <c r="I62" s="35">
        <f t="shared" si="211"/>
        <v>365</v>
      </c>
      <c r="J62" s="35">
        <f t="shared" si="211"/>
        <v>365</v>
      </c>
      <c r="K62" s="35">
        <f t="shared" si="211"/>
        <v>365</v>
      </c>
      <c r="L62" s="35">
        <f t="shared" si="211"/>
        <v>365</v>
      </c>
      <c r="M62" s="35">
        <f t="shared" si="211"/>
        <v>365</v>
      </c>
      <c r="N62" s="35">
        <f t="shared" si="211"/>
        <v>365</v>
      </c>
      <c r="O62" s="35">
        <f t="shared" si="211"/>
        <v>365</v>
      </c>
      <c r="P62" s="35">
        <f t="shared" si="211"/>
        <v>365</v>
      </c>
      <c r="Q62" s="35">
        <f t="shared" si="211"/>
        <v>365</v>
      </c>
      <c r="R62" s="35">
        <f t="shared" si="211"/>
        <v>365</v>
      </c>
      <c r="S62" s="35">
        <f t="shared" si="211"/>
        <v>365</v>
      </c>
      <c r="T62" s="35">
        <f t="shared" si="211"/>
        <v>365</v>
      </c>
      <c r="U62" s="35">
        <f t="shared" si="211"/>
        <v>365</v>
      </c>
      <c r="V62" s="35">
        <f t="shared" si="211"/>
        <v>365</v>
      </c>
      <c r="W62" s="35">
        <f t="shared" si="211"/>
        <v>365</v>
      </c>
      <c r="X62" s="35">
        <f t="shared" si="211"/>
        <v>365</v>
      </c>
      <c r="Y62" s="35">
        <f t="shared" si="211"/>
        <v>365</v>
      </c>
      <c r="Z62" s="35">
        <f t="shared" si="211"/>
        <v>365</v>
      </c>
      <c r="AA62" s="388">
        <f t="shared" si="211"/>
        <v>365</v>
      </c>
    </row>
    <row r="63" spans="2:27" ht="15.75" thickBot="1" x14ac:dyDescent="0.3">
      <c r="B63" s="384" t="s">
        <v>290</v>
      </c>
      <c r="C63" s="385"/>
      <c r="D63" s="385">
        <f>'Ppto Costos y Gtos'!D44*D60*('Capital de Trabajo'!D61/'Capital de Trabajo'!D62)</f>
        <v>0</v>
      </c>
      <c r="E63" s="385">
        <f>'Ppto Costos y Gtos'!E44*E60*('Capital de Trabajo'!E61/'Capital de Trabajo'!E62)</f>
        <v>0</v>
      </c>
      <c r="F63" s="385">
        <f>'Ppto Costos y Gtos'!F44*F60*('Capital de Trabajo'!F61/'Capital de Trabajo'!F62)</f>
        <v>0</v>
      </c>
      <c r="G63" s="385">
        <f>'Ppto Costos y Gtos'!G44*G60*('Capital de Trabajo'!G61/'Capital de Trabajo'!G62)</f>
        <v>0</v>
      </c>
      <c r="H63" s="385">
        <f>'Ppto Costos y Gtos'!H44*H60*('Capital de Trabajo'!H61/'Capital de Trabajo'!H62)</f>
        <v>0</v>
      </c>
      <c r="I63" s="385">
        <f>'Ppto Costos y Gtos'!I44*I60*('Capital de Trabajo'!I61/'Capital de Trabajo'!I62)</f>
        <v>0</v>
      </c>
      <c r="J63" s="385">
        <f>'Ppto Costos y Gtos'!J44*J60*('Capital de Trabajo'!J61/'Capital de Trabajo'!J62)</f>
        <v>0</v>
      </c>
      <c r="K63" s="385">
        <f>'Ppto Costos y Gtos'!K44*K60*('Capital de Trabajo'!K61/'Capital de Trabajo'!K62)</f>
        <v>0</v>
      </c>
      <c r="L63" s="385">
        <f>'Ppto Costos y Gtos'!L44*L60*('Capital de Trabajo'!L61/'Capital de Trabajo'!L62)</f>
        <v>0</v>
      </c>
      <c r="M63" s="385">
        <f>'Ppto Costos y Gtos'!M44*M60*('Capital de Trabajo'!M61/'Capital de Trabajo'!M62)</f>
        <v>0</v>
      </c>
      <c r="N63" s="385">
        <f>'Ppto Costos y Gtos'!N44*N60*('Capital de Trabajo'!N61/'Capital de Trabajo'!N62)</f>
        <v>0</v>
      </c>
      <c r="O63" s="385">
        <f>'Ppto Costos y Gtos'!O44*O60*('Capital de Trabajo'!O61/'Capital de Trabajo'!O62)</f>
        <v>0</v>
      </c>
      <c r="P63" s="385">
        <f>'Ppto Costos y Gtos'!P44*P60*('Capital de Trabajo'!P61/'Capital de Trabajo'!P62)</f>
        <v>0</v>
      </c>
      <c r="Q63" s="385">
        <f>'Ppto Costos y Gtos'!Q44*Q60*('Capital de Trabajo'!Q61/'Capital de Trabajo'!Q62)</f>
        <v>0</v>
      </c>
      <c r="R63" s="385">
        <f>'Ppto Costos y Gtos'!R44*R60*('Capital de Trabajo'!R61/'Capital de Trabajo'!R62)</f>
        <v>0</v>
      </c>
      <c r="S63" s="385">
        <f>'Ppto Costos y Gtos'!S44*S60*('Capital de Trabajo'!S61/'Capital de Trabajo'!S62)</f>
        <v>0</v>
      </c>
      <c r="T63" s="385">
        <f>'Ppto Costos y Gtos'!T44*T60*('Capital de Trabajo'!T61/'Capital de Trabajo'!T62)</f>
        <v>0</v>
      </c>
      <c r="U63" s="385">
        <f>'Ppto Costos y Gtos'!U44*U60*('Capital de Trabajo'!U61/'Capital de Trabajo'!U62)</f>
        <v>0</v>
      </c>
      <c r="V63" s="385">
        <f>'Ppto Costos y Gtos'!V44*V60*('Capital de Trabajo'!V61/'Capital de Trabajo'!V62)</f>
        <v>0</v>
      </c>
      <c r="W63" s="385">
        <f>'Ppto Costos y Gtos'!W44*W60*('Capital de Trabajo'!W61/'Capital de Trabajo'!W62)</f>
        <v>0</v>
      </c>
      <c r="X63" s="385">
        <f>'Ppto Costos y Gtos'!X44*X60*('Capital de Trabajo'!X61/'Capital de Trabajo'!X62)</f>
        <v>0</v>
      </c>
      <c r="Y63" s="385">
        <f>'Ppto Costos y Gtos'!Y44*Y60*('Capital de Trabajo'!Y61/'Capital de Trabajo'!Y62)</f>
        <v>0</v>
      </c>
      <c r="Z63" s="385">
        <f>'Ppto Costos y Gtos'!Z44*Z60*('Capital de Trabajo'!Z61/'Capital de Trabajo'!Z62)</f>
        <v>0</v>
      </c>
      <c r="AA63" s="385">
        <f>'Ppto Costos y Gtos'!AA44*AA60*('Capital de Trabajo'!AA61/'Capital de Trabajo'!AA62)</f>
        <v>0</v>
      </c>
    </row>
    <row r="64" spans="2:27" ht="15.75" thickBot="1" x14ac:dyDescent="0.3"/>
    <row r="65" spans="2:27" ht="18.75" x14ac:dyDescent="0.3">
      <c r="B65" s="368" t="s">
        <v>293</v>
      </c>
      <c r="C65" s="348">
        <v>0</v>
      </c>
      <c r="D65" s="348">
        <f>+C65+1</f>
        <v>1</v>
      </c>
      <c r="E65" s="348">
        <f t="shared" ref="E65" si="212">+D65+1</f>
        <v>2</v>
      </c>
      <c r="F65" s="348">
        <f t="shared" ref="F65" si="213">+E65+1</f>
        <v>3</v>
      </c>
      <c r="G65" s="348">
        <f t="shared" ref="G65" si="214">+F65+1</f>
        <v>4</v>
      </c>
      <c r="H65" s="348">
        <f t="shared" ref="H65" si="215">+G65+1</f>
        <v>5</v>
      </c>
      <c r="I65" s="348">
        <f t="shared" ref="I65" si="216">+H65+1</f>
        <v>6</v>
      </c>
      <c r="J65" s="348">
        <f t="shared" ref="J65" si="217">+I65+1</f>
        <v>7</v>
      </c>
      <c r="K65" s="348">
        <f t="shared" ref="K65" si="218">+J65+1</f>
        <v>8</v>
      </c>
      <c r="L65" s="348">
        <f t="shared" ref="L65" si="219">+K65+1</f>
        <v>9</v>
      </c>
      <c r="M65" s="348">
        <f t="shared" ref="M65" si="220">+L65+1</f>
        <v>10</v>
      </c>
      <c r="N65" s="348">
        <f t="shared" ref="N65" si="221">+M65+1</f>
        <v>11</v>
      </c>
      <c r="O65" s="348">
        <f t="shared" ref="O65" si="222">+N65+1</f>
        <v>12</v>
      </c>
      <c r="P65" s="348">
        <f t="shared" ref="P65" si="223">+O65+1</f>
        <v>13</v>
      </c>
      <c r="Q65" s="348">
        <f t="shared" ref="Q65" si="224">+P65+1</f>
        <v>14</v>
      </c>
      <c r="R65" s="348">
        <f t="shared" ref="R65" si="225">+Q65+1</f>
        <v>15</v>
      </c>
      <c r="S65" s="348">
        <f t="shared" ref="S65" si="226">+R65+1</f>
        <v>16</v>
      </c>
      <c r="T65" s="348">
        <f t="shared" ref="T65" si="227">+S65+1</f>
        <v>17</v>
      </c>
      <c r="U65" s="348">
        <f t="shared" ref="U65" si="228">+T65+1</f>
        <v>18</v>
      </c>
      <c r="V65" s="348">
        <f t="shared" ref="V65" si="229">+U65+1</f>
        <v>19</v>
      </c>
      <c r="W65" s="348">
        <f t="shared" ref="W65" si="230">+V65+1</f>
        <v>20</v>
      </c>
      <c r="X65" s="348">
        <f t="shared" ref="X65" si="231">+W65+1</f>
        <v>21</v>
      </c>
      <c r="Y65" s="348">
        <f t="shared" ref="Y65" si="232">+X65+1</f>
        <v>22</v>
      </c>
      <c r="Z65" s="348">
        <f t="shared" ref="Z65" si="233">+Y65+1</f>
        <v>23</v>
      </c>
      <c r="AA65" s="369">
        <f t="shared" ref="AA65" si="234">+Z65+1</f>
        <v>24</v>
      </c>
    </row>
    <row r="66" spans="2:27" x14ac:dyDescent="0.25">
      <c r="B66" s="341" t="s">
        <v>185</v>
      </c>
      <c r="C66" s="169"/>
      <c r="D66" s="169">
        <v>1</v>
      </c>
      <c r="E66" s="169">
        <v>1</v>
      </c>
      <c r="F66" s="169">
        <v>1</v>
      </c>
      <c r="G66" s="169">
        <v>1</v>
      </c>
      <c r="H66" s="169">
        <v>1</v>
      </c>
      <c r="I66" s="169">
        <v>1</v>
      </c>
      <c r="J66" s="169">
        <v>1</v>
      </c>
      <c r="K66" s="169">
        <v>1</v>
      </c>
      <c r="L66" s="169">
        <v>1</v>
      </c>
      <c r="M66" s="169">
        <v>1</v>
      </c>
      <c r="N66" s="169">
        <v>1</v>
      </c>
      <c r="O66" s="169">
        <v>1</v>
      </c>
      <c r="P66" s="169">
        <v>1</v>
      </c>
      <c r="Q66" s="169">
        <v>1</v>
      </c>
      <c r="R66" s="169">
        <v>1</v>
      </c>
      <c r="S66" s="169">
        <v>1</v>
      </c>
      <c r="T66" s="169">
        <v>1</v>
      </c>
      <c r="U66" s="169">
        <v>1</v>
      </c>
      <c r="V66" s="169">
        <v>1</v>
      </c>
      <c r="W66" s="169">
        <v>1</v>
      </c>
      <c r="X66" s="169">
        <v>1</v>
      </c>
      <c r="Y66" s="169">
        <v>1</v>
      </c>
      <c r="Z66" s="169">
        <v>1</v>
      </c>
      <c r="AA66" s="370">
        <v>1</v>
      </c>
    </row>
    <row r="67" spans="2:27" x14ac:dyDescent="0.25">
      <c r="B67" s="341" t="s">
        <v>186</v>
      </c>
      <c r="C67" s="168"/>
      <c r="D67" s="168">
        <f>1-D66</f>
        <v>0</v>
      </c>
      <c r="E67" s="168">
        <f t="shared" ref="E67:AA67" si="235">1-E66</f>
        <v>0</v>
      </c>
      <c r="F67" s="168">
        <f t="shared" si="235"/>
        <v>0</v>
      </c>
      <c r="G67" s="168">
        <f t="shared" si="235"/>
        <v>0</v>
      </c>
      <c r="H67" s="168">
        <f t="shared" si="235"/>
        <v>0</v>
      </c>
      <c r="I67" s="168">
        <f t="shared" si="235"/>
        <v>0</v>
      </c>
      <c r="J67" s="168">
        <f t="shared" si="235"/>
        <v>0</v>
      </c>
      <c r="K67" s="168">
        <f t="shared" si="235"/>
        <v>0</v>
      </c>
      <c r="L67" s="168">
        <f t="shared" si="235"/>
        <v>0</v>
      </c>
      <c r="M67" s="168">
        <f t="shared" si="235"/>
        <v>0</v>
      </c>
      <c r="N67" s="168">
        <f t="shared" si="235"/>
        <v>0</v>
      </c>
      <c r="O67" s="168">
        <f t="shared" si="235"/>
        <v>0</v>
      </c>
      <c r="P67" s="168">
        <f t="shared" si="235"/>
        <v>0</v>
      </c>
      <c r="Q67" s="168">
        <f t="shared" si="235"/>
        <v>0</v>
      </c>
      <c r="R67" s="168">
        <f t="shared" si="235"/>
        <v>0</v>
      </c>
      <c r="S67" s="168">
        <f t="shared" si="235"/>
        <v>0</v>
      </c>
      <c r="T67" s="168">
        <f t="shared" si="235"/>
        <v>0</v>
      </c>
      <c r="U67" s="168">
        <f t="shared" si="235"/>
        <v>0</v>
      </c>
      <c r="V67" s="168">
        <f t="shared" si="235"/>
        <v>0</v>
      </c>
      <c r="W67" s="168">
        <f t="shared" si="235"/>
        <v>0</v>
      </c>
      <c r="X67" s="168">
        <f t="shared" si="235"/>
        <v>0</v>
      </c>
      <c r="Y67" s="168">
        <f t="shared" si="235"/>
        <v>0</v>
      </c>
      <c r="Z67" s="168">
        <f t="shared" si="235"/>
        <v>0</v>
      </c>
      <c r="AA67" s="371">
        <f t="shared" si="235"/>
        <v>0</v>
      </c>
    </row>
    <row r="68" spans="2:27" x14ac:dyDescent="0.25">
      <c r="B68" s="341" t="s">
        <v>187</v>
      </c>
      <c r="C68" s="170"/>
      <c r="D68" s="170">
        <v>0</v>
      </c>
      <c r="E68" s="170">
        <v>30</v>
      </c>
      <c r="F68" s="170">
        <v>60</v>
      </c>
      <c r="G68" s="170">
        <v>60</v>
      </c>
      <c r="H68" s="170">
        <v>90</v>
      </c>
      <c r="I68" s="170">
        <v>90</v>
      </c>
      <c r="J68" s="170">
        <v>90</v>
      </c>
      <c r="K68" s="170">
        <v>90</v>
      </c>
      <c r="L68" s="170">
        <v>90</v>
      </c>
      <c r="M68" s="170">
        <v>90</v>
      </c>
      <c r="N68" s="170">
        <v>90</v>
      </c>
      <c r="O68" s="170">
        <v>90</v>
      </c>
      <c r="P68" s="170">
        <v>90</v>
      </c>
      <c r="Q68" s="170">
        <v>90</v>
      </c>
      <c r="R68" s="170">
        <v>90</v>
      </c>
      <c r="S68" s="170">
        <v>90</v>
      </c>
      <c r="T68" s="170">
        <v>90</v>
      </c>
      <c r="U68" s="170">
        <v>90</v>
      </c>
      <c r="V68" s="170">
        <v>90</v>
      </c>
      <c r="W68" s="170">
        <v>90</v>
      </c>
      <c r="X68" s="170">
        <v>90</v>
      </c>
      <c r="Y68" s="170">
        <v>90</v>
      </c>
      <c r="Z68" s="170">
        <v>90</v>
      </c>
      <c r="AA68" s="372">
        <v>90</v>
      </c>
    </row>
    <row r="69" spans="2:27" x14ac:dyDescent="0.25">
      <c r="B69" s="341" t="s">
        <v>188</v>
      </c>
      <c r="C69" s="35"/>
      <c r="D69" s="35">
        <f t="shared" ref="D69:AA69" si="236">+D32</f>
        <v>365</v>
      </c>
      <c r="E69" s="35">
        <f t="shared" si="236"/>
        <v>365</v>
      </c>
      <c r="F69" s="35">
        <f t="shared" si="236"/>
        <v>365</v>
      </c>
      <c r="G69" s="35">
        <f t="shared" si="236"/>
        <v>365</v>
      </c>
      <c r="H69" s="35">
        <f t="shared" si="236"/>
        <v>365</v>
      </c>
      <c r="I69" s="35">
        <f t="shared" si="236"/>
        <v>365</v>
      </c>
      <c r="J69" s="35">
        <f t="shared" si="236"/>
        <v>365</v>
      </c>
      <c r="K69" s="35">
        <f t="shared" si="236"/>
        <v>365</v>
      </c>
      <c r="L69" s="35">
        <f t="shared" si="236"/>
        <v>365</v>
      </c>
      <c r="M69" s="35">
        <f t="shared" si="236"/>
        <v>365</v>
      </c>
      <c r="N69" s="35">
        <f t="shared" si="236"/>
        <v>365</v>
      </c>
      <c r="O69" s="35">
        <f t="shared" si="236"/>
        <v>365</v>
      </c>
      <c r="P69" s="35">
        <f t="shared" si="236"/>
        <v>365</v>
      </c>
      <c r="Q69" s="35">
        <f t="shared" si="236"/>
        <v>365</v>
      </c>
      <c r="R69" s="35">
        <f t="shared" si="236"/>
        <v>365</v>
      </c>
      <c r="S69" s="35">
        <f t="shared" si="236"/>
        <v>365</v>
      </c>
      <c r="T69" s="35">
        <f t="shared" si="236"/>
        <v>365</v>
      </c>
      <c r="U69" s="35">
        <f t="shared" si="236"/>
        <v>365</v>
      </c>
      <c r="V69" s="35">
        <f t="shared" si="236"/>
        <v>365</v>
      </c>
      <c r="W69" s="35">
        <f t="shared" si="236"/>
        <v>365</v>
      </c>
      <c r="X69" s="35">
        <f t="shared" si="236"/>
        <v>365</v>
      </c>
      <c r="Y69" s="35">
        <f t="shared" si="236"/>
        <v>365</v>
      </c>
      <c r="Z69" s="35">
        <f t="shared" si="236"/>
        <v>365</v>
      </c>
      <c r="AA69" s="388">
        <f t="shared" si="236"/>
        <v>365</v>
      </c>
    </row>
    <row r="70" spans="2:27" ht="15.75" thickBot="1" x14ac:dyDescent="0.3">
      <c r="B70" s="384" t="s">
        <v>290</v>
      </c>
      <c r="C70" s="385"/>
      <c r="D70" s="385">
        <f>'Ppto Costos y Gtos'!D59*D67*('Capital de Trabajo'!D68/'Capital de Trabajo'!D69)</f>
        <v>0</v>
      </c>
      <c r="E70" s="385">
        <f>'Ppto Costos y Gtos'!E59*E67*('Capital de Trabajo'!E68/'Capital de Trabajo'!E69)</f>
        <v>0</v>
      </c>
      <c r="F70" s="385">
        <f>'Ppto Costos y Gtos'!F59*F67*('Capital de Trabajo'!F68/'Capital de Trabajo'!F69)</f>
        <v>0</v>
      </c>
      <c r="G70" s="385">
        <f>'Ppto Costos y Gtos'!G59*G67*('Capital de Trabajo'!G68/'Capital de Trabajo'!G69)</f>
        <v>0</v>
      </c>
      <c r="H70" s="385">
        <f>'Ppto Costos y Gtos'!H59*H67*('Capital de Trabajo'!H68/'Capital de Trabajo'!H69)</f>
        <v>0</v>
      </c>
      <c r="I70" s="385">
        <f>'Ppto Costos y Gtos'!I59*I67*('Capital de Trabajo'!I68/'Capital de Trabajo'!I69)</f>
        <v>0</v>
      </c>
      <c r="J70" s="385">
        <f>'Ppto Costos y Gtos'!J59*J67*('Capital de Trabajo'!J68/'Capital de Trabajo'!J69)</f>
        <v>0</v>
      </c>
      <c r="K70" s="385">
        <f>'Ppto Costos y Gtos'!K59*K67*('Capital de Trabajo'!K68/'Capital de Trabajo'!K69)</f>
        <v>0</v>
      </c>
      <c r="L70" s="385">
        <f>'Ppto Costos y Gtos'!L59*L67*('Capital de Trabajo'!L68/'Capital de Trabajo'!L69)</f>
        <v>0</v>
      </c>
      <c r="M70" s="385">
        <f>'Ppto Costos y Gtos'!M59*M67*('Capital de Trabajo'!M68/'Capital de Trabajo'!M69)</f>
        <v>0</v>
      </c>
      <c r="N70" s="385">
        <f>'Ppto Costos y Gtos'!N59*N67*('Capital de Trabajo'!N68/'Capital de Trabajo'!N69)</f>
        <v>0</v>
      </c>
      <c r="O70" s="385">
        <f>'Ppto Costos y Gtos'!O59*O67*('Capital de Trabajo'!O68/'Capital de Trabajo'!O69)</f>
        <v>0</v>
      </c>
      <c r="P70" s="385">
        <f>'Ppto Costos y Gtos'!P59*P67*('Capital de Trabajo'!P68/'Capital de Trabajo'!P69)</f>
        <v>0</v>
      </c>
      <c r="Q70" s="385">
        <f>'Ppto Costos y Gtos'!Q59*Q67*('Capital de Trabajo'!Q68/'Capital de Trabajo'!Q69)</f>
        <v>0</v>
      </c>
      <c r="R70" s="385">
        <f>'Ppto Costos y Gtos'!R59*R67*('Capital de Trabajo'!R68/'Capital de Trabajo'!R69)</f>
        <v>0</v>
      </c>
      <c r="S70" s="385">
        <f>'Ppto Costos y Gtos'!S59*S67*('Capital de Trabajo'!S68/'Capital de Trabajo'!S69)</f>
        <v>0</v>
      </c>
      <c r="T70" s="385">
        <f>'Ppto Costos y Gtos'!T59*T67*('Capital de Trabajo'!T68/'Capital de Trabajo'!T69)</f>
        <v>0</v>
      </c>
      <c r="U70" s="385">
        <f>'Ppto Costos y Gtos'!U59*U67*('Capital de Trabajo'!U68/'Capital de Trabajo'!U69)</f>
        <v>0</v>
      </c>
      <c r="V70" s="385">
        <f>'Ppto Costos y Gtos'!V59*V67*('Capital de Trabajo'!V68/'Capital de Trabajo'!V69)</f>
        <v>0</v>
      </c>
      <c r="W70" s="385">
        <f>'Ppto Costos y Gtos'!W59*W67*('Capital de Trabajo'!W68/'Capital de Trabajo'!W69)</f>
        <v>0</v>
      </c>
      <c r="X70" s="385">
        <f>'Ppto Costos y Gtos'!X59*X67*('Capital de Trabajo'!X68/'Capital de Trabajo'!X69)</f>
        <v>0</v>
      </c>
      <c r="Y70" s="385">
        <f>'Ppto Costos y Gtos'!Y59*Y67*('Capital de Trabajo'!Y68/'Capital de Trabajo'!Y69)</f>
        <v>0</v>
      </c>
      <c r="Z70" s="385">
        <f>'Ppto Costos y Gtos'!Z59*Z67*('Capital de Trabajo'!Z68/'Capital de Trabajo'!Z69)</f>
        <v>0</v>
      </c>
      <c r="AA70" s="385">
        <f>'Ppto Costos y Gtos'!AA59*AA67*('Capital de Trabajo'!AA68/'Capital de Trabajo'!AA69)</f>
        <v>0</v>
      </c>
    </row>
    <row r="71" spans="2:27" ht="15.75" thickBot="1" x14ac:dyDescent="0.3"/>
    <row r="72" spans="2:27" ht="18.75" x14ac:dyDescent="0.3">
      <c r="B72" s="368" t="s">
        <v>292</v>
      </c>
      <c r="C72" s="348">
        <v>0</v>
      </c>
      <c r="D72" s="348">
        <f>+C72+1</f>
        <v>1</v>
      </c>
      <c r="E72" s="348">
        <f t="shared" ref="E72" si="237">+D72+1</f>
        <v>2</v>
      </c>
      <c r="F72" s="348">
        <f t="shared" ref="F72" si="238">+E72+1</f>
        <v>3</v>
      </c>
      <c r="G72" s="348">
        <f t="shared" ref="G72" si="239">+F72+1</f>
        <v>4</v>
      </c>
      <c r="H72" s="348">
        <f t="shared" ref="H72" si="240">+G72+1</f>
        <v>5</v>
      </c>
      <c r="I72" s="348">
        <f t="shared" ref="I72" si="241">+H72+1</f>
        <v>6</v>
      </c>
      <c r="J72" s="348">
        <f t="shared" ref="J72" si="242">+I72+1</f>
        <v>7</v>
      </c>
      <c r="K72" s="348">
        <f t="shared" ref="K72" si="243">+J72+1</f>
        <v>8</v>
      </c>
      <c r="L72" s="348">
        <f t="shared" ref="L72" si="244">+K72+1</f>
        <v>9</v>
      </c>
      <c r="M72" s="348">
        <f t="shared" ref="M72" si="245">+L72+1</f>
        <v>10</v>
      </c>
      <c r="N72" s="348">
        <f t="shared" ref="N72" si="246">+M72+1</f>
        <v>11</v>
      </c>
      <c r="O72" s="348">
        <f t="shared" ref="O72" si="247">+N72+1</f>
        <v>12</v>
      </c>
      <c r="P72" s="348">
        <f t="shared" ref="P72" si="248">+O72+1</f>
        <v>13</v>
      </c>
      <c r="Q72" s="348">
        <f t="shared" ref="Q72" si="249">+P72+1</f>
        <v>14</v>
      </c>
      <c r="R72" s="348">
        <f t="shared" ref="R72" si="250">+Q72+1</f>
        <v>15</v>
      </c>
      <c r="S72" s="348">
        <f t="shared" ref="S72" si="251">+R72+1</f>
        <v>16</v>
      </c>
      <c r="T72" s="348">
        <f t="shared" ref="T72" si="252">+S72+1</f>
        <v>17</v>
      </c>
      <c r="U72" s="348">
        <f t="shared" ref="U72" si="253">+T72+1</f>
        <v>18</v>
      </c>
      <c r="V72" s="348">
        <f t="shared" ref="V72" si="254">+U72+1</f>
        <v>19</v>
      </c>
      <c r="W72" s="348">
        <f t="shared" ref="W72" si="255">+V72+1</f>
        <v>20</v>
      </c>
      <c r="X72" s="348">
        <f t="shared" ref="X72" si="256">+W72+1</f>
        <v>21</v>
      </c>
      <c r="Y72" s="348">
        <f t="shared" ref="Y72" si="257">+X72+1</f>
        <v>22</v>
      </c>
      <c r="Z72" s="348">
        <f t="shared" ref="Z72" si="258">+Y72+1</f>
        <v>23</v>
      </c>
      <c r="AA72" s="369">
        <f t="shared" ref="AA72" si="259">+Z72+1</f>
        <v>24</v>
      </c>
    </row>
    <row r="73" spans="2:27" x14ac:dyDescent="0.25">
      <c r="B73" s="341" t="s">
        <v>185</v>
      </c>
      <c r="C73" s="169"/>
      <c r="D73" s="169">
        <v>1</v>
      </c>
      <c r="E73" s="169">
        <v>1</v>
      </c>
      <c r="F73" s="169">
        <v>1</v>
      </c>
      <c r="G73" s="169">
        <v>1</v>
      </c>
      <c r="H73" s="169">
        <v>1</v>
      </c>
      <c r="I73" s="169">
        <v>1</v>
      </c>
      <c r="J73" s="169">
        <v>1</v>
      </c>
      <c r="K73" s="169">
        <v>1</v>
      </c>
      <c r="L73" s="169">
        <v>1</v>
      </c>
      <c r="M73" s="169">
        <v>1</v>
      </c>
      <c r="N73" s="169">
        <v>1</v>
      </c>
      <c r="O73" s="169">
        <v>1</v>
      </c>
      <c r="P73" s="169">
        <v>1</v>
      </c>
      <c r="Q73" s="169">
        <v>1</v>
      </c>
      <c r="R73" s="169">
        <v>1</v>
      </c>
      <c r="S73" s="169">
        <v>1</v>
      </c>
      <c r="T73" s="169">
        <v>1</v>
      </c>
      <c r="U73" s="169">
        <v>1</v>
      </c>
      <c r="V73" s="169">
        <v>1</v>
      </c>
      <c r="W73" s="169">
        <v>1</v>
      </c>
      <c r="X73" s="169">
        <v>1</v>
      </c>
      <c r="Y73" s="169">
        <v>1</v>
      </c>
      <c r="Z73" s="169">
        <v>1</v>
      </c>
      <c r="AA73" s="370">
        <v>1</v>
      </c>
    </row>
    <row r="74" spans="2:27" x14ac:dyDescent="0.25">
      <c r="B74" s="341" t="s">
        <v>186</v>
      </c>
      <c r="C74" s="168"/>
      <c r="D74" s="168">
        <f>1-D73</f>
        <v>0</v>
      </c>
      <c r="E74" s="168">
        <f t="shared" ref="E74:AA74" si="260">1-E73</f>
        <v>0</v>
      </c>
      <c r="F74" s="168">
        <f t="shared" si="260"/>
        <v>0</v>
      </c>
      <c r="G74" s="168">
        <f t="shared" si="260"/>
        <v>0</v>
      </c>
      <c r="H74" s="168">
        <f t="shared" si="260"/>
        <v>0</v>
      </c>
      <c r="I74" s="168">
        <f t="shared" si="260"/>
        <v>0</v>
      </c>
      <c r="J74" s="168">
        <f t="shared" si="260"/>
        <v>0</v>
      </c>
      <c r="K74" s="168">
        <f t="shared" si="260"/>
        <v>0</v>
      </c>
      <c r="L74" s="168">
        <f t="shared" si="260"/>
        <v>0</v>
      </c>
      <c r="M74" s="168">
        <f t="shared" si="260"/>
        <v>0</v>
      </c>
      <c r="N74" s="168">
        <f t="shared" si="260"/>
        <v>0</v>
      </c>
      <c r="O74" s="168">
        <f t="shared" si="260"/>
        <v>0</v>
      </c>
      <c r="P74" s="168">
        <f t="shared" si="260"/>
        <v>0</v>
      </c>
      <c r="Q74" s="168">
        <f t="shared" si="260"/>
        <v>0</v>
      </c>
      <c r="R74" s="168">
        <f t="shared" si="260"/>
        <v>0</v>
      </c>
      <c r="S74" s="168">
        <f t="shared" si="260"/>
        <v>0</v>
      </c>
      <c r="T74" s="168">
        <f t="shared" si="260"/>
        <v>0</v>
      </c>
      <c r="U74" s="168">
        <f t="shared" si="260"/>
        <v>0</v>
      </c>
      <c r="V74" s="168">
        <f t="shared" si="260"/>
        <v>0</v>
      </c>
      <c r="W74" s="168">
        <f t="shared" si="260"/>
        <v>0</v>
      </c>
      <c r="X74" s="168">
        <f t="shared" si="260"/>
        <v>0</v>
      </c>
      <c r="Y74" s="168">
        <f t="shared" si="260"/>
        <v>0</v>
      </c>
      <c r="Z74" s="168">
        <f t="shared" si="260"/>
        <v>0</v>
      </c>
      <c r="AA74" s="371">
        <f t="shared" si="260"/>
        <v>0</v>
      </c>
    </row>
    <row r="75" spans="2:27" x14ac:dyDescent="0.25">
      <c r="B75" s="341" t="s">
        <v>187</v>
      </c>
      <c r="C75" s="170"/>
      <c r="D75" s="170">
        <v>0</v>
      </c>
      <c r="E75" s="170">
        <v>30</v>
      </c>
      <c r="F75" s="170">
        <v>60</v>
      </c>
      <c r="G75" s="170">
        <v>60</v>
      </c>
      <c r="H75" s="170">
        <v>90</v>
      </c>
      <c r="I75" s="170">
        <v>90</v>
      </c>
      <c r="J75" s="170">
        <v>90</v>
      </c>
      <c r="K75" s="170">
        <v>90</v>
      </c>
      <c r="L75" s="170">
        <v>90</v>
      </c>
      <c r="M75" s="170">
        <v>90</v>
      </c>
      <c r="N75" s="170">
        <v>90</v>
      </c>
      <c r="O75" s="170">
        <v>90</v>
      </c>
      <c r="P75" s="170">
        <v>90</v>
      </c>
      <c r="Q75" s="170">
        <v>90</v>
      </c>
      <c r="R75" s="170">
        <v>90</v>
      </c>
      <c r="S75" s="170">
        <v>90</v>
      </c>
      <c r="T75" s="170">
        <v>90</v>
      </c>
      <c r="U75" s="170">
        <v>90</v>
      </c>
      <c r="V75" s="170">
        <v>90</v>
      </c>
      <c r="W75" s="170">
        <v>90</v>
      </c>
      <c r="X75" s="170">
        <v>90</v>
      </c>
      <c r="Y75" s="170">
        <v>90</v>
      </c>
      <c r="Z75" s="170">
        <v>90</v>
      </c>
      <c r="AA75" s="372">
        <v>90</v>
      </c>
    </row>
    <row r="76" spans="2:27" x14ac:dyDescent="0.25">
      <c r="B76" s="341" t="s">
        <v>188</v>
      </c>
      <c r="C76" s="35"/>
      <c r="D76" s="35">
        <f t="shared" ref="D76:AA76" si="261">+D39</f>
        <v>365</v>
      </c>
      <c r="E76" s="35">
        <f t="shared" si="261"/>
        <v>365</v>
      </c>
      <c r="F76" s="35">
        <f t="shared" si="261"/>
        <v>365</v>
      </c>
      <c r="G76" s="35">
        <f t="shared" si="261"/>
        <v>365</v>
      </c>
      <c r="H76" s="35">
        <f t="shared" si="261"/>
        <v>365</v>
      </c>
      <c r="I76" s="35">
        <f t="shared" si="261"/>
        <v>365</v>
      </c>
      <c r="J76" s="35">
        <f t="shared" si="261"/>
        <v>365</v>
      </c>
      <c r="K76" s="35">
        <f t="shared" si="261"/>
        <v>365</v>
      </c>
      <c r="L76" s="35">
        <f t="shared" si="261"/>
        <v>365</v>
      </c>
      <c r="M76" s="35">
        <f t="shared" si="261"/>
        <v>365</v>
      </c>
      <c r="N76" s="35">
        <f t="shared" si="261"/>
        <v>365</v>
      </c>
      <c r="O76" s="35">
        <f t="shared" si="261"/>
        <v>365</v>
      </c>
      <c r="P76" s="35">
        <f t="shared" si="261"/>
        <v>365</v>
      </c>
      <c r="Q76" s="35">
        <f t="shared" si="261"/>
        <v>365</v>
      </c>
      <c r="R76" s="35">
        <f t="shared" si="261"/>
        <v>365</v>
      </c>
      <c r="S76" s="35">
        <f t="shared" si="261"/>
        <v>365</v>
      </c>
      <c r="T76" s="35">
        <f t="shared" si="261"/>
        <v>365</v>
      </c>
      <c r="U76" s="35">
        <f t="shared" si="261"/>
        <v>365</v>
      </c>
      <c r="V76" s="35">
        <f t="shared" si="261"/>
        <v>365</v>
      </c>
      <c r="W76" s="35">
        <f t="shared" si="261"/>
        <v>365</v>
      </c>
      <c r="X76" s="35">
        <f t="shared" si="261"/>
        <v>365</v>
      </c>
      <c r="Y76" s="35">
        <f t="shared" si="261"/>
        <v>365</v>
      </c>
      <c r="Z76" s="35">
        <f t="shared" si="261"/>
        <v>365</v>
      </c>
      <c r="AA76" s="388">
        <f t="shared" si="261"/>
        <v>365</v>
      </c>
    </row>
    <row r="77" spans="2:27" ht="15.75" thickBot="1" x14ac:dyDescent="0.3">
      <c r="B77" s="384" t="s">
        <v>290</v>
      </c>
      <c r="C77" s="385"/>
      <c r="D77" s="385">
        <f>'Ppto Costos y Gtos'!D74*D74*('Capital de Trabajo'!D75/'Capital de Trabajo'!D76)</f>
        <v>0</v>
      </c>
      <c r="E77" s="385">
        <f>'Ppto Costos y Gtos'!E74*E74*('Capital de Trabajo'!E75/'Capital de Trabajo'!E76)</f>
        <v>0</v>
      </c>
      <c r="F77" s="385">
        <f>'Ppto Costos y Gtos'!F74*F74*('Capital de Trabajo'!F75/'Capital de Trabajo'!F76)</f>
        <v>0</v>
      </c>
      <c r="G77" s="385">
        <f>'Ppto Costos y Gtos'!G74*G74*('Capital de Trabajo'!G75/'Capital de Trabajo'!G76)</f>
        <v>0</v>
      </c>
      <c r="H77" s="385">
        <f>'Ppto Costos y Gtos'!H74*H74*('Capital de Trabajo'!H75/'Capital de Trabajo'!H76)</f>
        <v>0</v>
      </c>
      <c r="I77" s="385">
        <f>'Ppto Costos y Gtos'!I74*I74*('Capital de Trabajo'!I75/'Capital de Trabajo'!I76)</f>
        <v>0</v>
      </c>
      <c r="J77" s="385">
        <f>'Ppto Costos y Gtos'!J74*J74*('Capital de Trabajo'!J75/'Capital de Trabajo'!J76)</f>
        <v>0</v>
      </c>
      <c r="K77" s="385">
        <f>'Ppto Costos y Gtos'!K74*K74*('Capital de Trabajo'!K75/'Capital de Trabajo'!K76)</f>
        <v>0</v>
      </c>
      <c r="L77" s="385">
        <f>'Ppto Costos y Gtos'!L74*L74*('Capital de Trabajo'!L75/'Capital de Trabajo'!L76)</f>
        <v>0</v>
      </c>
      <c r="M77" s="385">
        <f>'Ppto Costos y Gtos'!M74*M74*('Capital de Trabajo'!M75/'Capital de Trabajo'!M76)</f>
        <v>0</v>
      </c>
      <c r="N77" s="385">
        <f>'Ppto Costos y Gtos'!N74*N74*('Capital de Trabajo'!N75/'Capital de Trabajo'!N76)</f>
        <v>0</v>
      </c>
      <c r="O77" s="385">
        <f>'Ppto Costos y Gtos'!O74*O74*('Capital de Trabajo'!O75/'Capital de Trabajo'!O76)</f>
        <v>0</v>
      </c>
      <c r="P77" s="385">
        <f>'Ppto Costos y Gtos'!P74*P74*('Capital de Trabajo'!P75/'Capital de Trabajo'!P76)</f>
        <v>0</v>
      </c>
      <c r="Q77" s="385">
        <f>'Ppto Costos y Gtos'!Q74*Q74*('Capital de Trabajo'!Q75/'Capital de Trabajo'!Q76)</f>
        <v>0</v>
      </c>
      <c r="R77" s="385">
        <f>'Ppto Costos y Gtos'!R74*R74*('Capital de Trabajo'!R75/'Capital de Trabajo'!R76)</f>
        <v>0</v>
      </c>
      <c r="S77" s="385">
        <f>'Ppto Costos y Gtos'!S74*S74*('Capital de Trabajo'!S75/'Capital de Trabajo'!S76)</f>
        <v>0</v>
      </c>
      <c r="T77" s="385">
        <f>'Ppto Costos y Gtos'!T74*T74*('Capital de Trabajo'!T75/'Capital de Trabajo'!T76)</f>
        <v>0</v>
      </c>
      <c r="U77" s="385">
        <f>'Ppto Costos y Gtos'!U74*U74*('Capital de Trabajo'!U75/'Capital de Trabajo'!U76)</f>
        <v>0</v>
      </c>
      <c r="V77" s="385">
        <f>'Ppto Costos y Gtos'!V74*V74*('Capital de Trabajo'!V75/'Capital de Trabajo'!V76)</f>
        <v>0</v>
      </c>
      <c r="W77" s="385">
        <f>'Ppto Costos y Gtos'!W74*W74*('Capital de Trabajo'!W75/'Capital de Trabajo'!W76)</f>
        <v>0</v>
      </c>
      <c r="X77" s="385">
        <f>'Ppto Costos y Gtos'!X74*X74*('Capital de Trabajo'!X75/'Capital de Trabajo'!X76)</f>
        <v>0</v>
      </c>
      <c r="Y77" s="385">
        <f>'Ppto Costos y Gtos'!Y74*Y74*('Capital de Trabajo'!Y75/'Capital de Trabajo'!Y76)</f>
        <v>0</v>
      </c>
      <c r="Z77" s="385">
        <f>'Ppto Costos y Gtos'!Z74*Z74*('Capital de Trabajo'!Z75/'Capital de Trabajo'!Z76)</f>
        <v>0</v>
      </c>
      <c r="AA77" s="385">
        <f>'Ppto Costos y Gtos'!AA74*AA74*('Capital de Trabajo'!AA75/'Capital de Trabajo'!AA76)</f>
        <v>0</v>
      </c>
    </row>
    <row r="78" spans="2:27" ht="15.75" thickBot="1" x14ac:dyDescent="0.3"/>
    <row r="79" spans="2:27" ht="15.75" thickBot="1" x14ac:dyDescent="0.3">
      <c r="B79" s="390" t="s">
        <v>296</v>
      </c>
      <c r="C79" s="393"/>
      <c r="D79" s="393">
        <f t="shared" ref="D79:AA79" si="262">D77+D70+D63+D56+D49</f>
        <v>0</v>
      </c>
      <c r="E79" s="393">
        <f t="shared" si="262"/>
        <v>0</v>
      </c>
      <c r="F79" s="393">
        <f t="shared" si="262"/>
        <v>0</v>
      </c>
      <c r="G79" s="393">
        <f t="shared" si="262"/>
        <v>0</v>
      </c>
      <c r="H79" s="393">
        <f t="shared" si="262"/>
        <v>0</v>
      </c>
      <c r="I79" s="393">
        <f t="shared" si="262"/>
        <v>0</v>
      </c>
      <c r="J79" s="393">
        <f t="shared" si="262"/>
        <v>0</v>
      </c>
      <c r="K79" s="393">
        <f t="shared" si="262"/>
        <v>0</v>
      </c>
      <c r="L79" s="393">
        <f t="shared" si="262"/>
        <v>0</v>
      </c>
      <c r="M79" s="393">
        <f t="shared" si="262"/>
        <v>0</v>
      </c>
      <c r="N79" s="393">
        <f t="shared" si="262"/>
        <v>0</v>
      </c>
      <c r="O79" s="393">
        <f t="shared" si="262"/>
        <v>0</v>
      </c>
      <c r="P79" s="393">
        <f t="shared" si="262"/>
        <v>0</v>
      </c>
      <c r="Q79" s="393">
        <f t="shared" si="262"/>
        <v>0</v>
      </c>
      <c r="R79" s="393">
        <f t="shared" si="262"/>
        <v>0</v>
      </c>
      <c r="S79" s="393">
        <f t="shared" si="262"/>
        <v>0</v>
      </c>
      <c r="T79" s="393">
        <f t="shared" si="262"/>
        <v>0</v>
      </c>
      <c r="U79" s="393">
        <f t="shared" si="262"/>
        <v>0</v>
      </c>
      <c r="V79" s="393">
        <f t="shared" si="262"/>
        <v>0</v>
      </c>
      <c r="W79" s="393">
        <f t="shared" si="262"/>
        <v>0</v>
      </c>
      <c r="X79" s="393">
        <f t="shared" si="262"/>
        <v>0</v>
      </c>
      <c r="Y79" s="393">
        <f t="shared" si="262"/>
        <v>0</v>
      </c>
      <c r="Z79" s="393">
        <f t="shared" si="262"/>
        <v>0</v>
      </c>
      <c r="AA79" s="394">
        <f t="shared" si="262"/>
        <v>0</v>
      </c>
    </row>
    <row r="80" spans="2:27" ht="15.75" thickBot="1" x14ac:dyDescent="0.3"/>
    <row r="81" spans="2:27" ht="18.75" x14ac:dyDescent="0.3">
      <c r="B81" s="368" t="s">
        <v>238</v>
      </c>
      <c r="C81" s="348">
        <v>0</v>
      </c>
      <c r="D81" s="348">
        <f>+C81+1</f>
        <v>1</v>
      </c>
      <c r="E81" s="348">
        <f t="shared" ref="E81:K81" si="263">+D81+1</f>
        <v>2</v>
      </c>
      <c r="F81" s="348">
        <f t="shared" si="263"/>
        <v>3</v>
      </c>
      <c r="G81" s="348">
        <f t="shared" si="263"/>
        <v>4</v>
      </c>
      <c r="H81" s="348">
        <f t="shared" si="263"/>
        <v>5</v>
      </c>
      <c r="I81" s="348">
        <f t="shared" si="263"/>
        <v>6</v>
      </c>
      <c r="J81" s="348">
        <f t="shared" si="263"/>
        <v>7</v>
      </c>
      <c r="K81" s="348">
        <f t="shared" si="263"/>
        <v>8</v>
      </c>
      <c r="L81" s="348">
        <f t="shared" ref="L81" si="264">+K81+1</f>
        <v>9</v>
      </c>
      <c r="M81" s="348">
        <f t="shared" ref="M81" si="265">+L81+1</f>
        <v>10</v>
      </c>
      <c r="N81" s="348">
        <f t="shared" ref="N81" si="266">+M81+1</f>
        <v>11</v>
      </c>
      <c r="O81" s="348">
        <f t="shared" ref="O81" si="267">+N81+1</f>
        <v>12</v>
      </c>
      <c r="P81" s="348">
        <f t="shared" ref="P81" si="268">+O81+1</f>
        <v>13</v>
      </c>
      <c r="Q81" s="348">
        <f t="shared" ref="Q81" si="269">+P81+1</f>
        <v>14</v>
      </c>
      <c r="R81" s="348">
        <f t="shared" ref="R81" si="270">+Q81+1</f>
        <v>15</v>
      </c>
      <c r="S81" s="348">
        <f t="shared" ref="S81" si="271">+R81+1</f>
        <v>16</v>
      </c>
      <c r="T81" s="348">
        <f t="shared" ref="T81" si="272">+S81+1</f>
        <v>17</v>
      </c>
      <c r="U81" s="348">
        <f t="shared" ref="U81" si="273">+T81+1</f>
        <v>18</v>
      </c>
      <c r="V81" s="348">
        <f t="shared" ref="V81" si="274">+U81+1</f>
        <v>19</v>
      </c>
      <c r="W81" s="348">
        <f t="shared" ref="W81" si="275">+V81+1</f>
        <v>20</v>
      </c>
      <c r="X81" s="348">
        <f t="shared" ref="X81" si="276">+W81+1</f>
        <v>21</v>
      </c>
      <c r="Y81" s="348">
        <f t="shared" ref="Y81" si="277">+X81+1</f>
        <v>22</v>
      </c>
      <c r="Z81" s="348">
        <f t="shared" ref="Z81" si="278">+Y81+1</f>
        <v>23</v>
      </c>
      <c r="AA81" s="369">
        <f t="shared" ref="AA81" si="279">+Z81+1</f>
        <v>24</v>
      </c>
    </row>
    <row r="82" spans="2:27" x14ac:dyDescent="0.25">
      <c r="B82" s="341" t="s">
        <v>192</v>
      </c>
      <c r="C82" s="35"/>
      <c r="D82" s="169">
        <v>0.5</v>
      </c>
      <c r="E82" s="169">
        <v>1</v>
      </c>
      <c r="F82" s="169">
        <v>1</v>
      </c>
      <c r="G82" s="169">
        <v>1</v>
      </c>
      <c r="H82" s="169">
        <v>1</v>
      </c>
      <c r="I82" s="169">
        <v>1</v>
      </c>
      <c r="J82" s="169">
        <v>1</v>
      </c>
      <c r="K82" s="169">
        <v>1</v>
      </c>
      <c r="L82" s="169">
        <v>1</v>
      </c>
      <c r="M82" s="169">
        <v>1</v>
      </c>
      <c r="N82" s="169">
        <v>1</v>
      </c>
      <c r="O82" s="169">
        <v>1</v>
      </c>
      <c r="P82" s="169">
        <v>1</v>
      </c>
      <c r="Q82" s="169">
        <v>1</v>
      </c>
      <c r="R82" s="169">
        <v>1</v>
      </c>
      <c r="S82" s="169">
        <v>1</v>
      </c>
      <c r="T82" s="169">
        <v>1</v>
      </c>
      <c r="U82" s="169">
        <v>1</v>
      </c>
      <c r="V82" s="169">
        <v>1</v>
      </c>
      <c r="W82" s="169">
        <v>1</v>
      </c>
      <c r="X82" s="169">
        <v>1</v>
      </c>
      <c r="Y82" s="169">
        <v>1</v>
      </c>
      <c r="Z82" s="169">
        <v>1</v>
      </c>
      <c r="AA82" s="370">
        <v>1</v>
      </c>
    </row>
    <row r="83" spans="2:27" x14ac:dyDescent="0.25">
      <c r="B83" s="341" t="s">
        <v>179</v>
      </c>
      <c r="C83" s="35"/>
      <c r="D83" s="168">
        <f>1-D82</f>
        <v>0.5</v>
      </c>
      <c r="E83" s="168">
        <f t="shared" ref="E83:K83" si="280">1-E82</f>
        <v>0</v>
      </c>
      <c r="F83" s="168">
        <f t="shared" si="280"/>
        <v>0</v>
      </c>
      <c r="G83" s="168">
        <f t="shared" si="280"/>
        <v>0</v>
      </c>
      <c r="H83" s="168">
        <f t="shared" si="280"/>
        <v>0</v>
      </c>
      <c r="I83" s="168">
        <f t="shared" si="280"/>
        <v>0</v>
      </c>
      <c r="J83" s="168">
        <f t="shared" si="280"/>
        <v>0</v>
      </c>
      <c r="K83" s="168">
        <f t="shared" si="280"/>
        <v>0</v>
      </c>
      <c r="L83" s="168">
        <f t="shared" ref="L83:S83" si="281">1-L82</f>
        <v>0</v>
      </c>
      <c r="M83" s="168">
        <f t="shared" si="281"/>
        <v>0</v>
      </c>
      <c r="N83" s="168">
        <f t="shared" si="281"/>
        <v>0</v>
      </c>
      <c r="O83" s="168">
        <f t="shared" si="281"/>
        <v>0</v>
      </c>
      <c r="P83" s="168">
        <f t="shared" si="281"/>
        <v>0</v>
      </c>
      <c r="Q83" s="168">
        <f t="shared" si="281"/>
        <v>0</v>
      </c>
      <c r="R83" s="168">
        <f t="shared" si="281"/>
        <v>0</v>
      </c>
      <c r="S83" s="168">
        <f t="shared" si="281"/>
        <v>0</v>
      </c>
      <c r="T83" s="168">
        <f t="shared" ref="T83:AA83" si="282">1-T82</f>
        <v>0</v>
      </c>
      <c r="U83" s="168">
        <f t="shared" si="282"/>
        <v>0</v>
      </c>
      <c r="V83" s="168">
        <f t="shared" si="282"/>
        <v>0</v>
      </c>
      <c r="W83" s="168">
        <f t="shared" si="282"/>
        <v>0</v>
      </c>
      <c r="X83" s="168">
        <f t="shared" si="282"/>
        <v>0</v>
      </c>
      <c r="Y83" s="168">
        <f t="shared" si="282"/>
        <v>0</v>
      </c>
      <c r="Z83" s="168">
        <f t="shared" si="282"/>
        <v>0</v>
      </c>
      <c r="AA83" s="371">
        <f t="shared" si="282"/>
        <v>0</v>
      </c>
    </row>
    <row r="84" spans="2:27" x14ac:dyDescent="0.25">
      <c r="B84" s="341" t="s">
        <v>188</v>
      </c>
      <c r="C84" s="35"/>
      <c r="D84" s="170">
        <v>90</v>
      </c>
      <c r="E84" s="170">
        <v>90</v>
      </c>
      <c r="F84" s="170">
        <v>90</v>
      </c>
      <c r="G84" s="170">
        <v>90</v>
      </c>
      <c r="H84" s="170">
        <v>90</v>
      </c>
      <c r="I84" s="170">
        <v>90</v>
      </c>
      <c r="J84" s="170">
        <v>90</v>
      </c>
      <c r="K84" s="170">
        <v>90</v>
      </c>
      <c r="L84" s="170">
        <v>90</v>
      </c>
      <c r="M84" s="170">
        <v>90</v>
      </c>
      <c r="N84" s="170">
        <v>90</v>
      </c>
      <c r="O84" s="170">
        <v>90</v>
      </c>
      <c r="P84" s="170">
        <v>90</v>
      </c>
      <c r="Q84" s="170">
        <v>90</v>
      </c>
      <c r="R84" s="170">
        <v>90</v>
      </c>
      <c r="S84" s="170">
        <v>90</v>
      </c>
      <c r="T84" s="170">
        <v>90</v>
      </c>
      <c r="U84" s="170">
        <v>90</v>
      </c>
      <c r="V84" s="170">
        <v>90</v>
      </c>
      <c r="W84" s="170">
        <v>90</v>
      </c>
      <c r="X84" s="170">
        <v>90</v>
      </c>
      <c r="Y84" s="170">
        <v>90</v>
      </c>
      <c r="Z84" s="170">
        <v>90</v>
      </c>
      <c r="AA84" s="372">
        <v>90</v>
      </c>
    </row>
    <row r="85" spans="2:27" ht="15.75" thickBot="1" x14ac:dyDescent="0.3">
      <c r="B85" s="373" t="s">
        <v>188</v>
      </c>
      <c r="C85" s="374"/>
      <c r="D85" s="374">
        <f>+D48</f>
        <v>365</v>
      </c>
      <c r="E85" s="374">
        <f t="shared" ref="E85:K85" si="283">+E48</f>
        <v>365</v>
      </c>
      <c r="F85" s="374">
        <f t="shared" si="283"/>
        <v>365</v>
      </c>
      <c r="G85" s="374">
        <f t="shared" si="283"/>
        <v>365</v>
      </c>
      <c r="H85" s="374">
        <f t="shared" si="283"/>
        <v>365</v>
      </c>
      <c r="I85" s="374">
        <f t="shared" si="283"/>
        <v>365</v>
      </c>
      <c r="J85" s="374">
        <f t="shared" si="283"/>
        <v>365</v>
      </c>
      <c r="K85" s="374">
        <f t="shared" si="283"/>
        <v>365</v>
      </c>
      <c r="L85" s="374">
        <f t="shared" ref="L85:S85" si="284">+L48</f>
        <v>365</v>
      </c>
      <c r="M85" s="374">
        <f t="shared" si="284"/>
        <v>365</v>
      </c>
      <c r="N85" s="374">
        <f t="shared" si="284"/>
        <v>365</v>
      </c>
      <c r="O85" s="374">
        <f t="shared" si="284"/>
        <v>365</v>
      </c>
      <c r="P85" s="374">
        <f t="shared" si="284"/>
        <v>365</v>
      </c>
      <c r="Q85" s="374">
        <f t="shared" si="284"/>
        <v>365</v>
      </c>
      <c r="R85" s="374">
        <f t="shared" si="284"/>
        <v>365</v>
      </c>
      <c r="S85" s="374">
        <f t="shared" si="284"/>
        <v>365</v>
      </c>
      <c r="T85" s="374">
        <f t="shared" ref="T85:AA85" si="285">+T48</f>
        <v>365</v>
      </c>
      <c r="U85" s="374">
        <f t="shared" si="285"/>
        <v>365</v>
      </c>
      <c r="V85" s="374">
        <f t="shared" si="285"/>
        <v>365</v>
      </c>
      <c r="W85" s="374">
        <f t="shared" si="285"/>
        <v>365</v>
      </c>
      <c r="X85" s="374">
        <f t="shared" si="285"/>
        <v>365</v>
      </c>
      <c r="Y85" s="374">
        <f t="shared" si="285"/>
        <v>365</v>
      </c>
      <c r="Z85" s="374">
        <f t="shared" si="285"/>
        <v>365</v>
      </c>
      <c r="AA85" s="375">
        <f t="shared" si="285"/>
        <v>365</v>
      </c>
    </row>
    <row r="86" spans="2:27" x14ac:dyDescent="0.25">
      <c r="B86" s="386"/>
      <c r="C86" s="386"/>
      <c r="D86" s="386"/>
      <c r="E86" s="386"/>
      <c r="F86" s="386"/>
      <c r="G86" s="386"/>
      <c r="H86" s="386"/>
      <c r="I86" s="386"/>
      <c r="J86" s="386"/>
      <c r="K86" s="386"/>
      <c r="L86" s="386"/>
      <c r="M86" s="386"/>
      <c r="N86" s="386"/>
      <c r="O86" s="386"/>
      <c r="P86" s="386"/>
      <c r="Q86" s="386"/>
      <c r="R86" s="386"/>
      <c r="S86" s="386"/>
      <c r="T86" s="386"/>
      <c r="U86" s="386"/>
      <c r="V86" s="386"/>
      <c r="W86" s="386"/>
      <c r="X86" s="386"/>
      <c r="Y86" s="386"/>
      <c r="Z86" s="386"/>
      <c r="AA86" s="386"/>
    </row>
    <row r="87" spans="2:27" x14ac:dyDescent="0.25">
      <c r="B87" s="386"/>
      <c r="C87" s="386"/>
      <c r="D87" s="386"/>
      <c r="E87" s="386"/>
      <c r="F87" s="386"/>
      <c r="G87" s="386"/>
      <c r="H87" s="386"/>
      <c r="I87" s="386"/>
      <c r="J87" s="386"/>
      <c r="K87" s="386"/>
      <c r="L87" s="386"/>
      <c r="M87" s="386"/>
      <c r="N87" s="386"/>
      <c r="O87" s="386"/>
      <c r="P87" s="386"/>
      <c r="Q87" s="386"/>
      <c r="R87" s="386"/>
      <c r="S87" s="386"/>
      <c r="T87" s="386"/>
      <c r="U87" s="386"/>
      <c r="V87" s="386"/>
      <c r="W87" s="386"/>
      <c r="X87" s="386"/>
      <c r="Y87" s="386"/>
      <c r="Z87" s="386"/>
      <c r="AA87" s="386"/>
    </row>
    <row r="88" spans="2:27" ht="15.75" thickBot="1" x14ac:dyDescent="0.3"/>
    <row r="89" spans="2:27" ht="15.75" thickBot="1" x14ac:dyDescent="0.3">
      <c r="B89" s="366" t="s">
        <v>234</v>
      </c>
      <c r="C89" s="377">
        <v>0.22</v>
      </c>
    </row>
    <row r="91" spans="2:27" x14ac:dyDescent="0.25">
      <c r="F91" t="s">
        <v>115</v>
      </c>
    </row>
    <row r="92" spans="2:27" ht="21" x14ac:dyDescent="0.35">
      <c r="B92" s="450" t="s">
        <v>338</v>
      </c>
      <c r="C92" s="81"/>
      <c r="D92" s="81" t="s">
        <v>185</v>
      </c>
      <c r="E92" s="445"/>
      <c r="F92" s="447" t="s">
        <v>343</v>
      </c>
    </row>
    <row r="93" spans="2:27" ht="21" x14ac:dyDescent="0.35">
      <c r="B93" s="450"/>
      <c r="C93" s="81"/>
      <c r="D93" s="81" t="s">
        <v>186</v>
      </c>
      <c r="E93" s="446"/>
      <c r="F93" s="448" t="s">
        <v>344</v>
      </c>
      <c r="G93" s="451"/>
    </row>
    <row r="94" spans="2:27" ht="21" x14ac:dyDescent="0.35">
      <c r="B94" s="450"/>
      <c r="C94" s="81"/>
      <c r="D94" s="81"/>
      <c r="E94" s="81"/>
      <c r="F94" s="449"/>
    </row>
    <row r="95" spans="2:27" ht="21" x14ac:dyDescent="0.35">
      <c r="B95" s="450" t="s">
        <v>191</v>
      </c>
      <c r="C95" s="81"/>
      <c r="D95" s="81" t="s">
        <v>185</v>
      </c>
      <c r="E95" s="446"/>
      <c r="F95" s="448" t="s">
        <v>344</v>
      </c>
      <c r="G95" s="451"/>
    </row>
    <row r="96" spans="2:27" ht="21" x14ac:dyDescent="0.35">
      <c r="B96" s="450"/>
      <c r="C96" s="81"/>
      <c r="D96" s="81" t="s">
        <v>186</v>
      </c>
      <c r="E96" s="445"/>
      <c r="F96" s="447" t="s">
        <v>343</v>
      </c>
    </row>
    <row r="97" spans="2:7" ht="21" x14ac:dyDescent="0.35">
      <c r="B97" s="450"/>
      <c r="C97" s="81"/>
      <c r="D97" s="81"/>
      <c r="E97" s="81"/>
      <c r="F97" s="449"/>
    </row>
    <row r="98" spans="2:7" ht="21" x14ac:dyDescent="0.35">
      <c r="B98" s="450" t="s">
        <v>339</v>
      </c>
      <c r="C98" s="81" t="s">
        <v>342</v>
      </c>
      <c r="D98" s="81" t="s">
        <v>340</v>
      </c>
      <c r="E98" s="445"/>
      <c r="F98" s="447" t="s">
        <v>343</v>
      </c>
    </row>
    <row r="99" spans="2:7" ht="21" x14ac:dyDescent="0.35">
      <c r="B99" s="450"/>
      <c r="C99" s="81"/>
      <c r="D99" s="81" t="s">
        <v>341</v>
      </c>
      <c r="E99" s="446"/>
      <c r="F99" s="448" t="s">
        <v>344</v>
      </c>
      <c r="G99" s="451"/>
    </row>
  </sheetData>
  <hyperlinks>
    <hyperlink ref="B2" location="Menu!A1" display="MENU" xr:uid="{13F226D7-5F6D-4F1C-8FEE-7D33B05C5A9B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/>
  <dimension ref="A1:AX605"/>
  <sheetViews>
    <sheetView zoomScale="80" zoomScaleNormal="80" workbookViewId="0">
      <pane xSplit="1" ySplit="1" topLeftCell="B235" activePane="bottomRight" state="frozen"/>
      <selection activeCell="E17" sqref="E17"/>
      <selection pane="topRight" activeCell="E17" sqref="E17"/>
      <selection pane="bottomLeft" activeCell="E17" sqref="E17"/>
      <selection pane="bottomRight"/>
    </sheetView>
  </sheetViews>
  <sheetFormatPr baseColWidth="10" defaultRowHeight="15" x14ac:dyDescent="0.25"/>
  <cols>
    <col min="1" max="1" width="52.7109375" bestFit="1" customWidth="1"/>
    <col min="2" max="2" width="24.28515625" bestFit="1" customWidth="1"/>
    <col min="3" max="3" width="22.42578125" bestFit="1" customWidth="1"/>
    <col min="4" max="4" width="23.140625" bestFit="1" customWidth="1"/>
    <col min="5" max="6" width="23.42578125" bestFit="1" customWidth="1"/>
    <col min="7" max="8" width="24.28515625" bestFit="1" customWidth="1"/>
    <col min="9" max="11" width="24.28515625" hidden="1" customWidth="1"/>
    <col min="12" max="22" width="24.140625" hidden="1" customWidth="1"/>
    <col min="23" max="26" width="23.42578125" hidden="1" customWidth="1"/>
    <col min="27" max="27" width="3.7109375" hidden="1" customWidth="1"/>
  </cols>
  <sheetData>
    <row r="1" spans="1:27" ht="26.25" x14ac:dyDescent="0.4">
      <c r="A1" s="143" t="s">
        <v>149</v>
      </c>
      <c r="C1" s="461">
        <v>0</v>
      </c>
      <c r="D1" s="461">
        <v>1</v>
      </c>
      <c r="E1" s="461">
        <v>2</v>
      </c>
      <c r="F1" s="461">
        <v>3</v>
      </c>
      <c r="G1" s="461">
        <v>4</v>
      </c>
      <c r="H1" s="461">
        <v>5</v>
      </c>
      <c r="I1" s="461">
        <v>6</v>
      </c>
      <c r="J1" s="461">
        <v>7</v>
      </c>
      <c r="K1" s="461">
        <v>8</v>
      </c>
      <c r="L1" s="461">
        <v>9</v>
      </c>
      <c r="M1" s="461">
        <v>10</v>
      </c>
      <c r="N1" s="461">
        <v>11</v>
      </c>
      <c r="O1" s="461">
        <v>12</v>
      </c>
      <c r="P1" s="461">
        <v>13</v>
      </c>
      <c r="Q1" s="461">
        <v>14</v>
      </c>
      <c r="R1" s="461">
        <v>15</v>
      </c>
      <c r="S1" s="461">
        <v>16</v>
      </c>
      <c r="T1" s="461">
        <v>17</v>
      </c>
      <c r="U1" s="461">
        <v>18</v>
      </c>
      <c r="V1" s="461">
        <v>19</v>
      </c>
      <c r="W1" s="461">
        <v>20</v>
      </c>
      <c r="X1" s="461">
        <v>21</v>
      </c>
      <c r="Y1" s="461">
        <v>22</v>
      </c>
      <c r="Z1" s="461">
        <v>23</v>
      </c>
      <c r="AA1" s="461">
        <v>24</v>
      </c>
    </row>
    <row r="2" spans="1:27" ht="23.25" x14ac:dyDescent="0.35">
      <c r="A2" s="166" t="s">
        <v>181</v>
      </c>
      <c r="B2" s="3"/>
      <c r="C2" s="379">
        <f>+C12+C15+C22+C29+C36</f>
        <v>188207486</v>
      </c>
      <c r="D2" s="379">
        <f t="shared" ref="D2:AA2" si="0">+D12+D15+D22+D29+D36</f>
        <v>0</v>
      </c>
      <c r="E2" s="379">
        <f t="shared" si="0"/>
        <v>0</v>
      </c>
      <c r="F2" s="379">
        <f t="shared" si="0"/>
        <v>0</v>
      </c>
      <c r="G2" s="379">
        <f t="shared" si="0"/>
        <v>0</v>
      </c>
      <c r="H2" s="379">
        <f t="shared" si="0"/>
        <v>0</v>
      </c>
      <c r="I2" s="379">
        <f t="shared" si="0"/>
        <v>0</v>
      </c>
      <c r="J2" s="379">
        <f t="shared" si="0"/>
        <v>0</v>
      </c>
      <c r="K2" s="379">
        <f t="shared" si="0"/>
        <v>0</v>
      </c>
      <c r="L2" s="379">
        <f t="shared" si="0"/>
        <v>0</v>
      </c>
      <c r="M2" s="379">
        <f t="shared" si="0"/>
        <v>0</v>
      </c>
      <c r="N2" s="379">
        <f t="shared" si="0"/>
        <v>0</v>
      </c>
      <c r="O2" s="379">
        <f t="shared" si="0"/>
        <v>0</v>
      </c>
      <c r="P2" s="379">
        <f t="shared" si="0"/>
        <v>0</v>
      </c>
      <c r="Q2" s="379">
        <f t="shared" si="0"/>
        <v>0</v>
      </c>
      <c r="R2" s="379">
        <f t="shared" si="0"/>
        <v>0</v>
      </c>
      <c r="S2" s="379">
        <f t="shared" si="0"/>
        <v>0</v>
      </c>
      <c r="T2" s="379">
        <f t="shared" si="0"/>
        <v>0</v>
      </c>
      <c r="U2" s="379">
        <f t="shared" si="0"/>
        <v>0</v>
      </c>
      <c r="V2" s="379">
        <f t="shared" si="0"/>
        <v>0</v>
      </c>
      <c r="W2" s="379">
        <f t="shared" si="0"/>
        <v>0</v>
      </c>
      <c r="X2" s="379">
        <f t="shared" si="0"/>
        <v>0</v>
      </c>
      <c r="Y2" s="379">
        <f t="shared" si="0"/>
        <v>0</v>
      </c>
      <c r="Z2" s="379">
        <f t="shared" si="0"/>
        <v>0</v>
      </c>
      <c r="AA2" s="379">
        <f t="shared" si="0"/>
        <v>0</v>
      </c>
    </row>
    <row r="3" spans="1:27" ht="23.25" x14ac:dyDescent="0.35">
      <c r="A3" s="166" t="s">
        <v>180</v>
      </c>
      <c r="B3" s="3"/>
      <c r="C3" s="167">
        <f>+C2</f>
        <v>188207486</v>
      </c>
      <c r="D3" s="167">
        <f>+C3+D2</f>
        <v>188207486</v>
      </c>
      <c r="E3" s="167">
        <f t="shared" ref="E3:M3" si="1">+D3+E2</f>
        <v>188207486</v>
      </c>
      <c r="F3" s="167">
        <f t="shared" si="1"/>
        <v>188207486</v>
      </c>
      <c r="G3" s="167">
        <f t="shared" si="1"/>
        <v>188207486</v>
      </c>
      <c r="H3" s="167">
        <f t="shared" si="1"/>
        <v>188207486</v>
      </c>
      <c r="I3" s="167">
        <f t="shared" si="1"/>
        <v>188207486</v>
      </c>
      <c r="J3" s="167">
        <f t="shared" si="1"/>
        <v>188207486</v>
      </c>
      <c r="K3" s="167">
        <f t="shared" si="1"/>
        <v>188207486</v>
      </c>
      <c r="L3" s="167">
        <f t="shared" si="1"/>
        <v>188207486</v>
      </c>
      <c r="M3" s="167">
        <f t="shared" si="1"/>
        <v>188207486</v>
      </c>
      <c r="N3" s="167">
        <f t="shared" ref="N3" si="2">+M3+N2</f>
        <v>188207486</v>
      </c>
      <c r="O3" s="167">
        <f t="shared" ref="O3" si="3">+N3+O2</f>
        <v>188207486</v>
      </c>
      <c r="P3" s="167">
        <f t="shared" ref="P3" si="4">+O3+P2</f>
        <v>188207486</v>
      </c>
      <c r="Q3" s="167">
        <f t="shared" ref="Q3" si="5">+P3+Q2</f>
        <v>188207486</v>
      </c>
      <c r="R3" s="167">
        <f t="shared" ref="R3" si="6">+Q3+R2</f>
        <v>188207486</v>
      </c>
      <c r="S3" s="167">
        <f t="shared" ref="S3" si="7">+R3+S2</f>
        <v>188207486</v>
      </c>
      <c r="T3" s="167">
        <f t="shared" ref="T3" si="8">+S3+T2</f>
        <v>188207486</v>
      </c>
      <c r="U3" s="167">
        <f t="shared" ref="U3" si="9">+T3+U2</f>
        <v>188207486</v>
      </c>
      <c r="V3" s="167">
        <f t="shared" ref="V3" si="10">+U3+V2</f>
        <v>188207486</v>
      </c>
      <c r="W3" s="167">
        <f t="shared" ref="W3" si="11">+V3+W2</f>
        <v>188207486</v>
      </c>
      <c r="X3" s="167">
        <f t="shared" ref="X3" si="12">+W3+X2</f>
        <v>188207486</v>
      </c>
      <c r="Y3" s="167">
        <f t="shared" ref="Y3" si="13">+X3+Y2</f>
        <v>188207486</v>
      </c>
      <c r="Z3" s="167">
        <f t="shared" ref="Z3" si="14">+Y3+Z2</f>
        <v>188207486</v>
      </c>
      <c r="AA3" s="167">
        <f t="shared" ref="AA3" si="15">+Z3+AA2</f>
        <v>188207486</v>
      </c>
    </row>
    <row r="4" spans="1:27" ht="23.25" x14ac:dyDescent="0.35">
      <c r="A4" s="166" t="s">
        <v>183</v>
      </c>
      <c r="B4" s="3"/>
      <c r="C4" s="167">
        <f>+C19+C26+C33+C40</f>
        <v>0</v>
      </c>
      <c r="D4" s="167">
        <f t="shared" ref="D4:AA4" si="16">+D19+D26+D33+D40</f>
        <v>0</v>
      </c>
      <c r="E4" s="167">
        <f t="shared" si="16"/>
        <v>0</v>
      </c>
      <c r="F4" s="167">
        <f t="shared" si="16"/>
        <v>0</v>
      </c>
      <c r="G4" s="167">
        <f t="shared" si="16"/>
        <v>0</v>
      </c>
      <c r="H4" s="167">
        <f t="shared" si="16"/>
        <v>0</v>
      </c>
      <c r="I4" s="167">
        <f t="shared" si="16"/>
        <v>0</v>
      </c>
      <c r="J4" s="167">
        <f t="shared" si="16"/>
        <v>0</v>
      </c>
      <c r="K4" s="167">
        <f t="shared" si="16"/>
        <v>0</v>
      </c>
      <c r="L4" s="167">
        <f t="shared" si="16"/>
        <v>0</v>
      </c>
      <c r="M4" s="167">
        <f t="shared" si="16"/>
        <v>0</v>
      </c>
      <c r="N4" s="167">
        <f t="shared" si="16"/>
        <v>0</v>
      </c>
      <c r="O4" s="167">
        <f t="shared" si="16"/>
        <v>0</v>
      </c>
      <c r="P4" s="167">
        <f t="shared" si="16"/>
        <v>0</v>
      </c>
      <c r="Q4" s="167">
        <f t="shared" si="16"/>
        <v>0</v>
      </c>
      <c r="R4" s="167">
        <f t="shared" si="16"/>
        <v>0</v>
      </c>
      <c r="S4" s="167">
        <f t="shared" si="16"/>
        <v>0</v>
      </c>
      <c r="T4" s="167">
        <f t="shared" si="16"/>
        <v>0</v>
      </c>
      <c r="U4" s="167">
        <f t="shared" si="16"/>
        <v>0</v>
      </c>
      <c r="V4" s="167">
        <f t="shared" si="16"/>
        <v>0</v>
      </c>
      <c r="W4" s="167">
        <f t="shared" si="16"/>
        <v>0</v>
      </c>
      <c r="X4" s="167">
        <f t="shared" si="16"/>
        <v>0</v>
      </c>
      <c r="Y4" s="167">
        <f t="shared" si="16"/>
        <v>0</v>
      </c>
      <c r="Z4" s="167">
        <f t="shared" si="16"/>
        <v>0</v>
      </c>
      <c r="AA4" s="167">
        <f t="shared" si="16"/>
        <v>0</v>
      </c>
    </row>
    <row r="5" spans="1:27" ht="23.25" x14ac:dyDescent="0.35">
      <c r="A5" s="166" t="s">
        <v>182</v>
      </c>
      <c r="B5" s="3"/>
      <c r="C5" s="167">
        <f>+C45+C51+C57</f>
        <v>0</v>
      </c>
      <c r="D5" s="167">
        <f t="shared" ref="D5:AA5" si="17">+D45+D51+D57</f>
        <v>0</v>
      </c>
      <c r="E5" s="167">
        <f t="shared" si="17"/>
        <v>0</v>
      </c>
      <c r="F5" s="167">
        <f t="shared" si="17"/>
        <v>0</v>
      </c>
      <c r="G5" s="167">
        <f t="shared" si="17"/>
        <v>0</v>
      </c>
      <c r="H5" s="167">
        <f t="shared" si="17"/>
        <v>0</v>
      </c>
      <c r="I5" s="167">
        <f t="shared" si="17"/>
        <v>0</v>
      </c>
      <c r="J5" s="167">
        <f t="shared" si="17"/>
        <v>0</v>
      </c>
      <c r="K5" s="167">
        <f t="shared" si="17"/>
        <v>0</v>
      </c>
      <c r="L5" s="167">
        <f t="shared" si="17"/>
        <v>0</v>
      </c>
      <c r="M5" s="167">
        <f t="shared" si="17"/>
        <v>0</v>
      </c>
      <c r="N5" s="167">
        <f t="shared" si="17"/>
        <v>0</v>
      </c>
      <c r="O5" s="167">
        <f t="shared" si="17"/>
        <v>0</v>
      </c>
      <c r="P5" s="167">
        <f t="shared" si="17"/>
        <v>0</v>
      </c>
      <c r="Q5" s="167">
        <f t="shared" si="17"/>
        <v>0</v>
      </c>
      <c r="R5" s="167">
        <f t="shared" si="17"/>
        <v>0</v>
      </c>
      <c r="S5" s="167">
        <f t="shared" si="17"/>
        <v>0</v>
      </c>
      <c r="T5" s="167">
        <f t="shared" si="17"/>
        <v>0</v>
      </c>
      <c r="U5" s="167">
        <f t="shared" si="17"/>
        <v>0</v>
      </c>
      <c r="V5" s="167">
        <f t="shared" si="17"/>
        <v>0</v>
      </c>
      <c r="W5" s="167">
        <f t="shared" si="17"/>
        <v>0</v>
      </c>
      <c r="X5" s="167">
        <f t="shared" si="17"/>
        <v>0</v>
      </c>
      <c r="Y5" s="167">
        <f t="shared" si="17"/>
        <v>0</v>
      </c>
      <c r="Z5" s="167">
        <f t="shared" si="17"/>
        <v>0</v>
      </c>
      <c r="AA5" s="167">
        <f t="shared" si="17"/>
        <v>0</v>
      </c>
    </row>
    <row r="6" spans="1:27" ht="23.25" x14ac:dyDescent="0.35">
      <c r="A6" s="166" t="s">
        <v>180</v>
      </c>
      <c r="B6" s="3"/>
      <c r="C6" s="167">
        <f>+C5</f>
        <v>0</v>
      </c>
      <c r="D6" s="167">
        <f>+C6+D5</f>
        <v>0</v>
      </c>
      <c r="E6" s="167">
        <f t="shared" ref="E6:M6" si="18">+D6+E5</f>
        <v>0</v>
      </c>
      <c r="F6" s="167">
        <f t="shared" si="18"/>
        <v>0</v>
      </c>
      <c r="G6" s="167">
        <f t="shared" si="18"/>
        <v>0</v>
      </c>
      <c r="H6" s="167">
        <f t="shared" si="18"/>
        <v>0</v>
      </c>
      <c r="I6" s="167">
        <f t="shared" si="18"/>
        <v>0</v>
      </c>
      <c r="J6" s="167">
        <f t="shared" si="18"/>
        <v>0</v>
      </c>
      <c r="K6" s="167">
        <f t="shared" si="18"/>
        <v>0</v>
      </c>
      <c r="L6" s="167">
        <f t="shared" si="18"/>
        <v>0</v>
      </c>
      <c r="M6" s="167">
        <f t="shared" si="18"/>
        <v>0</v>
      </c>
      <c r="N6" s="167">
        <f t="shared" ref="N6" si="19">+M6+N5</f>
        <v>0</v>
      </c>
      <c r="O6" s="167">
        <f t="shared" ref="O6" si="20">+N6+O5</f>
        <v>0</v>
      </c>
      <c r="P6" s="167">
        <f t="shared" ref="P6" si="21">+O6+P5</f>
        <v>0</v>
      </c>
      <c r="Q6" s="167">
        <f t="shared" ref="Q6" si="22">+P6+Q5</f>
        <v>0</v>
      </c>
      <c r="R6" s="167">
        <f t="shared" ref="R6" si="23">+Q6+R5</f>
        <v>0</v>
      </c>
      <c r="S6" s="167">
        <f t="shared" ref="S6" si="24">+R6+S5</f>
        <v>0</v>
      </c>
      <c r="T6" s="167">
        <f t="shared" ref="T6" si="25">+S6+T5</f>
        <v>0</v>
      </c>
      <c r="U6" s="167">
        <f t="shared" ref="U6" si="26">+T6+U5</f>
        <v>0</v>
      </c>
      <c r="V6" s="167">
        <f t="shared" ref="V6" si="27">+U6+V5</f>
        <v>0</v>
      </c>
      <c r="W6" s="167">
        <f t="shared" ref="W6" si="28">+V6+W5</f>
        <v>0</v>
      </c>
      <c r="X6" s="167">
        <f t="shared" ref="X6" si="29">+W6+X5</f>
        <v>0</v>
      </c>
      <c r="Y6" s="167">
        <f t="shared" ref="Y6" si="30">+X6+Y5</f>
        <v>0</v>
      </c>
      <c r="Z6" s="167">
        <f t="shared" ref="Z6" si="31">+Y6+Z5</f>
        <v>0</v>
      </c>
      <c r="AA6" s="167">
        <f t="shared" ref="AA6" si="32">+Z6+AA5</f>
        <v>0</v>
      </c>
    </row>
    <row r="7" spans="1:27" ht="23.25" x14ac:dyDescent="0.35">
      <c r="A7" s="166" t="s">
        <v>184</v>
      </c>
      <c r="B7" s="3"/>
      <c r="C7" s="167">
        <f>+C48+C54+C60</f>
        <v>0</v>
      </c>
      <c r="D7" s="167">
        <f t="shared" ref="D7:AA7" si="33">+D48+D54+D60</f>
        <v>0</v>
      </c>
      <c r="E7" s="167">
        <f t="shared" si="33"/>
        <v>0</v>
      </c>
      <c r="F7" s="167">
        <f t="shared" si="33"/>
        <v>0</v>
      </c>
      <c r="G7" s="167">
        <f t="shared" si="33"/>
        <v>0</v>
      </c>
      <c r="H7" s="167">
        <f t="shared" si="33"/>
        <v>0</v>
      </c>
      <c r="I7" s="167">
        <f t="shared" si="33"/>
        <v>0</v>
      </c>
      <c r="J7" s="167">
        <f t="shared" si="33"/>
        <v>0</v>
      </c>
      <c r="K7" s="167">
        <f t="shared" si="33"/>
        <v>0</v>
      </c>
      <c r="L7" s="167">
        <f t="shared" si="33"/>
        <v>0</v>
      </c>
      <c r="M7" s="167">
        <f t="shared" si="33"/>
        <v>0</v>
      </c>
      <c r="N7" s="167">
        <f t="shared" si="33"/>
        <v>0</v>
      </c>
      <c r="O7" s="167">
        <f t="shared" si="33"/>
        <v>0</v>
      </c>
      <c r="P7" s="167">
        <f t="shared" si="33"/>
        <v>0</v>
      </c>
      <c r="Q7" s="167">
        <f t="shared" si="33"/>
        <v>0</v>
      </c>
      <c r="R7" s="167">
        <f t="shared" si="33"/>
        <v>0</v>
      </c>
      <c r="S7" s="167">
        <f t="shared" si="33"/>
        <v>0</v>
      </c>
      <c r="T7" s="167">
        <f t="shared" si="33"/>
        <v>0</v>
      </c>
      <c r="U7" s="167">
        <f t="shared" si="33"/>
        <v>0</v>
      </c>
      <c r="V7" s="167">
        <f t="shared" si="33"/>
        <v>0</v>
      </c>
      <c r="W7" s="167">
        <f t="shared" si="33"/>
        <v>0</v>
      </c>
      <c r="X7" s="167">
        <f t="shared" si="33"/>
        <v>0</v>
      </c>
      <c r="Y7" s="167">
        <f t="shared" si="33"/>
        <v>0</v>
      </c>
      <c r="Z7" s="167">
        <f t="shared" si="33"/>
        <v>0</v>
      </c>
      <c r="AA7" s="167">
        <f t="shared" si="33"/>
        <v>0</v>
      </c>
    </row>
    <row r="8" spans="1:27" ht="19.5" customHeight="1" x14ac:dyDescent="0.4">
      <c r="A8" s="159"/>
      <c r="B8" s="159"/>
    </row>
    <row r="9" spans="1:27" s="378" customFormat="1" ht="33.75" x14ac:dyDescent="0.5">
      <c r="A9" s="463" t="s">
        <v>89</v>
      </c>
      <c r="B9" s="464"/>
      <c r="C9" s="461">
        <v>0</v>
      </c>
      <c r="D9" s="461">
        <v>1</v>
      </c>
      <c r="E9" s="461">
        <v>2</v>
      </c>
      <c r="F9" s="461">
        <v>3</v>
      </c>
      <c r="G9" s="461">
        <v>4</v>
      </c>
      <c r="H9" s="461">
        <v>5</v>
      </c>
      <c r="I9" s="461">
        <v>6</v>
      </c>
      <c r="J9" s="461">
        <v>7</v>
      </c>
      <c r="K9" s="461">
        <v>8</v>
      </c>
      <c r="L9" s="461">
        <v>9</v>
      </c>
      <c r="M9" s="461">
        <v>10</v>
      </c>
      <c r="N9" s="461">
        <v>11</v>
      </c>
      <c r="O9" s="461">
        <v>12</v>
      </c>
      <c r="P9" s="461">
        <v>13</v>
      </c>
      <c r="Q9" s="461">
        <v>14</v>
      </c>
      <c r="R9" s="461">
        <v>15</v>
      </c>
      <c r="S9" s="461">
        <v>16</v>
      </c>
      <c r="T9" s="461">
        <v>17</v>
      </c>
      <c r="U9" s="461">
        <v>18</v>
      </c>
      <c r="V9" s="461">
        <v>19</v>
      </c>
      <c r="W9" s="461">
        <v>20</v>
      </c>
      <c r="X9" s="461">
        <v>21</v>
      </c>
      <c r="Y9" s="461">
        <v>22</v>
      </c>
      <c r="Z9" s="461">
        <v>23</v>
      </c>
      <c r="AA9" s="461">
        <v>24</v>
      </c>
    </row>
    <row r="10" spans="1:27" ht="31.5" x14ac:dyDescent="0.5">
      <c r="A10" s="462" t="s">
        <v>348</v>
      </c>
      <c r="C10" s="8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</row>
    <row r="11" spans="1:27" ht="31.5" x14ac:dyDescent="0.5">
      <c r="A11" s="456" t="s">
        <v>351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</row>
    <row r="12" spans="1:27" ht="31.5" x14ac:dyDescent="0.5">
      <c r="A12" s="146" t="s">
        <v>100</v>
      </c>
      <c r="B12" s="70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</row>
    <row r="13" spans="1:27" x14ac:dyDescent="0.25">
      <c r="A13" s="14" t="str">
        <f>+"Valor Inversión  " &amp;A12</f>
        <v>Valor Inversión  Terrenos</v>
      </c>
      <c r="B13" s="14"/>
      <c r="C13" s="72">
        <f>C12</f>
        <v>0</v>
      </c>
      <c r="D13" s="73">
        <f>C13+D12</f>
        <v>0</v>
      </c>
      <c r="E13" s="73">
        <f t="shared" ref="E13:M13" si="34">D13+E12</f>
        <v>0</v>
      </c>
      <c r="F13" s="73">
        <f>E13+F12</f>
        <v>0</v>
      </c>
      <c r="G13" s="73">
        <f t="shared" si="34"/>
        <v>0</v>
      </c>
      <c r="H13" s="73">
        <f t="shared" si="34"/>
        <v>0</v>
      </c>
      <c r="I13" s="73">
        <f t="shared" si="34"/>
        <v>0</v>
      </c>
      <c r="J13" s="73">
        <f t="shared" si="34"/>
        <v>0</v>
      </c>
      <c r="K13" s="73">
        <f t="shared" si="34"/>
        <v>0</v>
      </c>
      <c r="L13" s="73">
        <f t="shared" si="34"/>
        <v>0</v>
      </c>
      <c r="M13" s="73">
        <f t="shared" si="34"/>
        <v>0</v>
      </c>
      <c r="N13" s="73">
        <f t="shared" ref="N13" si="35">M13+N12</f>
        <v>0</v>
      </c>
      <c r="O13" s="73">
        <f t="shared" ref="O13" si="36">N13+O12</f>
        <v>0</v>
      </c>
      <c r="P13" s="73">
        <f t="shared" ref="P13" si="37">O13+P12</f>
        <v>0</v>
      </c>
      <c r="Q13" s="73">
        <f t="shared" ref="Q13" si="38">P13+Q12</f>
        <v>0</v>
      </c>
      <c r="R13" s="73">
        <f t="shared" ref="R13" si="39">Q13+R12</f>
        <v>0</v>
      </c>
      <c r="S13" s="73">
        <f t="shared" ref="S13" si="40">R13+S12</f>
        <v>0</v>
      </c>
      <c r="T13" s="73">
        <f t="shared" ref="T13" si="41">S13+T12</f>
        <v>0</v>
      </c>
      <c r="U13" s="73">
        <f t="shared" ref="U13" si="42">T13+U12</f>
        <v>0</v>
      </c>
      <c r="V13" s="73">
        <f t="shared" ref="V13" si="43">U13+V12</f>
        <v>0</v>
      </c>
      <c r="W13" s="73">
        <f t="shared" ref="W13" si="44">V13+W12</f>
        <v>0</v>
      </c>
      <c r="X13" s="73">
        <f t="shared" ref="X13" si="45">W13+X12</f>
        <v>0</v>
      </c>
      <c r="Y13" s="73">
        <f t="shared" ref="Y13" si="46">X13+Y12</f>
        <v>0</v>
      </c>
      <c r="Z13" s="73">
        <f t="shared" ref="Z13" si="47">Y13+Z12</f>
        <v>0</v>
      </c>
      <c r="AA13" s="73">
        <f t="shared" ref="AA13" si="48">Z13+AA12</f>
        <v>0</v>
      </c>
    </row>
    <row r="14" spans="1:27" x14ac:dyDescent="0.25">
      <c r="A14" s="84"/>
      <c r="B14" s="18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</row>
    <row r="15" spans="1:27" ht="23.25" x14ac:dyDescent="0.35">
      <c r="A15" s="145" t="s">
        <v>399</v>
      </c>
      <c r="B15" s="70"/>
      <c r="C15" s="115">
        <f>+[1]Materiales!$G$48+'[1]MO. Adec.'!$F$23</f>
        <v>120417721</v>
      </c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</row>
    <row r="16" spans="1:27" x14ac:dyDescent="0.25">
      <c r="C16" s="71"/>
    </row>
    <row r="17" spans="1:27" x14ac:dyDescent="0.25">
      <c r="A17" s="14" t="str">
        <f>+"Valor Inversión  " &amp;A15</f>
        <v>Valor Inversión  Adecuación de Infraestructura</v>
      </c>
      <c r="B17" s="14"/>
      <c r="C17" s="72">
        <f>C15</f>
        <v>120417721</v>
      </c>
      <c r="D17" s="73">
        <f t="shared" ref="D17:K17" si="49">C17+D15</f>
        <v>120417721</v>
      </c>
      <c r="E17" s="73">
        <f t="shared" si="49"/>
        <v>120417721</v>
      </c>
      <c r="F17" s="73">
        <f t="shared" si="49"/>
        <v>120417721</v>
      </c>
      <c r="G17" s="73">
        <f t="shared" si="49"/>
        <v>120417721</v>
      </c>
      <c r="H17" s="73">
        <f t="shared" si="49"/>
        <v>120417721</v>
      </c>
      <c r="I17" s="73">
        <f t="shared" si="49"/>
        <v>120417721</v>
      </c>
      <c r="J17" s="73">
        <f t="shared" si="49"/>
        <v>120417721</v>
      </c>
      <c r="K17" s="73">
        <f t="shared" si="49"/>
        <v>120417721</v>
      </c>
      <c r="L17" s="73">
        <f t="shared" ref="L17:M17" si="50">K17+L15</f>
        <v>120417721</v>
      </c>
      <c r="M17" s="73">
        <f t="shared" si="50"/>
        <v>120417721</v>
      </c>
      <c r="N17" s="73">
        <f t="shared" ref="N17" si="51">M17+N15</f>
        <v>120417721</v>
      </c>
      <c r="O17" s="73">
        <f t="shared" ref="O17" si="52">N17+O15</f>
        <v>120417721</v>
      </c>
      <c r="P17" s="73">
        <f t="shared" ref="P17" si="53">O17+P15</f>
        <v>120417721</v>
      </c>
      <c r="Q17" s="73">
        <f t="shared" ref="Q17" si="54">P17+Q15</f>
        <v>120417721</v>
      </c>
      <c r="R17" s="73">
        <f t="shared" ref="R17" si="55">Q17+R15</f>
        <v>120417721</v>
      </c>
      <c r="S17" s="73">
        <f t="shared" ref="S17" si="56">R17+S15</f>
        <v>120417721</v>
      </c>
      <c r="T17" s="73">
        <f t="shared" ref="T17" si="57">S17+T15</f>
        <v>120417721</v>
      </c>
      <c r="U17" s="73">
        <f t="shared" ref="U17" si="58">T17+U15</f>
        <v>120417721</v>
      </c>
      <c r="V17" s="73">
        <f t="shared" ref="V17" si="59">U17+V15</f>
        <v>120417721</v>
      </c>
      <c r="W17" s="73">
        <f t="shared" ref="W17" si="60">V17+W15</f>
        <v>120417721</v>
      </c>
      <c r="X17" s="73">
        <f t="shared" ref="X17" si="61">W17+X15</f>
        <v>120417721</v>
      </c>
      <c r="Y17" s="73">
        <f t="shared" ref="Y17" si="62">X17+Y15</f>
        <v>120417721</v>
      </c>
      <c r="Z17" s="73">
        <f t="shared" ref="Z17" si="63">Y17+Z15</f>
        <v>120417721</v>
      </c>
      <c r="AA17" s="73">
        <f t="shared" ref="AA17" si="64">Z17+AA15</f>
        <v>120417721</v>
      </c>
    </row>
    <row r="18" spans="1:27" x14ac:dyDescent="0.25">
      <c r="A18" s="18"/>
      <c r="B18" s="18"/>
      <c r="C18" s="74"/>
      <c r="D18" s="75"/>
      <c r="E18" s="75"/>
      <c r="F18" s="75"/>
      <c r="G18" s="75"/>
      <c r="H18" s="75"/>
      <c r="I18" s="75"/>
      <c r="J18" s="75"/>
      <c r="K18" s="75"/>
    </row>
    <row r="19" spans="1:27" x14ac:dyDescent="0.25">
      <c r="A19" s="25" t="s">
        <v>90</v>
      </c>
      <c r="B19" s="25"/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v>0</v>
      </c>
      <c r="W19" s="87">
        <v>0</v>
      </c>
      <c r="X19" s="87">
        <v>0</v>
      </c>
      <c r="Y19" s="87">
        <v>0</v>
      </c>
      <c r="Z19" s="87">
        <v>0</v>
      </c>
      <c r="AA19" s="87">
        <v>0</v>
      </c>
    </row>
    <row r="20" spans="1:27" x14ac:dyDescent="0.25">
      <c r="A20" s="59" t="s">
        <v>99</v>
      </c>
      <c r="B20" s="59"/>
      <c r="C20" s="76">
        <f>C19</f>
        <v>0</v>
      </c>
      <c r="D20" s="76">
        <f>C20+D19</f>
        <v>0</v>
      </c>
      <c r="E20" s="76">
        <f t="shared" ref="E20:K20" si="65">D20+E19</f>
        <v>0</v>
      </c>
      <c r="F20" s="76">
        <f t="shared" si="65"/>
        <v>0</v>
      </c>
      <c r="G20" s="76">
        <f t="shared" si="65"/>
        <v>0</v>
      </c>
      <c r="H20" s="76">
        <f t="shared" si="65"/>
        <v>0</v>
      </c>
      <c r="I20" s="76">
        <f t="shared" si="65"/>
        <v>0</v>
      </c>
      <c r="J20" s="76">
        <f t="shared" si="65"/>
        <v>0</v>
      </c>
      <c r="K20" s="76">
        <f t="shared" si="65"/>
        <v>0</v>
      </c>
      <c r="L20" s="76">
        <f t="shared" ref="L20" si="66">K20+L19</f>
        <v>0</v>
      </c>
      <c r="M20" s="76">
        <f t="shared" ref="M20" si="67">L20+M19</f>
        <v>0</v>
      </c>
      <c r="N20" s="76">
        <f t="shared" ref="N20" si="68">M20+N19</f>
        <v>0</v>
      </c>
      <c r="O20" s="76">
        <f t="shared" ref="O20" si="69">N20+O19</f>
        <v>0</v>
      </c>
      <c r="P20" s="76">
        <f t="shared" ref="P20" si="70">O20+P19</f>
        <v>0</v>
      </c>
      <c r="Q20" s="76">
        <f t="shared" ref="Q20" si="71">P20+Q19</f>
        <v>0</v>
      </c>
      <c r="R20" s="76">
        <f t="shared" ref="R20" si="72">Q20+R19</f>
        <v>0</v>
      </c>
      <c r="S20" s="76">
        <f t="shared" ref="S20" si="73">R20+S19</f>
        <v>0</v>
      </c>
      <c r="T20" s="76">
        <f t="shared" ref="T20" si="74">S20+T19</f>
        <v>0</v>
      </c>
      <c r="U20" s="76">
        <f t="shared" ref="U20" si="75">T20+U19</f>
        <v>0</v>
      </c>
      <c r="V20" s="76">
        <f t="shared" ref="V20" si="76">U20+V19</f>
        <v>0</v>
      </c>
      <c r="W20" s="76">
        <f t="shared" ref="W20" si="77">V20+W19</f>
        <v>0</v>
      </c>
      <c r="X20" s="76">
        <f t="shared" ref="X20" si="78">W20+X19</f>
        <v>0</v>
      </c>
      <c r="Y20" s="76">
        <f t="shared" ref="Y20" si="79">X20+Y19</f>
        <v>0</v>
      </c>
      <c r="Z20" s="76">
        <f t="shared" ref="Z20" si="80">Y20+Z19</f>
        <v>0</v>
      </c>
      <c r="AA20" s="76">
        <f t="shared" ref="AA20" si="81">Z20+AA19</f>
        <v>0</v>
      </c>
    </row>
    <row r="21" spans="1:27" x14ac:dyDescent="0.25">
      <c r="A21" s="84"/>
      <c r="B21" s="84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  <c r="V21" s="455"/>
      <c r="W21" s="455"/>
      <c r="X21" s="455"/>
      <c r="Y21" s="455"/>
      <c r="Z21" s="455"/>
      <c r="AA21" s="455"/>
    </row>
    <row r="22" spans="1:27" ht="39.75" customHeight="1" x14ac:dyDescent="0.35">
      <c r="A22" s="537" t="s">
        <v>400</v>
      </c>
      <c r="B22" s="538"/>
      <c r="C22" s="115">
        <f>+'[1]Muebles y enseres'!$D$9+'[1]Muebles y enseres'!$D$16+'[1]Articulos de cocina'!$D$21+'[1]Tera Recreativos y deportivos '!$D$38+'[1]artísticas y culturales '!$D$26</f>
        <v>53179715</v>
      </c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</row>
    <row r="23" spans="1:27" x14ac:dyDescent="0.25">
      <c r="C23" s="71"/>
    </row>
    <row r="24" spans="1:27" x14ac:dyDescent="0.25">
      <c r="A24" s="14" t="str">
        <f>+"Valor Inversión  " &amp;A22</f>
        <v>Valor Inversión   Equipos, Muebles y Enseres</v>
      </c>
      <c r="B24" s="14"/>
      <c r="C24" s="72">
        <f>C22</f>
        <v>53179715</v>
      </c>
      <c r="D24" s="73">
        <f t="shared" ref="D24:N24" si="82">C24+D22</f>
        <v>53179715</v>
      </c>
      <c r="E24" s="73">
        <f t="shared" si="82"/>
        <v>53179715</v>
      </c>
      <c r="F24" s="73">
        <f t="shared" si="82"/>
        <v>53179715</v>
      </c>
      <c r="G24" s="73">
        <f t="shared" si="82"/>
        <v>53179715</v>
      </c>
      <c r="H24" s="73">
        <f t="shared" si="82"/>
        <v>53179715</v>
      </c>
      <c r="I24" s="73">
        <f t="shared" si="82"/>
        <v>53179715</v>
      </c>
      <c r="J24" s="73">
        <f t="shared" si="82"/>
        <v>53179715</v>
      </c>
      <c r="K24" s="73">
        <f t="shared" si="82"/>
        <v>53179715</v>
      </c>
      <c r="L24" s="73">
        <f t="shared" si="82"/>
        <v>53179715</v>
      </c>
      <c r="M24" s="73">
        <f t="shared" si="82"/>
        <v>53179715</v>
      </c>
      <c r="N24" s="73">
        <f t="shared" si="82"/>
        <v>53179715</v>
      </c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</row>
    <row r="25" spans="1:27" x14ac:dyDescent="0.25">
      <c r="A25" s="14"/>
      <c r="B25" s="18"/>
      <c r="C25" s="74"/>
      <c r="D25" s="75"/>
      <c r="E25" s="75"/>
      <c r="F25" s="75"/>
      <c r="G25" s="75"/>
      <c r="H25" s="75"/>
      <c r="I25" s="75"/>
      <c r="J25" s="75"/>
      <c r="K25" s="75"/>
    </row>
    <row r="26" spans="1:27" x14ac:dyDescent="0.25">
      <c r="A26" s="25" t="s">
        <v>90</v>
      </c>
      <c r="B26" s="25"/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</row>
    <row r="27" spans="1:27" x14ac:dyDescent="0.25">
      <c r="A27" s="59" t="s">
        <v>99</v>
      </c>
      <c r="B27" s="59"/>
      <c r="C27" s="76">
        <f>C26</f>
        <v>0</v>
      </c>
      <c r="D27" s="76">
        <f>C27+D26</f>
        <v>0</v>
      </c>
      <c r="E27" s="76">
        <f t="shared" ref="E27" si="83">D27+E26</f>
        <v>0</v>
      </c>
      <c r="F27" s="76">
        <f t="shared" ref="F27" si="84">E27+F26</f>
        <v>0</v>
      </c>
      <c r="G27" s="76">
        <f t="shared" ref="G27" si="85">F27+G26</f>
        <v>0</v>
      </c>
      <c r="H27" s="76">
        <f t="shared" ref="H27" si="86">G27+H26</f>
        <v>0</v>
      </c>
      <c r="I27" s="76">
        <f t="shared" ref="I27" si="87">H27+I26</f>
        <v>0</v>
      </c>
      <c r="J27" s="76">
        <f t="shared" ref="J27" si="88">I27+J26</f>
        <v>0</v>
      </c>
      <c r="K27" s="76">
        <f t="shared" ref="K27" si="89">J27+K26</f>
        <v>0</v>
      </c>
      <c r="L27" s="76">
        <f t="shared" ref="L27:N27" si="90">K27+L26</f>
        <v>0</v>
      </c>
      <c r="M27" s="76">
        <f t="shared" ref="M27" si="91">L27+M26</f>
        <v>0</v>
      </c>
      <c r="N27" s="76">
        <f t="shared" si="90"/>
        <v>0</v>
      </c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</row>
    <row r="28" spans="1:27" hidden="1" x14ac:dyDescent="0.25">
      <c r="C28" s="71"/>
      <c r="D28" s="71"/>
      <c r="E28" s="71"/>
      <c r="F28" s="71"/>
      <c r="G28" s="71"/>
      <c r="H28" s="71"/>
      <c r="I28" s="71"/>
      <c r="J28" s="71"/>
      <c r="K28" s="71"/>
    </row>
    <row r="29" spans="1:27" ht="21" hidden="1" x14ac:dyDescent="0.35">
      <c r="A29" s="537" t="s">
        <v>349</v>
      </c>
      <c r="B29" s="538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</row>
    <row r="30" spans="1:27" hidden="1" x14ac:dyDescent="0.25">
      <c r="C30" s="71"/>
    </row>
    <row r="31" spans="1:27" hidden="1" x14ac:dyDescent="0.25">
      <c r="A31" s="14" t="str">
        <f>+"Valor Inversión  " &amp;A29</f>
        <v>Valor Inversión  Empaques y Herramientas</v>
      </c>
      <c r="B31" s="14"/>
      <c r="C31" s="72">
        <f>C29</f>
        <v>0</v>
      </c>
      <c r="D31" s="73">
        <f t="shared" ref="D31:N31" si="92">C31+D29</f>
        <v>0</v>
      </c>
      <c r="E31" s="73">
        <f t="shared" si="92"/>
        <v>0</v>
      </c>
      <c r="F31" s="73">
        <f t="shared" si="92"/>
        <v>0</v>
      </c>
      <c r="G31" s="73">
        <f t="shared" si="92"/>
        <v>0</v>
      </c>
      <c r="H31" s="73">
        <f t="shared" si="92"/>
        <v>0</v>
      </c>
      <c r="I31" s="73">
        <f t="shared" si="92"/>
        <v>0</v>
      </c>
      <c r="J31" s="73">
        <f t="shared" si="92"/>
        <v>0</v>
      </c>
      <c r="K31" s="73">
        <f t="shared" si="92"/>
        <v>0</v>
      </c>
      <c r="L31" s="73">
        <f t="shared" si="92"/>
        <v>0</v>
      </c>
      <c r="M31" s="73">
        <f t="shared" si="92"/>
        <v>0</v>
      </c>
      <c r="N31" s="73">
        <f t="shared" si="92"/>
        <v>0</v>
      </c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</row>
    <row r="32" spans="1:27" hidden="1" x14ac:dyDescent="0.25">
      <c r="A32" s="14"/>
      <c r="B32" s="18"/>
      <c r="C32" s="74"/>
      <c r="D32" s="75"/>
      <c r="E32" s="75"/>
      <c r="F32" s="75"/>
      <c r="G32" s="75"/>
      <c r="H32" s="75"/>
      <c r="I32" s="75"/>
      <c r="J32" s="75"/>
      <c r="K32" s="75"/>
    </row>
    <row r="33" spans="1:27" hidden="1" x14ac:dyDescent="0.25">
      <c r="A33" s="25" t="s">
        <v>90</v>
      </c>
      <c r="B33" s="25"/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  <c r="I33" s="87">
        <v>0</v>
      </c>
      <c r="J33" s="87">
        <v>0</v>
      </c>
      <c r="K33" s="87">
        <v>0</v>
      </c>
      <c r="L33" s="87">
        <v>0</v>
      </c>
      <c r="M33" s="87">
        <v>0</v>
      </c>
      <c r="N33" s="87">
        <v>0</v>
      </c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</row>
    <row r="34" spans="1:27" hidden="1" x14ac:dyDescent="0.25">
      <c r="A34" s="59" t="s">
        <v>99</v>
      </c>
      <c r="B34" s="59"/>
      <c r="C34" s="76">
        <f>C33</f>
        <v>0</v>
      </c>
      <c r="D34" s="76">
        <f>C34+D33</f>
        <v>0</v>
      </c>
      <c r="E34" s="76">
        <f t="shared" ref="E34" si="93">D34+E33</f>
        <v>0</v>
      </c>
      <c r="F34" s="76">
        <f t="shared" ref="F34" si="94">E34+F33</f>
        <v>0</v>
      </c>
      <c r="G34" s="76">
        <f t="shared" ref="G34" si="95">F34+G33</f>
        <v>0</v>
      </c>
      <c r="H34" s="76">
        <f t="shared" ref="H34" si="96">G34+H33</f>
        <v>0</v>
      </c>
      <c r="I34" s="76">
        <f t="shared" ref="I34" si="97">H34+I33</f>
        <v>0</v>
      </c>
      <c r="J34" s="76">
        <f t="shared" ref="J34" si="98">I34+J33</f>
        <v>0</v>
      </c>
      <c r="K34" s="76">
        <f t="shared" ref="K34" si="99">J34+K33</f>
        <v>0</v>
      </c>
      <c r="L34" s="76">
        <f t="shared" ref="L34" si="100">K34+L33</f>
        <v>0</v>
      </c>
      <c r="M34" s="76">
        <f t="shared" ref="M34" si="101">L34+M33</f>
        <v>0</v>
      </c>
      <c r="N34" s="76">
        <f t="shared" ref="N34" si="102">M34+N33</f>
        <v>0</v>
      </c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</row>
    <row r="35" spans="1:27" x14ac:dyDescent="0.25">
      <c r="C35" s="71"/>
      <c r="D35" s="71"/>
      <c r="E35" s="71"/>
      <c r="F35" s="71"/>
      <c r="G35" s="71"/>
      <c r="H35" s="71"/>
      <c r="I35" s="71"/>
      <c r="J35" s="71"/>
      <c r="K35" s="71"/>
    </row>
    <row r="36" spans="1:27" ht="21" x14ac:dyDescent="0.35">
      <c r="A36" s="537" t="s">
        <v>350</v>
      </c>
      <c r="B36" s="538"/>
      <c r="C36" s="115">
        <f>+'[1]Equipos informáticos'!$D$10</f>
        <v>14610050</v>
      </c>
      <c r="D36" s="115"/>
      <c r="E36" s="115"/>
      <c r="F36" s="115"/>
      <c r="G36" s="115">
        <v>0</v>
      </c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</row>
    <row r="37" spans="1:27" x14ac:dyDescent="0.25">
      <c r="C37" s="71"/>
    </row>
    <row r="38" spans="1:27" x14ac:dyDescent="0.25">
      <c r="A38" s="14" t="str">
        <f>+"Valor Inversión  " &amp;A36</f>
        <v>Valor Inversión  Equipos de Computo, Comunicaciones, Redes de Datos</v>
      </c>
      <c r="B38" s="14"/>
      <c r="C38" s="72">
        <f>C36</f>
        <v>14610050</v>
      </c>
      <c r="D38" s="73">
        <f t="shared" ref="D38:N38" si="103">C38+D36</f>
        <v>14610050</v>
      </c>
      <c r="E38" s="73">
        <f t="shared" si="103"/>
        <v>14610050</v>
      </c>
      <c r="F38" s="73">
        <f t="shared" si="103"/>
        <v>14610050</v>
      </c>
      <c r="G38" s="73">
        <f t="shared" si="103"/>
        <v>14610050</v>
      </c>
      <c r="H38" s="73">
        <f t="shared" si="103"/>
        <v>14610050</v>
      </c>
      <c r="I38" s="73">
        <f t="shared" si="103"/>
        <v>14610050</v>
      </c>
      <c r="J38" s="73">
        <f t="shared" si="103"/>
        <v>14610050</v>
      </c>
      <c r="K38" s="73">
        <f t="shared" si="103"/>
        <v>14610050</v>
      </c>
      <c r="L38" s="73">
        <f t="shared" si="103"/>
        <v>14610050</v>
      </c>
      <c r="M38" s="73">
        <f t="shared" si="103"/>
        <v>14610050</v>
      </c>
      <c r="N38" s="73">
        <f t="shared" si="103"/>
        <v>14610050</v>
      </c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</row>
    <row r="39" spans="1:27" x14ac:dyDescent="0.25">
      <c r="A39" s="14"/>
      <c r="B39" s="18"/>
      <c r="C39" s="74"/>
      <c r="D39" s="75"/>
      <c r="E39" s="75"/>
      <c r="F39" s="75"/>
      <c r="G39" s="75"/>
      <c r="H39" s="75"/>
      <c r="I39" s="75"/>
      <c r="J39" s="75"/>
      <c r="K39" s="75"/>
    </row>
    <row r="40" spans="1:27" x14ac:dyDescent="0.25">
      <c r="A40" s="25" t="s">
        <v>90</v>
      </c>
      <c r="B40" s="25"/>
      <c r="C40" s="87">
        <v>0</v>
      </c>
      <c r="D40" s="87">
        <v>0</v>
      </c>
      <c r="E40" s="87">
        <v>0</v>
      </c>
      <c r="F40" s="87">
        <v>0</v>
      </c>
      <c r="G40" s="87">
        <v>0</v>
      </c>
      <c r="H40" s="87">
        <v>0</v>
      </c>
      <c r="I40" s="87">
        <v>0</v>
      </c>
      <c r="J40" s="87">
        <v>0</v>
      </c>
      <c r="K40" s="87">
        <v>0</v>
      </c>
      <c r="L40" s="87">
        <v>0</v>
      </c>
      <c r="M40" s="87">
        <v>0</v>
      </c>
      <c r="N40" s="87">
        <v>0</v>
      </c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</row>
    <row r="41" spans="1:27" x14ac:dyDescent="0.25">
      <c r="A41" s="59" t="s">
        <v>99</v>
      </c>
      <c r="B41" s="59"/>
      <c r="C41" s="76">
        <f>C40</f>
        <v>0</v>
      </c>
      <c r="D41" s="76">
        <f>C41+D40</f>
        <v>0</v>
      </c>
      <c r="E41" s="76">
        <f t="shared" ref="E41" si="104">D41+E40</f>
        <v>0</v>
      </c>
      <c r="F41" s="76">
        <f t="shared" ref="F41" si="105">E41+F40</f>
        <v>0</v>
      </c>
      <c r="G41" s="76">
        <f t="shared" ref="G41" si="106">F41+G40</f>
        <v>0</v>
      </c>
      <c r="H41" s="76">
        <f t="shared" ref="H41" si="107">G41+H40</f>
        <v>0</v>
      </c>
      <c r="I41" s="76">
        <f t="shared" ref="I41" si="108">H41+I40</f>
        <v>0</v>
      </c>
      <c r="J41" s="76">
        <f t="shared" ref="J41" si="109">I41+J40</f>
        <v>0</v>
      </c>
      <c r="K41" s="76">
        <f t="shared" ref="K41" si="110">J41+K40</f>
        <v>0</v>
      </c>
      <c r="L41" s="76">
        <f t="shared" ref="L41" si="111">K41+L40</f>
        <v>0</v>
      </c>
      <c r="M41" s="76">
        <f t="shared" ref="M41" si="112">L41+M40</f>
        <v>0</v>
      </c>
      <c r="N41" s="76">
        <f t="shared" ref="N41" si="113">M41+N40</f>
        <v>0</v>
      </c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</row>
    <row r="42" spans="1:27" x14ac:dyDescent="0.25">
      <c r="C42" s="71"/>
      <c r="D42" s="71"/>
      <c r="E42" s="71"/>
      <c r="F42" s="71"/>
      <c r="G42" s="71"/>
      <c r="H42" s="71"/>
      <c r="I42" s="71"/>
      <c r="J42" s="71"/>
      <c r="K42" s="71"/>
    </row>
    <row r="43" spans="1:27" ht="31.5" hidden="1" x14ac:dyDescent="0.5">
      <c r="A43" s="456" t="s">
        <v>352</v>
      </c>
      <c r="C43" s="71"/>
      <c r="D43" s="71"/>
      <c r="E43" s="71"/>
      <c r="F43" s="71"/>
      <c r="G43" s="71"/>
      <c r="H43" s="71"/>
      <c r="I43" s="71"/>
      <c r="J43" s="71"/>
      <c r="K43" s="71"/>
    </row>
    <row r="44" spans="1:27" hidden="1" x14ac:dyDescent="0.25">
      <c r="C44" s="71"/>
      <c r="D44" s="71"/>
      <c r="E44" s="71"/>
      <c r="F44" s="71"/>
      <c r="G44" s="71"/>
      <c r="H44" s="71"/>
      <c r="I44" s="71"/>
      <c r="J44" s="71"/>
      <c r="K44" s="71"/>
    </row>
    <row r="45" spans="1:27" ht="21" hidden="1" x14ac:dyDescent="0.35">
      <c r="A45" s="537" t="s">
        <v>146</v>
      </c>
      <c r="B45" s="538"/>
      <c r="C45" s="115"/>
      <c r="D45" s="115">
        <v>0</v>
      </c>
      <c r="E45" s="115"/>
      <c r="F45" s="115"/>
      <c r="G45" s="115"/>
      <c r="H45" s="115"/>
      <c r="I45" s="115"/>
      <c r="J45" s="115"/>
      <c r="K45" s="115"/>
      <c r="L45" s="115"/>
      <c r="M45" s="115">
        <v>0</v>
      </c>
      <c r="N45" s="115">
        <v>0</v>
      </c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</row>
    <row r="46" spans="1:27" hidden="1" x14ac:dyDescent="0.25">
      <c r="A46" s="14" t="str">
        <f>+"Valor Inversión  " &amp;A45</f>
        <v>Valor Inversión  Licencias</v>
      </c>
      <c r="B46" s="14"/>
      <c r="C46" s="72">
        <f>C45</f>
        <v>0</v>
      </c>
      <c r="D46" s="73">
        <f t="shared" ref="D46:AA46" si="114">C46+D45</f>
        <v>0</v>
      </c>
      <c r="E46" s="73">
        <f t="shared" si="114"/>
        <v>0</v>
      </c>
      <c r="F46" s="73">
        <f t="shared" si="114"/>
        <v>0</v>
      </c>
      <c r="G46" s="73">
        <f t="shared" si="114"/>
        <v>0</v>
      </c>
      <c r="H46" s="73">
        <f t="shared" si="114"/>
        <v>0</v>
      </c>
      <c r="I46" s="73">
        <f t="shared" si="114"/>
        <v>0</v>
      </c>
      <c r="J46" s="73">
        <f t="shared" si="114"/>
        <v>0</v>
      </c>
      <c r="K46" s="73">
        <f t="shared" si="114"/>
        <v>0</v>
      </c>
      <c r="L46" s="73">
        <f t="shared" si="114"/>
        <v>0</v>
      </c>
      <c r="M46" s="73">
        <f t="shared" si="114"/>
        <v>0</v>
      </c>
      <c r="N46" s="73">
        <f t="shared" si="114"/>
        <v>0</v>
      </c>
      <c r="O46" s="73">
        <f t="shared" si="114"/>
        <v>0</v>
      </c>
      <c r="P46" s="73">
        <f t="shared" si="114"/>
        <v>0</v>
      </c>
      <c r="Q46" s="73">
        <f t="shared" si="114"/>
        <v>0</v>
      </c>
      <c r="R46" s="73">
        <f t="shared" si="114"/>
        <v>0</v>
      </c>
      <c r="S46" s="73">
        <f t="shared" si="114"/>
        <v>0</v>
      </c>
      <c r="T46" s="73">
        <f t="shared" si="114"/>
        <v>0</v>
      </c>
      <c r="U46" s="73">
        <f t="shared" si="114"/>
        <v>0</v>
      </c>
      <c r="V46" s="73">
        <f t="shared" si="114"/>
        <v>0</v>
      </c>
      <c r="W46" s="73">
        <f t="shared" si="114"/>
        <v>0</v>
      </c>
      <c r="X46" s="73">
        <f t="shared" si="114"/>
        <v>0</v>
      </c>
      <c r="Y46" s="73">
        <f t="shared" si="114"/>
        <v>0</v>
      </c>
      <c r="Z46" s="73">
        <f t="shared" si="114"/>
        <v>0</v>
      </c>
      <c r="AA46" s="73">
        <f t="shared" si="114"/>
        <v>0</v>
      </c>
    </row>
    <row r="47" spans="1:27" hidden="1" x14ac:dyDescent="0.25">
      <c r="B47" s="18"/>
      <c r="C47" s="74"/>
      <c r="D47" s="75"/>
      <c r="E47" s="75"/>
      <c r="F47" s="75"/>
      <c r="G47" s="75"/>
      <c r="H47" s="75"/>
      <c r="I47" s="75"/>
      <c r="J47" s="75"/>
      <c r="K47" s="75"/>
    </row>
    <row r="48" spans="1:27" hidden="1" x14ac:dyDescent="0.25">
      <c r="A48" s="25" t="s">
        <v>90</v>
      </c>
      <c r="B48" s="25"/>
      <c r="C48" s="87">
        <v>0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  <c r="K48" s="87">
        <v>0</v>
      </c>
      <c r="L48" s="87">
        <v>0</v>
      </c>
      <c r="M48" s="87">
        <v>0</v>
      </c>
      <c r="N48" s="87">
        <v>0</v>
      </c>
      <c r="O48" s="87">
        <v>0</v>
      </c>
      <c r="P48" s="87">
        <v>0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v>0</v>
      </c>
      <c r="W48" s="87">
        <v>0</v>
      </c>
      <c r="X48" s="87">
        <v>0</v>
      </c>
      <c r="Y48" s="87">
        <v>0</v>
      </c>
      <c r="Z48" s="87">
        <v>0</v>
      </c>
      <c r="AA48" s="87">
        <v>0</v>
      </c>
    </row>
    <row r="49" spans="1:27" hidden="1" x14ac:dyDescent="0.25">
      <c r="A49" s="59" t="s">
        <v>99</v>
      </c>
      <c r="B49" s="59"/>
      <c r="C49" s="76">
        <f>C48</f>
        <v>0</v>
      </c>
      <c r="D49" s="76">
        <f>C49+D48</f>
        <v>0</v>
      </c>
      <c r="E49" s="76">
        <f t="shared" ref="E49" si="115">D49+E48</f>
        <v>0</v>
      </c>
      <c r="F49" s="76">
        <f t="shared" ref="F49" si="116">E49+F48</f>
        <v>0</v>
      </c>
      <c r="G49" s="76">
        <f t="shared" ref="G49" si="117">F49+G48</f>
        <v>0</v>
      </c>
      <c r="H49" s="76">
        <f t="shared" ref="H49" si="118">G49+H48</f>
        <v>0</v>
      </c>
      <c r="I49" s="76">
        <f t="shared" ref="I49" si="119">H49+I48</f>
        <v>0</v>
      </c>
      <c r="J49" s="76">
        <f t="shared" ref="J49" si="120">I49+J48</f>
        <v>0</v>
      </c>
      <c r="K49" s="76">
        <f t="shared" ref="K49" si="121">J49+K48</f>
        <v>0</v>
      </c>
      <c r="L49" s="76">
        <f t="shared" ref="L49" si="122">K49+L48</f>
        <v>0</v>
      </c>
      <c r="M49" s="76">
        <f t="shared" ref="M49" si="123">L49+M48</f>
        <v>0</v>
      </c>
      <c r="N49" s="76">
        <f t="shared" ref="N49" si="124">M49+N48</f>
        <v>0</v>
      </c>
      <c r="O49" s="76">
        <f t="shared" ref="O49" si="125">N49+O48</f>
        <v>0</v>
      </c>
      <c r="P49" s="76">
        <f t="shared" ref="P49" si="126">O49+P48</f>
        <v>0</v>
      </c>
      <c r="Q49" s="76">
        <f t="shared" ref="Q49" si="127">P49+Q48</f>
        <v>0</v>
      </c>
      <c r="R49" s="76">
        <f t="shared" ref="R49" si="128">Q49+R48</f>
        <v>0</v>
      </c>
      <c r="S49" s="76">
        <f t="shared" ref="S49" si="129">R49+S48</f>
        <v>0</v>
      </c>
      <c r="T49" s="76">
        <f t="shared" ref="T49" si="130">S49+T48</f>
        <v>0</v>
      </c>
      <c r="U49" s="76">
        <f t="shared" ref="U49" si="131">T49+U48</f>
        <v>0</v>
      </c>
      <c r="V49" s="76">
        <f t="shared" ref="V49" si="132">U49+V48</f>
        <v>0</v>
      </c>
      <c r="W49" s="76">
        <f t="shared" ref="W49" si="133">V49+W48</f>
        <v>0</v>
      </c>
      <c r="X49" s="76">
        <f t="shared" ref="X49" si="134">W49+X48</f>
        <v>0</v>
      </c>
      <c r="Y49" s="76">
        <f t="shared" ref="Y49" si="135">X49+Y48</f>
        <v>0</v>
      </c>
      <c r="Z49" s="76">
        <f t="shared" ref="Z49" si="136">Y49+Z48</f>
        <v>0</v>
      </c>
      <c r="AA49" s="76">
        <f t="shared" ref="AA49" si="137">Z49+AA48</f>
        <v>0</v>
      </c>
    </row>
    <row r="50" spans="1:27" hidden="1" x14ac:dyDescent="0.25">
      <c r="C50" s="71"/>
      <c r="D50" s="71"/>
      <c r="E50" s="71"/>
      <c r="F50" s="71"/>
      <c r="G50" s="71"/>
      <c r="H50" s="71"/>
      <c r="I50" s="71"/>
      <c r="J50" s="71"/>
      <c r="K50" s="71"/>
    </row>
    <row r="51" spans="1:27" ht="21" hidden="1" x14ac:dyDescent="0.35">
      <c r="A51" s="537" t="s">
        <v>239</v>
      </c>
      <c r="B51" s="538"/>
      <c r="C51" s="115">
        <v>0</v>
      </c>
      <c r="D51" s="115">
        <v>0</v>
      </c>
      <c r="E51" s="115"/>
      <c r="F51" s="115"/>
      <c r="G51" s="115"/>
      <c r="H51" s="115"/>
      <c r="I51" s="115"/>
      <c r="J51" s="115"/>
      <c r="K51" s="115"/>
      <c r="L51" s="115"/>
      <c r="M51" s="115">
        <v>0</v>
      </c>
      <c r="N51" s="115">
        <v>0</v>
      </c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</row>
    <row r="52" spans="1:27" hidden="1" x14ac:dyDescent="0.25">
      <c r="A52" s="14" t="str">
        <f>+"Valor Inversión  " &amp;A51</f>
        <v>Valor Inversión  Estudios</v>
      </c>
      <c r="B52" s="14"/>
      <c r="C52" s="72">
        <f>C51</f>
        <v>0</v>
      </c>
      <c r="D52" s="73">
        <f t="shared" ref="D52:AA52" si="138">C52+D51</f>
        <v>0</v>
      </c>
      <c r="E52" s="73">
        <f t="shared" si="138"/>
        <v>0</v>
      </c>
      <c r="F52" s="73">
        <f t="shared" si="138"/>
        <v>0</v>
      </c>
      <c r="G52" s="73">
        <f t="shared" si="138"/>
        <v>0</v>
      </c>
      <c r="H52" s="73">
        <f t="shared" si="138"/>
        <v>0</v>
      </c>
      <c r="I52" s="73">
        <f t="shared" si="138"/>
        <v>0</v>
      </c>
      <c r="J52" s="73">
        <f t="shared" si="138"/>
        <v>0</v>
      </c>
      <c r="K52" s="73">
        <f t="shared" si="138"/>
        <v>0</v>
      </c>
      <c r="L52" s="73">
        <f t="shared" si="138"/>
        <v>0</v>
      </c>
      <c r="M52" s="73">
        <f t="shared" si="138"/>
        <v>0</v>
      </c>
      <c r="N52" s="73">
        <f t="shared" si="138"/>
        <v>0</v>
      </c>
      <c r="O52" s="73">
        <f t="shared" si="138"/>
        <v>0</v>
      </c>
      <c r="P52" s="73">
        <f t="shared" si="138"/>
        <v>0</v>
      </c>
      <c r="Q52" s="73">
        <f t="shared" si="138"/>
        <v>0</v>
      </c>
      <c r="R52" s="73">
        <f t="shared" si="138"/>
        <v>0</v>
      </c>
      <c r="S52" s="73">
        <f t="shared" si="138"/>
        <v>0</v>
      </c>
      <c r="T52" s="73">
        <f t="shared" si="138"/>
        <v>0</v>
      </c>
      <c r="U52" s="73">
        <f t="shared" si="138"/>
        <v>0</v>
      </c>
      <c r="V52" s="73">
        <f t="shared" si="138"/>
        <v>0</v>
      </c>
      <c r="W52" s="73">
        <f t="shared" si="138"/>
        <v>0</v>
      </c>
      <c r="X52" s="73">
        <f t="shared" si="138"/>
        <v>0</v>
      </c>
      <c r="Y52" s="73">
        <f t="shared" si="138"/>
        <v>0</v>
      </c>
      <c r="Z52" s="73">
        <f t="shared" si="138"/>
        <v>0</v>
      </c>
      <c r="AA52" s="73">
        <f t="shared" si="138"/>
        <v>0</v>
      </c>
    </row>
    <row r="53" spans="1:27" hidden="1" x14ac:dyDescent="0.25">
      <c r="B53" s="18"/>
      <c r="C53" s="74"/>
      <c r="D53" s="75"/>
      <c r="E53" s="75"/>
      <c r="F53" s="75"/>
      <c r="G53" s="75"/>
      <c r="H53" s="75"/>
      <c r="I53" s="75"/>
      <c r="J53" s="75"/>
      <c r="K53" s="75"/>
    </row>
    <row r="54" spans="1:27" hidden="1" x14ac:dyDescent="0.25">
      <c r="A54" s="25" t="s">
        <v>90</v>
      </c>
      <c r="B54" s="25"/>
      <c r="C54" s="87">
        <v>0</v>
      </c>
      <c r="D54" s="87">
        <v>0</v>
      </c>
      <c r="E54" s="87">
        <v>0</v>
      </c>
      <c r="F54" s="87">
        <v>0</v>
      </c>
      <c r="G54" s="87">
        <v>0</v>
      </c>
      <c r="H54" s="87">
        <v>0</v>
      </c>
      <c r="I54" s="87">
        <v>0</v>
      </c>
      <c r="J54" s="87">
        <v>0</v>
      </c>
      <c r="K54" s="87">
        <v>0</v>
      </c>
      <c r="L54" s="87">
        <v>0</v>
      </c>
      <c r="M54" s="87">
        <v>0</v>
      </c>
      <c r="N54" s="87">
        <v>0</v>
      </c>
      <c r="O54" s="87">
        <v>0</v>
      </c>
      <c r="P54" s="87">
        <v>0</v>
      </c>
      <c r="Q54" s="87">
        <v>0</v>
      </c>
      <c r="R54" s="87">
        <v>0</v>
      </c>
      <c r="S54" s="87">
        <v>0</v>
      </c>
      <c r="T54" s="87">
        <v>0</v>
      </c>
      <c r="U54" s="87">
        <v>0</v>
      </c>
      <c r="V54" s="87">
        <v>0</v>
      </c>
      <c r="W54" s="87">
        <v>0</v>
      </c>
      <c r="X54" s="87">
        <v>0</v>
      </c>
      <c r="Y54" s="87">
        <v>0</v>
      </c>
      <c r="Z54" s="87">
        <v>0</v>
      </c>
      <c r="AA54" s="87">
        <v>0</v>
      </c>
    </row>
    <row r="55" spans="1:27" hidden="1" x14ac:dyDescent="0.25">
      <c r="A55" s="59" t="s">
        <v>99</v>
      </c>
      <c r="B55" s="59"/>
      <c r="C55" s="76">
        <f>C54</f>
        <v>0</v>
      </c>
      <c r="D55" s="76">
        <f>C55+D54</f>
        <v>0</v>
      </c>
      <c r="E55" s="76">
        <f t="shared" ref="E55" si="139">D55+E54</f>
        <v>0</v>
      </c>
      <c r="F55" s="76">
        <f t="shared" ref="F55" si="140">E55+F54</f>
        <v>0</v>
      </c>
      <c r="G55" s="76">
        <f t="shared" ref="G55" si="141">F55+G54</f>
        <v>0</v>
      </c>
      <c r="H55" s="76">
        <f t="shared" ref="H55" si="142">G55+H54</f>
        <v>0</v>
      </c>
      <c r="I55" s="76">
        <f t="shared" ref="I55" si="143">H55+I54</f>
        <v>0</v>
      </c>
      <c r="J55" s="76">
        <f t="shared" ref="J55" si="144">I55+J54</f>
        <v>0</v>
      </c>
      <c r="K55" s="76">
        <f t="shared" ref="K55" si="145">J55+K54</f>
        <v>0</v>
      </c>
      <c r="L55" s="76">
        <f t="shared" ref="L55" si="146">K55+L54</f>
        <v>0</v>
      </c>
      <c r="M55" s="76">
        <f t="shared" ref="M55" si="147">L55+M54</f>
        <v>0</v>
      </c>
      <c r="N55" s="76">
        <f t="shared" ref="N55" si="148">M55+N54</f>
        <v>0</v>
      </c>
      <c r="O55" s="76">
        <f t="shared" ref="O55" si="149">N55+O54</f>
        <v>0</v>
      </c>
      <c r="P55" s="76">
        <f t="shared" ref="P55" si="150">O55+P54</f>
        <v>0</v>
      </c>
      <c r="Q55" s="76">
        <f t="shared" ref="Q55" si="151">P55+Q54</f>
        <v>0</v>
      </c>
      <c r="R55" s="76">
        <f t="shared" ref="R55" si="152">Q55+R54</f>
        <v>0</v>
      </c>
      <c r="S55" s="76">
        <f t="shared" ref="S55" si="153">R55+S54</f>
        <v>0</v>
      </c>
      <c r="T55" s="76">
        <f t="shared" ref="T55" si="154">S55+T54</f>
        <v>0</v>
      </c>
      <c r="U55" s="76">
        <f t="shared" ref="U55" si="155">T55+U54</f>
        <v>0</v>
      </c>
      <c r="V55" s="76">
        <f t="shared" ref="V55" si="156">U55+V54</f>
        <v>0</v>
      </c>
      <c r="W55" s="76">
        <f t="shared" ref="W55" si="157">V55+W54</f>
        <v>0</v>
      </c>
      <c r="X55" s="76">
        <f t="shared" ref="X55" si="158">W55+X54</f>
        <v>0</v>
      </c>
      <c r="Y55" s="76">
        <f t="shared" ref="Y55" si="159">X55+Y54</f>
        <v>0</v>
      </c>
      <c r="Z55" s="76">
        <f t="shared" ref="Z55" si="160">Y55+Z54</f>
        <v>0</v>
      </c>
      <c r="AA55" s="76">
        <f t="shared" ref="AA55" si="161">Z55+AA54</f>
        <v>0</v>
      </c>
    </row>
    <row r="56" spans="1:27" hidden="1" x14ac:dyDescent="0.25">
      <c r="C56" s="71"/>
      <c r="D56" s="71"/>
      <c r="E56" s="71"/>
      <c r="F56" s="71"/>
      <c r="G56" s="71"/>
      <c r="H56" s="71"/>
      <c r="I56" s="71"/>
      <c r="J56" s="71"/>
      <c r="K56" s="71"/>
    </row>
    <row r="57" spans="1:27" ht="21" hidden="1" x14ac:dyDescent="0.35">
      <c r="A57" s="537" t="s">
        <v>301</v>
      </c>
      <c r="B57" s="538"/>
      <c r="C57" s="115">
        <v>0</v>
      </c>
      <c r="D57" s="115">
        <v>0</v>
      </c>
      <c r="E57" s="115"/>
      <c r="F57" s="115"/>
      <c r="G57" s="115"/>
      <c r="H57" s="115"/>
      <c r="I57" s="115"/>
      <c r="J57" s="115"/>
      <c r="K57" s="115"/>
      <c r="L57" s="115"/>
      <c r="M57" s="115">
        <v>0</v>
      </c>
      <c r="N57" s="115">
        <v>0</v>
      </c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</row>
    <row r="58" spans="1:27" hidden="1" x14ac:dyDescent="0.25">
      <c r="A58" s="14" t="str">
        <f>+"Valor Inversión  " &amp;A57</f>
        <v>Valor Inversión  Franquicias</v>
      </c>
      <c r="B58" s="14"/>
      <c r="C58" s="72">
        <f>C57</f>
        <v>0</v>
      </c>
      <c r="D58" s="73">
        <f t="shared" ref="D58:AA58" si="162">C58+D57</f>
        <v>0</v>
      </c>
      <c r="E58" s="73">
        <f t="shared" si="162"/>
        <v>0</v>
      </c>
      <c r="F58" s="73">
        <f t="shared" si="162"/>
        <v>0</v>
      </c>
      <c r="G58" s="73">
        <f t="shared" si="162"/>
        <v>0</v>
      </c>
      <c r="H58" s="73">
        <f t="shared" si="162"/>
        <v>0</v>
      </c>
      <c r="I58" s="73">
        <f t="shared" si="162"/>
        <v>0</v>
      </c>
      <c r="J58" s="73">
        <f t="shared" si="162"/>
        <v>0</v>
      </c>
      <c r="K58" s="73">
        <f t="shared" si="162"/>
        <v>0</v>
      </c>
      <c r="L58" s="73">
        <f t="shared" si="162"/>
        <v>0</v>
      </c>
      <c r="M58" s="73">
        <f t="shared" si="162"/>
        <v>0</v>
      </c>
      <c r="N58" s="73">
        <f t="shared" si="162"/>
        <v>0</v>
      </c>
      <c r="O58" s="73">
        <f t="shared" si="162"/>
        <v>0</v>
      </c>
      <c r="P58" s="73">
        <f t="shared" si="162"/>
        <v>0</v>
      </c>
      <c r="Q58" s="73">
        <f t="shared" si="162"/>
        <v>0</v>
      </c>
      <c r="R58" s="73">
        <f t="shared" si="162"/>
        <v>0</v>
      </c>
      <c r="S58" s="73">
        <f t="shared" si="162"/>
        <v>0</v>
      </c>
      <c r="T58" s="73">
        <f t="shared" si="162"/>
        <v>0</v>
      </c>
      <c r="U58" s="73">
        <f t="shared" si="162"/>
        <v>0</v>
      </c>
      <c r="V58" s="73">
        <f t="shared" si="162"/>
        <v>0</v>
      </c>
      <c r="W58" s="73">
        <f t="shared" si="162"/>
        <v>0</v>
      </c>
      <c r="X58" s="73">
        <f t="shared" si="162"/>
        <v>0</v>
      </c>
      <c r="Y58" s="73">
        <f t="shared" si="162"/>
        <v>0</v>
      </c>
      <c r="Z58" s="73">
        <f t="shared" si="162"/>
        <v>0</v>
      </c>
      <c r="AA58" s="73">
        <f t="shared" si="162"/>
        <v>0</v>
      </c>
    </row>
    <row r="59" spans="1:27" hidden="1" x14ac:dyDescent="0.25">
      <c r="B59" s="18"/>
      <c r="C59" s="74"/>
      <c r="D59" s="75"/>
      <c r="E59" s="75"/>
      <c r="F59" s="75"/>
      <c r="G59" s="75"/>
      <c r="H59" s="75"/>
      <c r="I59" s="75"/>
      <c r="J59" s="75"/>
      <c r="K59" s="75"/>
    </row>
    <row r="60" spans="1:27" hidden="1" x14ac:dyDescent="0.25">
      <c r="A60" s="25" t="s">
        <v>90</v>
      </c>
      <c r="B60" s="25"/>
      <c r="C60" s="87">
        <v>0</v>
      </c>
      <c r="D60" s="87">
        <v>0</v>
      </c>
      <c r="E60" s="87">
        <v>0</v>
      </c>
      <c r="F60" s="87">
        <v>0</v>
      </c>
      <c r="G60" s="87">
        <v>0</v>
      </c>
      <c r="H60" s="87">
        <v>0</v>
      </c>
      <c r="I60" s="87">
        <v>0</v>
      </c>
      <c r="J60" s="87">
        <v>0</v>
      </c>
      <c r="K60" s="87">
        <v>0</v>
      </c>
      <c r="L60" s="87">
        <v>0</v>
      </c>
      <c r="M60" s="87">
        <v>0</v>
      </c>
      <c r="N60" s="87">
        <v>0</v>
      </c>
      <c r="O60" s="87">
        <v>0</v>
      </c>
      <c r="P60" s="87">
        <v>0</v>
      </c>
      <c r="Q60" s="87">
        <v>0</v>
      </c>
      <c r="R60" s="87">
        <v>0</v>
      </c>
      <c r="S60" s="87">
        <v>0</v>
      </c>
      <c r="T60" s="87">
        <v>0</v>
      </c>
      <c r="U60" s="87">
        <v>0</v>
      </c>
      <c r="V60" s="87">
        <v>0</v>
      </c>
      <c r="W60" s="87">
        <v>0</v>
      </c>
      <c r="X60" s="87">
        <v>0</v>
      </c>
      <c r="Y60" s="87">
        <v>0</v>
      </c>
      <c r="Z60" s="87">
        <v>0</v>
      </c>
      <c r="AA60" s="87">
        <v>0</v>
      </c>
    </row>
    <row r="61" spans="1:27" hidden="1" x14ac:dyDescent="0.25">
      <c r="A61" s="59" t="s">
        <v>99</v>
      </c>
      <c r="B61" s="59"/>
      <c r="C61" s="76">
        <f>C60</f>
        <v>0</v>
      </c>
      <c r="D61" s="76">
        <f>C61+D60</f>
        <v>0</v>
      </c>
      <c r="E61" s="76">
        <f t="shared" ref="E61" si="163">D61+E60</f>
        <v>0</v>
      </c>
      <c r="F61" s="76">
        <f t="shared" ref="F61" si="164">E61+F60</f>
        <v>0</v>
      </c>
      <c r="G61" s="76">
        <f t="shared" ref="G61" si="165">F61+G60</f>
        <v>0</v>
      </c>
      <c r="H61" s="76">
        <f t="shared" ref="H61" si="166">G61+H60</f>
        <v>0</v>
      </c>
      <c r="I61" s="76">
        <f t="shared" ref="I61" si="167">H61+I60</f>
        <v>0</v>
      </c>
      <c r="J61" s="76">
        <f t="shared" ref="J61" si="168">I61+J60</f>
        <v>0</v>
      </c>
      <c r="K61" s="76">
        <f t="shared" ref="K61" si="169">J61+K60</f>
        <v>0</v>
      </c>
      <c r="L61" s="76">
        <f t="shared" ref="L61" si="170">K61+L60</f>
        <v>0</v>
      </c>
      <c r="M61" s="76">
        <f t="shared" ref="M61" si="171">L61+M60</f>
        <v>0</v>
      </c>
      <c r="N61" s="76">
        <f t="shared" ref="N61" si="172">M61+N60</f>
        <v>0</v>
      </c>
      <c r="O61" s="76">
        <f t="shared" ref="O61" si="173">N61+O60</f>
        <v>0</v>
      </c>
      <c r="P61" s="76">
        <f t="shared" ref="P61" si="174">O61+P60</f>
        <v>0</v>
      </c>
      <c r="Q61" s="76">
        <f t="shared" ref="Q61" si="175">P61+Q60</f>
        <v>0</v>
      </c>
      <c r="R61" s="76">
        <f t="shared" ref="R61" si="176">Q61+R60</f>
        <v>0</v>
      </c>
      <c r="S61" s="76">
        <f t="shared" ref="S61" si="177">R61+S60</f>
        <v>0</v>
      </c>
      <c r="T61" s="76">
        <f t="shared" ref="T61" si="178">S61+T60</f>
        <v>0</v>
      </c>
      <c r="U61" s="76">
        <f t="shared" ref="U61" si="179">T61+U60</f>
        <v>0</v>
      </c>
      <c r="V61" s="76">
        <f t="shared" ref="V61" si="180">U61+V60</f>
        <v>0</v>
      </c>
      <c r="W61" s="76">
        <f t="shared" ref="W61" si="181">V61+W60</f>
        <v>0</v>
      </c>
      <c r="X61" s="76">
        <f t="shared" ref="X61" si="182">W61+X60</f>
        <v>0</v>
      </c>
      <c r="Y61" s="76">
        <f t="shared" ref="Y61" si="183">X61+Y60</f>
        <v>0</v>
      </c>
      <c r="Z61" s="76">
        <f t="shared" ref="Z61" si="184">Y61+Z60</f>
        <v>0</v>
      </c>
      <c r="AA61" s="76">
        <f t="shared" ref="AA61" si="185">Z61+AA60</f>
        <v>0</v>
      </c>
    </row>
    <row r="62" spans="1:27" hidden="1" x14ac:dyDescent="0.25">
      <c r="C62" s="71"/>
      <c r="D62" s="71"/>
      <c r="E62" s="71"/>
      <c r="F62" s="71"/>
      <c r="G62" s="71"/>
      <c r="H62" s="71"/>
      <c r="I62" s="71"/>
      <c r="J62" s="71"/>
      <c r="K62" s="71"/>
    </row>
    <row r="63" spans="1:27" ht="182.25" customHeight="1" x14ac:dyDescent="0.25">
      <c r="A63" s="460" t="s">
        <v>353</v>
      </c>
      <c r="C63" s="71"/>
      <c r="D63" s="71"/>
      <c r="E63" s="71"/>
      <c r="F63" s="71"/>
      <c r="G63" s="71"/>
      <c r="H63" s="71"/>
      <c r="I63" s="71"/>
      <c r="J63" s="71"/>
      <c r="K63" s="71"/>
    </row>
    <row r="64" spans="1:27" ht="31.5" x14ac:dyDescent="0.5">
      <c r="A64" s="456" t="s">
        <v>351</v>
      </c>
      <c r="C64" s="71"/>
      <c r="D64" s="71"/>
      <c r="E64" s="71"/>
      <c r="F64" s="71"/>
      <c r="G64" s="71"/>
      <c r="H64" s="71"/>
      <c r="I64" s="71"/>
      <c r="J64" s="71"/>
      <c r="K64" s="71"/>
    </row>
    <row r="65" spans="1:27" ht="31.5" hidden="1" x14ac:dyDescent="0.5">
      <c r="A65" s="458" t="str">
        <f>A15</f>
        <v>Adecuación de Infraestructura</v>
      </c>
      <c r="B65" s="52"/>
      <c r="C65" s="78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</row>
    <row r="66" spans="1:27" hidden="1" x14ac:dyDescent="0.25">
      <c r="A66" s="59" t="s">
        <v>92</v>
      </c>
      <c r="B66" s="59"/>
      <c r="C66" s="59">
        <v>0</v>
      </c>
      <c r="D66" s="59">
        <v>1</v>
      </c>
      <c r="E66" s="59">
        <v>2</v>
      </c>
      <c r="F66" s="59">
        <v>3</v>
      </c>
      <c r="G66" s="59">
        <v>4</v>
      </c>
      <c r="H66" s="59">
        <v>5</v>
      </c>
      <c r="I66" s="59">
        <v>6</v>
      </c>
      <c r="J66" s="59">
        <v>7</v>
      </c>
      <c r="K66" s="59">
        <v>8</v>
      </c>
      <c r="L66" s="59">
        <v>9</v>
      </c>
      <c r="M66" s="59">
        <v>10</v>
      </c>
      <c r="N66" s="59">
        <v>11</v>
      </c>
      <c r="O66" s="59">
        <v>12</v>
      </c>
      <c r="P66" s="59">
        <v>13</v>
      </c>
      <c r="Q66" s="59">
        <v>14</v>
      </c>
      <c r="R66" s="59">
        <v>15</v>
      </c>
      <c r="S66" s="59">
        <v>16</v>
      </c>
      <c r="T66" s="59">
        <v>17</v>
      </c>
      <c r="U66" s="59">
        <v>18</v>
      </c>
      <c r="V66" s="59">
        <v>19</v>
      </c>
      <c r="W66" s="59">
        <v>20</v>
      </c>
      <c r="X66" s="59">
        <v>21</v>
      </c>
      <c r="Y66" s="59">
        <v>22</v>
      </c>
      <c r="Z66" s="59">
        <v>23</v>
      </c>
      <c r="AA66" s="59">
        <v>24</v>
      </c>
    </row>
    <row r="67" spans="1:27" ht="23.25" hidden="1" x14ac:dyDescent="0.35">
      <c r="A67" s="459" t="s">
        <v>88</v>
      </c>
      <c r="B67" s="77"/>
      <c r="C67" s="77"/>
      <c r="D67" s="77"/>
      <c r="E67" s="77"/>
      <c r="F67" s="77"/>
      <c r="G67" s="77"/>
      <c r="H67" s="77"/>
      <c r="I67" s="77"/>
      <c r="J67" s="77"/>
      <c r="K67" s="77"/>
    </row>
    <row r="68" spans="1:27" ht="15.75" hidden="1" x14ac:dyDescent="0.25">
      <c r="A68" s="20" t="s">
        <v>91</v>
      </c>
      <c r="B68" s="437" t="s">
        <v>93</v>
      </c>
      <c r="C68" s="19" t="s">
        <v>94</v>
      </c>
    </row>
    <row r="69" spans="1:27" ht="15.75" hidden="1" x14ac:dyDescent="0.25">
      <c r="A69" s="81">
        <f>D$9</f>
        <v>1</v>
      </c>
      <c r="B69" s="25">
        <v>5</v>
      </c>
      <c r="C69" s="59">
        <f>(B69*(B69+1))/2</f>
        <v>15</v>
      </c>
      <c r="D69" s="76">
        <f>IF($B69&lt;D$66,0,((($B$69-C66)/$C69)*$C$16))</f>
        <v>0</v>
      </c>
      <c r="E69" s="76">
        <f>IF($B69&lt;E$66,0,((($B$69-D66)/$C69)*$C$16))</f>
        <v>0</v>
      </c>
      <c r="F69" s="76">
        <f>IF($B69&lt;F$66,0,((($B$69-E66)/$C69)*$C$16))</f>
        <v>0</v>
      </c>
      <c r="G69" s="76">
        <f>IF($B69&lt;G$66,0,((($B$69-F66)/$C69)*$C$16))</f>
        <v>0</v>
      </c>
      <c r="H69" s="76">
        <f>IF($B69&lt;H$66,0,((($B$69-G66)/$C69)*$C$16))</f>
        <v>0</v>
      </c>
      <c r="I69" s="76">
        <f t="shared" ref="I69:AA69" si="186">IF($B69&lt;I$66,0,((($B$69-H66)/$C69)*$C$15))</f>
        <v>0</v>
      </c>
      <c r="J69" s="76">
        <f t="shared" si="186"/>
        <v>0</v>
      </c>
      <c r="K69" s="76">
        <f t="shared" si="186"/>
        <v>0</v>
      </c>
      <c r="L69" s="76">
        <f t="shared" si="186"/>
        <v>0</v>
      </c>
      <c r="M69" s="76">
        <f t="shared" si="186"/>
        <v>0</v>
      </c>
      <c r="N69" s="76">
        <f t="shared" si="186"/>
        <v>0</v>
      </c>
      <c r="O69" s="76">
        <f t="shared" si="186"/>
        <v>0</v>
      </c>
      <c r="P69" s="76">
        <f t="shared" si="186"/>
        <v>0</v>
      </c>
      <c r="Q69" s="76">
        <f t="shared" si="186"/>
        <v>0</v>
      </c>
      <c r="R69" s="76">
        <f t="shared" si="186"/>
        <v>0</v>
      </c>
      <c r="S69" s="76">
        <f t="shared" si="186"/>
        <v>0</v>
      </c>
      <c r="T69" s="76">
        <f t="shared" si="186"/>
        <v>0</v>
      </c>
      <c r="U69" s="76">
        <f t="shared" si="186"/>
        <v>0</v>
      </c>
      <c r="V69" s="76">
        <f t="shared" si="186"/>
        <v>0</v>
      </c>
      <c r="W69" s="76">
        <f t="shared" si="186"/>
        <v>0</v>
      </c>
      <c r="X69" s="76">
        <f t="shared" si="186"/>
        <v>0</v>
      </c>
      <c r="Y69" s="76">
        <f t="shared" si="186"/>
        <v>0</v>
      </c>
      <c r="Z69" s="76">
        <f t="shared" si="186"/>
        <v>0</v>
      </c>
      <c r="AA69" s="76">
        <f t="shared" si="186"/>
        <v>0</v>
      </c>
    </row>
    <row r="70" spans="1:27" ht="15.75" hidden="1" x14ac:dyDescent="0.25">
      <c r="A70" s="81">
        <f>E$9</f>
        <v>2</v>
      </c>
      <c r="B70" s="25">
        <v>5</v>
      </c>
      <c r="C70" s="59">
        <f t="shared" ref="C70:C77" si="187">(B70*(B70+1))/2</f>
        <v>15</v>
      </c>
      <c r="D70" s="76"/>
      <c r="E70" s="76">
        <f t="shared" ref="E70:AA70" si="188">IF($B70&lt;(E$66-$D$66),0,((($B$70-C66))/$C70)*$D$15)</f>
        <v>0</v>
      </c>
      <c r="F70" s="76">
        <f t="shared" si="188"/>
        <v>0</v>
      </c>
      <c r="G70" s="76">
        <f t="shared" si="188"/>
        <v>0</v>
      </c>
      <c r="H70" s="76">
        <f t="shared" si="188"/>
        <v>0</v>
      </c>
      <c r="I70" s="76">
        <f t="shared" si="188"/>
        <v>0</v>
      </c>
      <c r="J70" s="76">
        <f t="shared" si="188"/>
        <v>0</v>
      </c>
      <c r="K70" s="76">
        <f t="shared" si="188"/>
        <v>0</v>
      </c>
      <c r="L70" s="76">
        <f t="shared" si="188"/>
        <v>0</v>
      </c>
      <c r="M70" s="76">
        <f t="shared" si="188"/>
        <v>0</v>
      </c>
      <c r="N70" s="76">
        <f t="shared" si="188"/>
        <v>0</v>
      </c>
      <c r="O70" s="76">
        <f t="shared" si="188"/>
        <v>0</v>
      </c>
      <c r="P70" s="76">
        <f t="shared" si="188"/>
        <v>0</v>
      </c>
      <c r="Q70" s="76">
        <f t="shared" si="188"/>
        <v>0</v>
      </c>
      <c r="R70" s="76">
        <f t="shared" si="188"/>
        <v>0</v>
      </c>
      <c r="S70" s="76">
        <f t="shared" si="188"/>
        <v>0</v>
      </c>
      <c r="T70" s="76">
        <f t="shared" si="188"/>
        <v>0</v>
      </c>
      <c r="U70" s="76">
        <f t="shared" si="188"/>
        <v>0</v>
      </c>
      <c r="V70" s="76">
        <f t="shared" si="188"/>
        <v>0</v>
      </c>
      <c r="W70" s="76">
        <f t="shared" si="188"/>
        <v>0</v>
      </c>
      <c r="X70" s="76">
        <f t="shared" si="188"/>
        <v>0</v>
      </c>
      <c r="Y70" s="76">
        <f t="shared" si="188"/>
        <v>0</v>
      </c>
      <c r="Z70" s="76">
        <f t="shared" si="188"/>
        <v>0</v>
      </c>
      <c r="AA70" s="76">
        <f t="shared" si="188"/>
        <v>0</v>
      </c>
    </row>
    <row r="71" spans="1:27" ht="15.75" hidden="1" x14ac:dyDescent="0.25">
      <c r="A71" s="81">
        <f>F$9</f>
        <v>3</v>
      </c>
      <c r="B71" s="25">
        <v>5</v>
      </c>
      <c r="C71" s="59">
        <f t="shared" si="187"/>
        <v>15</v>
      </c>
      <c r="D71" s="76"/>
      <c r="E71" s="76"/>
      <c r="F71" s="76">
        <f t="shared" ref="F71:AA71" si="189">IF($B71&lt;(F$66-$E$66),0,((($B$71-C66))/$C71)*$E$15)</f>
        <v>0</v>
      </c>
      <c r="G71" s="76">
        <f t="shared" si="189"/>
        <v>0</v>
      </c>
      <c r="H71" s="76">
        <f t="shared" si="189"/>
        <v>0</v>
      </c>
      <c r="I71" s="76">
        <f t="shared" si="189"/>
        <v>0</v>
      </c>
      <c r="J71" s="76">
        <f t="shared" si="189"/>
        <v>0</v>
      </c>
      <c r="K71" s="76">
        <f t="shared" si="189"/>
        <v>0</v>
      </c>
      <c r="L71" s="76">
        <f t="shared" si="189"/>
        <v>0</v>
      </c>
      <c r="M71" s="76">
        <f t="shared" si="189"/>
        <v>0</v>
      </c>
      <c r="N71" s="76">
        <f t="shared" si="189"/>
        <v>0</v>
      </c>
      <c r="O71" s="76">
        <f t="shared" si="189"/>
        <v>0</v>
      </c>
      <c r="P71" s="76">
        <f t="shared" si="189"/>
        <v>0</v>
      </c>
      <c r="Q71" s="76">
        <f t="shared" si="189"/>
        <v>0</v>
      </c>
      <c r="R71" s="76">
        <f t="shared" si="189"/>
        <v>0</v>
      </c>
      <c r="S71" s="76">
        <f t="shared" si="189"/>
        <v>0</v>
      </c>
      <c r="T71" s="76">
        <f t="shared" si="189"/>
        <v>0</v>
      </c>
      <c r="U71" s="76">
        <f t="shared" si="189"/>
        <v>0</v>
      </c>
      <c r="V71" s="76">
        <f t="shared" si="189"/>
        <v>0</v>
      </c>
      <c r="W71" s="76">
        <f t="shared" si="189"/>
        <v>0</v>
      </c>
      <c r="X71" s="76">
        <f t="shared" si="189"/>
        <v>0</v>
      </c>
      <c r="Y71" s="76">
        <f t="shared" si="189"/>
        <v>0</v>
      </c>
      <c r="Z71" s="76">
        <f t="shared" si="189"/>
        <v>0</v>
      </c>
      <c r="AA71" s="76">
        <f t="shared" si="189"/>
        <v>0</v>
      </c>
    </row>
    <row r="72" spans="1:27" ht="15.75" hidden="1" x14ac:dyDescent="0.25">
      <c r="A72" s="81">
        <f>G$9</f>
        <v>4</v>
      </c>
      <c r="B72" s="25">
        <v>5</v>
      </c>
      <c r="C72" s="59">
        <f t="shared" si="187"/>
        <v>15</v>
      </c>
      <c r="D72" s="76"/>
      <c r="E72" s="76"/>
      <c r="F72" s="76"/>
      <c r="G72" s="76">
        <f t="shared" ref="G72:AA72" si="190">IF($B72&lt;(G$66-$F$66),0,(((G$66-$F$66)/$C72)*$F$15))</f>
        <v>0</v>
      </c>
      <c r="H72" s="76">
        <f t="shared" si="190"/>
        <v>0</v>
      </c>
      <c r="I72" s="76">
        <f t="shared" si="190"/>
        <v>0</v>
      </c>
      <c r="J72" s="76">
        <f t="shared" si="190"/>
        <v>0</v>
      </c>
      <c r="K72" s="76">
        <f t="shared" si="190"/>
        <v>0</v>
      </c>
      <c r="L72" s="76">
        <f t="shared" si="190"/>
        <v>0</v>
      </c>
      <c r="M72" s="76">
        <f t="shared" si="190"/>
        <v>0</v>
      </c>
      <c r="N72" s="76">
        <f t="shared" si="190"/>
        <v>0</v>
      </c>
      <c r="O72" s="76">
        <f t="shared" si="190"/>
        <v>0</v>
      </c>
      <c r="P72" s="76">
        <f t="shared" si="190"/>
        <v>0</v>
      </c>
      <c r="Q72" s="76">
        <f t="shared" si="190"/>
        <v>0</v>
      </c>
      <c r="R72" s="76">
        <f t="shared" si="190"/>
        <v>0</v>
      </c>
      <c r="S72" s="76">
        <f t="shared" si="190"/>
        <v>0</v>
      </c>
      <c r="T72" s="76">
        <f t="shared" si="190"/>
        <v>0</v>
      </c>
      <c r="U72" s="76">
        <f t="shared" si="190"/>
        <v>0</v>
      </c>
      <c r="V72" s="76">
        <f t="shared" si="190"/>
        <v>0</v>
      </c>
      <c r="W72" s="76">
        <f t="shared" si="190"/>
        <v>0</v>
      </c>
      <c r="X72" s="76">
        <f t="shared" si="190"/>
        <v>0</v>
      </c>
      <c r="Y72" s="76">
        <f t="shared" si="190"/>
        <v>0</v>
      </c>
      <c r="Z72" s="76">
        <f t="shared" si="190"/>
        <v>0</v>
      </c>
      <c r="AA72" s="76">
        <f t="shared" si="190"/>
        <v>0</v>
      </c>
    </row>
    <row r="73" spans="1:27" ht="15.75" hidden="1" x14ac:dyDescent="0.25">
      <c r="A73" s="81">
        <f>H$9</f>
        <v>5</v>
      </c>
      <c r="B73" s="25">
        <v>5</v>
      </c>
      <c r="C73" s="59">
        <f t="shared" si="187"/>
        <v>15</v>
      </c>
      <c r="D73" s="76"/>
      <c r="E73" s="76"/>
      <c r="F73" s="76"/>
      <c r="G73" s="76"/>
      <c r="H73" s="76">
        <f t="shared" ref="H73:AA73" si="191">IF($B73&lt;(H$66-$G$66),0,(((H$66-$G$66)/$C73)*$G$15))</f>
        <v>0</v>
      </c>
      <c r="I73" s="76">
        <f t="shared" si="191"/>
        <v>0</v>
      </c>
      <c r="J73" s="76">
        <f t="shared" si="191"/>
        <v>0</v>
      </c>
      <c r="K73" s="76">
        <f t="shared" si="191"/>
        <v>0</v>
      </c>
      <c r="L73" s="76">
        <f t="shared" si="191"/>
        <v>0</v>
      </c>
      <c r="M73" s="76">
        <f t="shared" si="191"/>
        <v>0</v>
      </c>
      <c r="N73" s="76">
        <f t="shared" si="191"/>
        <v>0</v>
      </c>
      <c r="O73" s="76">
        <f t="shared" si="191"/>
        <v>0</v>
      </c>
      <c r="P73" s="76">
        <f t="shared" si="191"/>
        <v>0</v>
      </c>
      <c r="Q73" s="76">
        <f t="shared" si="191"/>
        <v>0</v>
      </c>
      <c r="R73" s="76">
        <f t="shared" si="191"/>
        <v>0</v>
      </c>
      <c r="S73" s="76">
        <f t="shared" si="191"/>
        <v>0</v>
      </c>
      <c r="T73" s="76">
        <f t="shared" si="191"/>
        <v>0</v>
      </c>
      <c r="U73" s="76">
        <f t="shared" si="191"/>
        <v>0</v>
      </c>
      <c r="V73" s="76">
        <f t="shared" si="191"/>
        <v>0</v>
      </c>
      <c r="W73" s="76">
        <f t="shared" si="191"/>
        <v>0</v>
      </c>
      <c r="X73" s="76">
        <f t="shared" si="191"/>
        <v>0</v>
      </c>
      <c r="Y73" s="76">
        <f t="shared" si="191"/>
        <v>0</v>
      </c>
      <c r="Z73" s="76">
        <f t="shared" si="191"/>
        <v>0</v>
      </c>
      <c r="AA73" s="76">
        <f t="shared" si="191"/>
        <v>0</v>
      </c>
    </row>
    <row r="74" spans="1:27" ht="15.75" hidden="1" x14ac:dyDescent="0.25">
      <c r="A74" s="81">
        <f>I$9</f>
        <v>6</v>
      </c>
      <c r="B74" s="25">
        <v>5</v>
      </c>
      <c r="C74" s="59">
        <f t="shared" si="187"/>
        <v>15</v>
      </c>
      <c r="D74" s="76"/>
      <c r="E74" s="76"/>
      <c r="F74" s="76"/>
      <c r="G74" s="76"/>
      <c r="H74" s="76"/>
      <c r="I74" s="76">
        <f t="shared" ref="I74:AA74" si="192">IF($B74&lt;(I$66-$H$66),0,(((I$66-$H$66)/$C74)*$H$15))</f>
        <v>0</v>
      </c>
      <c r="J74" s="76">
        <f t="shared" si="192"/>
        <v>0</v>
      </c>
      <c r="K74" s="76">
        <f t="shared" si="192"/>
        <v>0</v>
      </c>
      <c r="L74" s="76">
        <f t="shared" si="192"/>
        <v>0</v>
      </c>
      <c r="M74" s="76">
        <f t="shared" si="192"/>
        <v>0</v>
      </c>
      <c r="N74" s="76">
        <f t="shared" si="192"/>
        <v>0</v>
      </c>
      <c r="O74" s="76">
        <f t="shared" si="192"/>
        <v>0</v>
      </c>
      <c r="P74" s="76">
        <f t="shared" si="192"/>
        <v>0</v>
      </c>
      <c r="Q74" s="76">
        <f t="shared" si="192"/>
        <v>0</v>
      </c>
      <c r="R74" s="76">
        <f t="shared" si="192"/>
        <v>0</v>
      </c>
      <c r="S74" s="76">
        <f t="shared" si="192"/>
        <v>0</v>
      </c>
      <c r="T74" s="76">
        <f t="shared" si="192"/>
        <v>0</v>
      </c>
      <c r="U74" s="76">
        <f t="shared" si="192"/>
        <v>0</v>
      </c>
      <c r="V74" s="76">
        <f t="shared" si="192"/>
        <v>0</v>
      </c>
      <c r="W74" s="76">
        <f t="shared" si="192"/>
        <v>0</v>
      </c>
      <c r="X74" s="76">
        <f t="shared" si="192"/>
        <v>0</v>
      </c>
      <c r="Y74" s="76">
        <f t="shared" si="192"/>
        <v>0</v>
      </c>
      <c r="Z74" s="76">
        <f t="shared" si="192"/>
        <v>0</v>
      </c>
      <c r="AA74" s="76">
        <f t="shared" si="192"/>
        <v>0</v>
      </c>
    </row>
    <row r="75" spans="1:27" ht="15.75" hidden="1" x14ac:dyDescent="0.25">
      <c r="A75" s="81">
        <f>J$9</f>
        <v>7</v>
      </c>
      <c r="B75" s="25">
        <v>5</v>
      </c>
      <c r="C75" s="59">
        <f t="shared" si="187"/>
        <v>15</v>
      </c>
      <c r="D75" s="76"/>
      <c r="E75" s="76"/>
      <c r="F75" s="76"/>
      <c r="G75" s="76"/>
      <c r="H75" s="76"/>
      <c r="I75" s="76"/>
      <c r="J75" s="76">
        <f t="shared" ref="J75:AA75" si="193">IF($B75&lt;(J$66-$I$66),0,(((J$66-$I$66)/$C75)*$I$15))</f>
        <v>0</v>
      </c>
      <c r="K75" s="76">
        <f t="shared" si="193"/>
        <v>0</v>
      </c>
      <c r="L75" s="76">
        <f t="shared" si="193"/>
        <v>0</v>
      </c>
      <c r="M75" s="76">
        <f t="shared" si="193"/>
        <v>0</v>
      </c>
      <c r="N75" s="76">
        <f t="shared" si="193"/>
        <v>0</v>
      </c>
      <c r="O75" s="76">
        <f t="shared" si="193"/>
        <v>0</v>
      </c>
      <c r="P75" s="76">
        <f t="shared" si="193"/>
        <v>0</v>
      </c>
      <c r="Q75" s="76">
        <f t="shared" si="193"/>
        <v>0</v>
      </c>
      <c r="R75" s="76">
        <f t="shared" si="193"/>
        <v>0</v>
      </c>
      <c r="S75" s="76">
        <f t="shared" si="193"/>
        <v>0</v>
      </c>
      <c r="T75" s="76">
        <f t="shared" si="193"/>
        <v>0</v>
      </c>
      <c r="U75" s="76">
        <f t="shared" si="193"/>
        <v>0</v>
      </c>
      <c r="V75" s="76">
        <f t="shared" si="193"/>
        <v>0</v>
      </c>
      <c r="W75" s="76">
        <f t="shared" si="193"/>
        <v>0</v>
      </c>
      <c r="X75" s="76">
        <f t="shared" si="193"/>
        <v>0</v>
      </c>
      <c r="Y75" s="76">
        <f t="shared" si="193"/>
        <v>0</v>
      </c>
      <c r="Z75" s="76">
        <f t="shared" si="193"/>
        <v>0</v>
      </c>
      <c r="AA75" s="76">
        <f t="shared" si="193"/>
        <v>0</v>
      </c>
    </row>
    <row r="76" spans="1:27" ht="15.75" hidden="1" x14ac:dyDescent="0.25">
      <c r="A76" s="81">
        <f>K$9</f>
        <v>8</v>
      </c>
      <c r="B76" s="25">
        <v>5</v>
      </c>
      <c r="C76" s="59">
        <f t="shared" si="187"/>
        <v>15</v>
      </c>
      <c r="D76" s="76"/>
      <c r="E76" s="76"/>
      <c r="F76" s="76"/>
      <c r="G76" s="76"/>
      <c r="H76" s="76"/>
      <c r="I76" s="76"/>
      <c r="J76" s="76"/>
      <c r="K76" s="76">
        <f t="shared" ref="K76:AA76" si="194">IF($B76&lt;(K$66-$J$66),0,(((K$66-$J$66)/$C76)*$J$15))</f>
        <v>0</v>
      </c>
      <c r="L76" s="76">
        <f t="shared" si="194"/>
        <v>0</v>
      </c>
      <c r="M76" s="76">
        <f t="shared" si="194"/>
        <v>0</v>
      </c>
      <c r="N76" s="76">
        <f t="shared" si="194"/>
        <v>0</v>
      </c>
      <c r="O76" s="76">
        <f t="shared" si="194"/>
        <v>0</v>
      </c>
      <c r="P76" s="76">
        <f t="shared" si="194"/>
        <v>0</v>
      </c>
      <c r="Q76" s="76">
        <f t="shared" si="194"/>
        <v>0</v>
      </c>
      <c r="R76" s="76">
        <f t="shared" si="194"/>
        <v>0</v>
      </c>
      <c r="S76" s="76">
        <f t="shared" si="194"/>
        <v>0</v>
      </c>
      <c r="T76" s="76">
        <f t="shared" si="194"/>
        <v>0</v>
      </c>
      <c r="U76" s="76">
        <f t="shared" si="194"/>
        <v>0</v>
      </c>
      <c r="V76" s="76">
        <f t="shared" si="194"/>
        <v>0</v>
      </c>
      <c r="W76" s="76">
        <f t="shared" si="194"/>
        <v>0</v>
      </c>
      <c r="X76" s="76">
        <f t="shared" si="194"/>
        <v>0</v>
      </c>
      <c r="Y76" s="76">
        <f t="shared" si="194"/>
        <v>0</v>
      </c>
      <c r="Z76" s="76">
        <f t="shared" si="194"/>
        <v>0</v>
      </c>
      <c r="AA76" s="76">
        <f t="shared" si="194"/>
        <v>0</v>
      </c>
    </row>
    <row r="77" spans="1:27" ht="15.75" hidden="1" x14ac:dyDescent="0.25">
      <c r="A77" s="81">
        <f>L$9</f>
        <v>9</v>
      </c>
      <c r="B77" s="25">
        <v>5</v>
      </c>
      <c r="C77" s="59">
        <f t="shared" si="187"/>
        <v>15</v>
      </c>
      <c r="D77" s="76"/>
      <c r="E77" s="76"/>
      <c r="F77" s="76"/>
      <c r="G77" s="76"/>
      <c r="H77" s="76"/>
      <c r="I77" s="76"/>
      <c r="J77" s="76"/>
      <c r="K77" s="76"/>
      <c r="L77" s="76">
        <f t="shared" ref="L77:AA77" si="195">IF($B77&lt;(L$66-$K$66),0,(((L$66-$K$66)/$C77)*$K$15))</f>
        <v>0</v>
      </c>
      <c r="M77" s="76">
        <f t="shared" si="195"/>
        <v>0</v>
      </c>
      <c r="N77" s="76">
        <f t="shared" si="195"/>
        <v>0</v>
      </c>
      <c r="O77" s="76">
        <f t="shared" si="195"/>
        <v>0</v>
      </c>
      <c r="P77" s="76">
        <f t="shared" si="195"/>
        <v>0</v>
      </c>
      <c r="Q77" s="76">
        <f t="shared" si="195"/>
        <v>0</v>
      </c>
      <c r="R77" s="76">
        <f t="shared" si="195"/>
        <v>0</v>
      </c>
      <c r="S77" s="76">
        <f t="shared" si="195"/>
        <v>0</v>
      </c>
      <c r="T77" s="76">
        <f t="shared" si="195"/>
        <v>0</v>
      </c>
      <c r="U77" s="76">
        <f t="shared" si="195"/>
        <v>0</v>
      </c>
      <c r="V77" s="76">
        <f t="shared" si="195"/>
        <v>0</v>
      </c>
      <c r="W77" s="76">
        <f t="shared" si="195"/>
        <v>0</v>
      </c>
      <c r="X77" s="76">
        <f t="shared" si="195"/>
        <v>0</v>
      </c>
      <c r="Y77" s="76">
        <f t="shared" si="195"/>
        <v>0</v>
      </c>
      <c r="Z77" s="76">
        <f t="shared" si="195"/>
        <v>0</v>
      </c>
      <c r="AA77" s="76">
        <f t="shared" si="195"/>
        <v>0</v>
      </c>
    </row>
    <row r="78" spans="1:27" ht="15.75" hidden="1" x14ac:dyDescent="0.25">
      <c r="A78" s="81">
        <f>M$9</f>
        <v>10</v>
      </c>
      <c r="B78" s="25">
        <v>5</v>
      </c>
      <c r="C78" s="59">
        <f t="shared" ref="C78:C92" si="196">(B78*(B78+1))/2</f>
        <v>15</v>
      </c>
      <c r="D78" s="76"/>
      <c r="E78" s="76"/>
      <c r="F78" s="76"/>
      <c r="G78" s="76"/>
      <c r="H78" s="76"/>
      <c r="I78" s="76"/>
      <c r="J78" s="76"/>
      <c r="K78" s="76"/>
      <c r="L78" s="76"/>
      <c r="M78" s="76">
        <f t="shared" ref="M78:AA78" si="197">IF($B78&lt;(M$66-$L$66),0,(((M$66-$L$66)/$C78)*$L$15))</f>
        <v>0</v>
      </c>
      <c r="N78" s="76">
        <f t="shared" si="197"/>
        <v>0</v>
      </c>
      <c r="O78" s="76">
        <f t="shared" si="197"/>
        <v>0</v>
      </c>
      <c r="P78" s="76">
        <f t="shared" si="197"/>
        <v>0</v>
      </c>
      <c r="Q78" s="76">
        <f t="shared" si="197"/>
        <v>0</v>
      </c>
      <c r="R78" s="76">
        <f t="shared" si="197"/>
        <v>0</v>
      </c>
      <c r="S78" s="76">
        <f t="shared" si="197"/>
        <v>0</v>
      </c>
      <c r="T78" s="76">
        <f t="shared" si="197"/>
        <v>0</v>
      </c>
      <c r="U78" s="76">
        <f t="shared" si="197"/>
        <v>0</v>
      </c>
      <c r="V78" s="76">
        <f t="shared" si="197"/>
        <v>0</v>
      </c>
      <c r="W78" s="76">
        <f t="shared" si="197"/>
        <v>0</v>
      </c>
      <c r="X78" s="76">
        <f t="shared" si="197"/>
        <v>0</v>
      </c>
      <c r="Y78" s="76">
        <f t="shared" si="197"/>
        <v>0</v>
      </c>
      <c r="Z78" s="76">
        <f t="shared" si="197"/>
        <v>0</v>
      </c>
      <c r="AA78" s="76">
        <f t="shared" si="197"/>
        <v>0</v>
      </c>
    </row>
    <row r="79" spans="1:27" ht="15.75" hidden="1" x14ac:dyDescent="0.25">
      <c r="A79" s="81">
        <v>11</v>
      </c>
      <c r="B79" s="25">
        <v>5</v>
      </c>
      <c r="C79" s="59">
        <f>(B79*(B79+1))/2</f>
        <v>15</v>
      </c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>
        <f t="shared" ref="N79:AA79" si="198">IF($B79&lt;N$66,0,((($B$79-M$66)/$C79)*$M$15))</f>
        <v>0</v>
      </c>
      <c r="O79" s="76">
        <f t="shared" si="198"/>
        <v>0</v>
      </c>
      <c r="P79" s="76">
        <f t="shared" si="198"/>
        <v>0</v>
      </c>
      <c r="Q79" s="76">
        <f t="shared" si="198"/>
        <v>0</v>
      </c>
      <c r="R79" s="76">
        <f t="shared" si="198"/>
        <v>0</v>
      </c>
      <c r="S79" s="76">
        <f t="shared" si="198"/>
        <v>0</v>
      </c>
      <c r="T79" s="76">
        <f t="shared" si="198"/>
        <v>0</v>
      </c>
      <c r="U79" s="76">
        <f t="shared" si="198"/>
        <v>0</v>
      </c>
      <c r="V79" s="76">
        <f t="shared" si="198"/>
        <v>0</v>
      </c>
      <c r="W79" s="76">
        <f t="shared" si="198"/>
        <v>0</v>
      </c>
      <c r="X79" s="76">
        <f t="shared" si="198"/>
        <v>0</v>
      </c>
      <c r="Y79" s="76">
        <f t="shared" si="198"/>
        <v>0</v>
      </c>
      <c r="Z79" s="76">
        <f t="shared" si="198"/>
        <v>0</v>
      </c>
      <c r="AA79" s="76">
        <f t="shared" si="198"/>
        <v>0</v>
      </c>
    </row>
    <row r="80" spans="1:27" ht="15.75" hidden="1" x14ac:dyDescent="0.25">
      <c r="A80" s="81">
        <v>12</v>
      </c>
      <c r="B80" s="25">
        <v>5</v>
      </c>
      <c r="C80" s="59">
        <f t="shared" si="196"/>
        <v>15</v>
      </c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>
        <f t="shared" ref="O80:AA80" si="199">IF($B80&lt;O$66,0,((($B$80-N$66)/$C80)*$N$15))</f>
        <v>0</v>
      </c>
      <c r="P80" s="76">
        <f t="shared" si="199"/>
        <v>0</v>
      </c>
      <c r="Q80" s="76">
        <f t="shared" si="199"/>
        <v>0</v>
      </c>
      <c r="R80" s="76">
        <f t="shared" si="199"/>
        <v>0</v>
      </c>
      <c r="S80" s="76">
        <f t="shared" si="199"/>
        <v>0</v>
      </c>
      <c r="T80" s="76">
        <f t="shared" si="199"/>
        <v>0</v>
      </c>
      <c r="U80" s="76">
        <f t="shared" si="199"/>
        <v>0</v>
      </c>
      <c r="V80" s="76">
        <f t="shared" si="199"/>
        <v>0</v>
      </c>
      <c r="W80" s="76">
        <f t="shared" si="199"/>
        <v>0</v>
      </c>
      <c r="X80" s="76">
        <f t="shared" si="199"/>
        <v>0</v>
      </c>
      <c r="Y80" s="76">
        <f t="shared" si="199"/>
        <v>0</v>
      </c>
      <c r="Z80" s="76">
        <f t="shared" si="199"/>
        <v>0</v>
      </c>
      <c r="AA80" s="76">
        <f t="shared" si="199"/>
        <v>0</v>
      </c>
    </row>
    <row r="81" spans="1:27" ht="15.75" hidden="1" x14ac:dyDescent="0.25">
      <c r="A81" s="81">
        <v>13</v>
      </c>
      <c r="B81" s="25">
        <v>5</v>
      </c>
      <c r="C81" s="59">
        <f t="shared" si="196"/>
        <v>15</v>
      </c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>
        <f t="shared" ref="P81:AA81" si="200">IF($B81&lt;P$66,0,((($B$81-O$66)/$C81)*$O$15))</f>
        <v>0</v>
      </c>
      <c r="Q81" s="76">
        <f t="shared" si="200"/>
        <v>0</v>
      </c>
      <c r="R81" s="76">
        <f t="shared" si="200"/>
        <v>0</v>
      </c>
      <c r="S81" s="76">
        <f t="shared" si="200"/>
        <v>0</v>
      </c>
      <c r="T81" s="76">
        <f t="shared" si="200"/>
        <v>0</v>
      </c>
      <c r="U81" s="76">
        <f t="shared" si="200"/>
        <v>0</v>
      </c>
      <c r="V81" s="76">
        <f t="shared" si="200"/>
        <v>0</v>
      </c>
      <c r="W81" s="76">
        <f t="shared" si="200"/>
        <v>0</v>
      </c>
      <c r="X81" s="76">
        <f t="shared" si="200"/>
        <v>0</v>
      </c>
      <c r="Y81" s="76">
        <f t="shared" si="200"/>
        <v>0</v>
      </c>
      <c r="Z81" s="76">
        <f t="shared" si="200"/>
        <v>0</v>
      </c>
      <c r="AA81" s="76">
        <f t="shared" si="200"/>
        <v>0</v>
      </c>
    </row>
    <row r="82" spans="1:27" ht="15.75" hidden="1" x14ac:dyDescent="0.25">
      <c r="A82" s="81">
        <v>14</v>
      </c>
      <c r="B82" s="25">
        <v>5</v>
      </c>
      <c r="C82" s="59">
        <f t="shared" si="196"/>
        <v>15</v>
      </c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>
        <f t="shared" ref="Q82:AA82" si="201">IF($B82&lt;Q$66,0,((($B$82-P$66)/$C82)*$P$15))</f>
        <v>0</v>
      </c>
      <c r="R82" s="76">
        <f t="shared" si="201"/>
        <v>0</v>
      </c>
      <c r="S82" s="76">
        <f t="shared" si="201"/>
        <v>0</v>
      </c>
      <c r="T82" s="76">
        <f t="shared" si="201"/>
        <v>0</v>
      </c>
      <c r="U82" s="76">
        <f t="shared" si="201"/>
        <v>0</v>
      </c>
      <c r="V82" s="76">
        <f t="shared" si="201"/>
        <v>0</v>
      </c>
      <c r="W82" s="76">
        <f t="shared" si="201"/>
        <v>0</v>
      </c>
      <c r="X82" s="76">
        <f t="shared" si="201"/>
        <v>0</v>
      </c>
      <c r="Y82" s="76">
        <f t="shared" si="201"/>
        <v>0</v>
      </c>
      <c r="Z82" s="76">
        <f t="shared" si="201"/>
        <v>0</v>
      </c>
      <c r="AA82" s="76">
        <f t="shared" si="201"/>
        <v>0</v>
      </c>
    </row>
    <row r="83" spans="1:27" ht="15.75" hidden="1" x14ac:dyDescent="0.25">
      <c r="A83" s="81">
        <v>15</v>
      </c>
      <c r="B83" s="25">
        <v>5</v>
      </c>
      <c r="C83" s="59">
        <f t="shared" si="196"/>
        <v>15</v>
      </c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>
        <f t="shared" ref="R83:AA83" si="202">IF($B83&lt;R$66,0,((($B$83-Q$66)/$C83)*$Q$15))</f>
        <v>0</v>
      </c>
      <c r="S83" s="76">
        <f t="shared" si="202"/>
        <v>0</v>
      </c>
      <c r="T83" s="76">
        <f t="shared" si="202"/>
        <v>0</v>
      </c>
      <c r="U83" s="76">
        <f t="shared" si="202"/>
        <v>0</v>
      </c>
      <c r="V83" s="76">
        <f t="shared" si="202"/>
        <v>0</v>
      </c>
      <c r="W83" s="76">
        <f t="shared" si="202"/>
        <v>0</v>
      </c>
      <c r="X83" s="76">
        <f t="shared" si="202"/>
        <v>0</v>
      </c>
      <c r="Y83" s="76">
        <f t="shared" si="202"/>
        <v>0</v>
      </c>
      <c r="Z83" s="76">
        <f t="shared" si="202"/>
        <v>0</v>
      </c>
      <c r="AA83" s="76">
        <f t="shared" si="202"/>
        <v>0</v>
      </c>
    </row>
    <row r="84" spans="1:27" ht="15.75" hidden="1" x14ac:dyDescent="0.25">
      <c r="A84" s="81">
        <v>16</v>
      </c>
      <c r="B84" s="25">
        <v>5</v>
      </c>
      <c r="C84" s="59">
        <f t="shared" si="196"/>
        <v>15</v>
      </c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>
        <f t="shared" ref="S84:AA84" si="203">IF($B84&lt;S$66,0,((($B$84-R$66)/$C84)*$R$15))</f>
        <v>0</v>
      </c>
      <c r="T84" s="76">
        <f t="shared" si="203"/>
        <v>0</v>
      </c>
      <c r="U84" s="76">
        <f t="shared" si="203"/>
        <v>0</v>
      </c>
      <c r="V84" s="76">
        <f t="shared" si="203"/>
        <v>0</v>
      </c>
      <c r="W84" s="76">
        <f t="shared" si="203"/>
        <v>0</v>
      </c>
      <c r="X84" s="76">
        <f t="shared" si="203"/>
        <v>0</v>
      </c>
      <c r="Y84" s="76">
        <f t="shared" si="203"/>
        <v>0</v>
      </c>
      <c r="Z84" s="76">
        <f t="shared" si="203"/>
        <v>0</v>
      </c>
      <c r="AA84" s="76">
        <f t="shared" si="203"/>
        <v>0</v>
      </c>
    </row>
    <row r="85" spans="1:27" ht="15.75" hidden="1" x14ac:dyDescent="0.25">
      <c r="A85" s="81">
        <v>17</v>
      </c>
      <c r="B85" s="25">
        <v>5</v>
      </c>
      <c r="C85" s="59">
        <f t="shared" si="196"/>
        <v>15</v>
      </c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>
        <f t="shared" ref="T85:AA85" si="204">IF($B85&lt;T$66,0,((($B$85-S$66)/$C85)*$S$15))</f>
        <v>0</v>
      </c>
      <c r="U85" s="76">
        <f t="shared" si="204"/>
        <v>0</v>
      </c>
      <c r="V85" s="76">
        <f t="shared" si="204"/>
        <v>0</v>
      </c>
      <c r="W85" s="76">
        <f t="shared" si="204"/>
        <v>0</v>
      </c>
      <c r="X85" s="76">
        <f t="shared" si="204"/>
        <v>0</v>
      </c>
      <c r="Y85" s="76">
        <f t="shared" si="204"/>
        <v>0</v>
      </c>
      <c r="Z85" s="76">
        <f t="shared" si="204"/>
        <v>0</v>
      </c>
      <c r="AA85" s="76">
        <f t="shared" si="204"/>
        <v>0</v>
      </c>
    </row>
    <row r="86" spans="1:27" ht="15.75" hidden="1" x14ac:dyDescent="0.25">
      <c r="A86" s="81">
        <v>18</v>
      </c>
      <c r="B86" s="25">
        <v>5</v>
      </c>
      <c r="C86" s="59">
        <f t="shared" si="196"/>
        <v>15</v>
      </c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>
        <f t="shared" ref="U86:AA86" si="205">IF($B86&lt;U$66,0,((($B$86-T$66)/$C86)*$T$15))</f>
        <v>0</v>
      </c>
      <c r="V86" s="76">
        <f t="shared" si="205"/>
        <v>0</v>
      </c>
      <c r="W86" s="76">
        <f t="shared" si="205"/>
        <v>0</v>
      </c>
      <c r="X86" s="76">
        <f t="shared" si="205"/>
        <v>0</v>
      </c>
      <c r="Y86" s="76">
        <f t="shared" si="205"/>
        <v>0</v>
      </c>
      <c r="Z86" s="76">
        <f t="shared" si="205"/>
        <v>0</v>
      </c>
      <c r="AA86" s="76">
        <f t="shared" si="205"/>
        <v>0</v>
      </c>
    </row>
    <row r="87" spans="1:27" ht="15.75" hidden="1" x14ac:dyDescent="0.25">
      <c r="A87" s="81">
        <v>19</v>
      </c>
      <c r="B87" s="25">
        <v>5</v>
      </c>
      <c r="C87" s="59">
        <f t="shared" si="196"/>
        <v>15</v>
      </c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>
        <f t="shared" ref="V87:AA87" si="206">IF($B87&lt;V$66,0,((($B$87-U$66)/$C87)*$U$15))</f>
        <v>0</v>
      </c>
      <c r="W87" s="76">
        <f t="shared" si="206"/>
        <v>0</v>
      </c>
      <c r="X87" s="76">
        <f t="shared" si="206"/>
        <v>0</v>
      </c>
      <c r="Y87" s="76">
        <f t="shared" si="206"/>
        <v>0</v>
      </c>
      <c r="Z87" s="76">
        <f t="shared" si="206"/>
        <v>0</v>
      </c>
      <c r="AA87" s="76">
        <f t="shared" si="206"/>
        <v>0</v>
      </c>
    </row>
    <row r="88" spans="1:27" ht="15.75" hidden="1" x14ac:dyDescent="0.25">
      <c r="A88" s="81">
        <v>20</v>
      </c>
      <c r="B88" s="25">
        <v>5</v>
      </c>
      <c r="C88" s="59">
        <f t="shared" si="196"/>
        <v>15</v>
      </c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>
        <f>IF($B88&lt;W$66,0,((($B$88-V$66)/$C88)*$V$15))</f>
        <v>0</v>
      </c>
      <c r="X88" s="76">
        <f>IF($B88&lt;X$66,0,((($B$88-W$66)/$C88)*$V$15))</f>
        <v>0</v>
      </c>
      <c r="Y88" s="76">
        <f>IF($B88&lt;Y$66,0,((($B$88-X$66)/$C88)*$V$15))</f>
        <v>0</v>
      </c>
      <c r="Z88" s="76">
        <f>IF($B88&lt;Z$66,0,((($B$88-Y$66)/$C88)*$V$15))</f>
        <v>0</v>
      </c>
      <c r="AA88" s="76">
        <f>IF($B88&lt;AA$66,0,((($B$88-Z$66)/$C88)*$V$15))</f>
        <v>0</v>
      </c>
    </row>
    <row r="89" spans="1:27" ht="15.75" hidden="1" x14ac:dyDescent="0.25">
      <c r="A89" s="81">
        <v>21</v>
      </c>
      <c r="B89" s="25">
        <v>5</v>
      </c>
      <c r="C89" s="59">
        <f t="shared" si="196"/>
        <v>15</v>
      </c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>
        <f>IF($B89&lt;X$66,0,((($B$89-W$66)/$C89)*$W$15))</f>
        <v>0</v>
      </c>
      <c r="Y89" s="76">
        <f>IF($B89&lt;Y$66,0,((($B$89-X$66)/$C89)*$W$15))</f>
        <v>0</v>
      </c>
      <c r="Z89" s="76">
        <f>IF($B89&lt;Z$66,0,((($B$89-Y$66)/$C89)*$W$15))</f>
        <v>0</v>
      </c>
      <c r="AA89" s="76">
        <f>IF($B89&lt;AA$66,0,((($B$89-Z$66)/$C89)*$W$15))</f>
        <v>0</v>
      </c>
    </row>
    <row r="90" spans="1:27" ht="15.75" hidden="1" x14ac:dyDescent="0.25">
      <c r="A90" s="81">
        <v>22</v>
      </c>
      <c r="B90" s="25">
        <v>5</v>
      </c>
      <c r="C90" s="59">
        <f t="shared" si="196"/>
        <v>15</v>
      </c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>
        <f>IF($B90&lt;Y$66,0,((($B$90-X$66)/$C90)*$X$15))</f>
        <v>0</v>
      </c>
      <c r="Z90" s="76">
        <f>IF($B90&lt;Z$66,0,((($B$90-Y$66)/$C90)*$X$15))</f>
        <v>0</v>
      </c>
      <c r="AA90" s="76">
        <f>IF($B90&lt;AA$66,0,((($B$90-Z$66)/$C90)*$X$15))</f>
        <v>0</v>
      </c>
    </row>
    <row r="91" spans="1:27" ht="15.75" hidden="1" x14ac:dyDescent="0.25">
      <c r="A91" s="81">
        <v>23</v>
      </c>
      <c r="B91" s="25">
        <v>5</v>
      </c>
      <c r="C91" s="59">
        <f t="shared" si="196"/>
        <v>15</v>
      </c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>
        <f>IF($B91&lt;Z$66,0,((($B$91-Y$66)/$C91)*$Y$15))</f>
        <v>0</v>
      </c>
      <c r="AA91" s="76">
        <f>IF($B91&lt;AA$66,0,((($B$91-Z$66)/$C91)*$Y$15))</f>
        <v>0</v>
      </c>
    </row>
    <row r="92" spans="1:27" ht="15.75" hidden="1" x14ac:dyDescent="0.25">
      <c r="A92" s="81">
        <v>24</v>
      </c>
      <c r="B92" s="25">
        <v>5</v>
      </c>
      <c r="C92" s="59">
        <f t="shared" si="196"/>
        <v>15</v>
      </c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>
        <f>IF($B92&lt;AA$66,0,((($B$92-Z$66)/$C92)*$Z$15))</f>
        <v>0</v>
      </c>
    </row>
    <row r="93" spans="1:27" hidden="1" x14ac:dyDescent="0.25">
      <c r="A93" s="59" t="s">
        <v>95</v>
      </c>
      <c r="B93" s="59"/>
      <c r="C93" s="59"/>
      <c r="D93" s="83">
        <f t="shared" ref="D93:AA93" si="207">SUM(D69:D92)</f>
        <v>0</v>
      </c>
      <c r="E93" s="83">
        <f t="shared" si="207"/>
        <v>0</v>
      </c>
      <c r="F93" s="83">
        <f t="shared" si="207"/>
        <v>0</v>
      </c>
      <c r="G93" s="83">
        <f t="shared" si="207"/>
        <v>0</v>
      </c>
      <c r="H93" s="83">
        <f t="shared" si="207"/>
        <v>0</v>
      </c>
      <c r="I93" s="83">
        <f t="shared" si="207"/>
        <v>0</v>
      </c>
      <c r="J93" s="83">
        <f t="shared" si="207"/>
        <v>0</v>
      </c>
      <c r="K93" s="83">
        <f t="shared" si="207"/>
        <v>0</v>
      </c>
      <c r="L93" s="83">
        <f t="shared" si="207"/>
        <v>0</v>
      </c>
      <c r="M93" s="83">
        <f t="shared" si="207"/>
        <v>0</v>
      </c>
      <c r="N93" s="83">
        <f t="shared" si="207"/>
        <v>0</v>
      </c>
      <c r="O93" s="83">
        <f t="shared" si="207"/>
        <v>0</v>
      </c>
      <c r="P93" s="83">
        <f t="shared" si="207"/>
        <v>0</v>
      </c>
      <c r="Q93" s="83">
        <f t="shared" si="207"/>
        <v>0</v>
      </c>
      <c r="R93" s="83">
        <f t="shared" si="207"/>
        <v>0</v>
      </c>
      <c r="S93" s="83">
        <f t="shared" si="207"/>
        <v>0</v>
      </c>
      <c r="T93" s="83">
        <f t="shared" si="207"/>
        <v>0</v>
      </c>
      <c r="U93" s="83">
        <f t="shared" si="207"/>
        <v>0</v>
      </c>
      <c r="V93" s="83">
        <f t="shared" si="207"/>
        <v>0</v>
      </c>
      <c r="W93" s="83">
        <f t="shared" si="207"/>
        <v>0</v>
      </c>
      <c r="X93" s="83">
        <f t="shared" si="207"/>
        <v>0</v>
      </c>
      <c r="Y93" s="83">
        <f t="shared" si="207"/>
        <v>0</v>
      </c>
      <c r="Z93" s="83">
        <f t="shared" si="207"/>
        <v>0</v>
      </c>
      <c r="AA93" s="83">
        <f t="shared" si="207"/>
        <v>0</v>
      </c>
    </row>
    <row r="94" spans="1:27" hidden="1" x14ac:dyDescent="0.25">
      <c r="A94" s="59" t="s">
        <v>96</v>
      </c>
      <c r="B94" s="59"/>
      <c r="C94" s="59"/>
      <c r="D94" s="83">
        <f>D93</f>
        <v>0</v>
      </c>
      <c r="E94" s="83">
        <f>D94+E93</f>
        <v>0</v>
      </c>
      <c r="F94" s="83">
        <f t="shared" ref="F94:K94" si="208">E94+F93</f>
        <v>0</v>
      </c>
      <c r="G94" s="83">
        <f t="shared" si="208"/>
        <v>0</v>
      </c>
      <c r="H94" s="83">
        <f t="shared" si="208"/>
        <v>0</v>
      </c>
      <c r="I94" s="83">
        <f t="shared" si="208"/>
        <v>0</v>
      </c>
      <c r="J94" s="83">
        <f t="shared" si="208"/>
        <v>0</v>
      </c>
      <c r="K94" s="83">
        <f t="shared" si="208"/>
        <v>0</v>
      </c>
      <c r="L94" s="83">
        <f t="shared" ref="L94" si="209">K94+L93</f>
        <v>0</v>
      </c>
      <c r="M94" s="83">
        <f t="shared" ref="M94" si="210">L94+M93</f>
        <v>0</v>
      </c>
      <c r="N94" s="83">
        <f t="shared" ref="N94" si="211">M94+N93</f>
        <v>0</v>
      </c>
      <c r="O94" s="83">
        <f t="shared" ref="O94" si="212">N94+O93</f>
        <v>0</v>
      </c>
      <c r="P94" s="83">
        <f t="shared" ref="P94" si="213">O94+P93</f>
        <v>0</v>
      </c>
      <c r="Q94" s="83">
        <f t="shared" ref="Q94" si="214">P94+Q93</f>
        <v>0</v>
      </c>
      <c r="R94" s="83">
        <f t="shared" ref="R94" si="215">Q94+R93</f>
        <v>0</v>
      </c>
      <c r="S94" s="83">
        <f t="shared" ref="S94" si="216">R94+S93</f>
        <v>0</v>
      </c>
      <c r="T94" s="83">
        <f t="shared" ref="T94" si="217">S94+T93</f>
        <v>0</v>
      </c>
      <c r="U94" s="83">
        <f t="shared" ref="U94" si="218">T94+U93</f>
        <v>0</v>
      </c>
      <c r="V94" s="83">
        <f t="shared" ref="V94" si="219">U94+V93</f>
        <v>0</v>
      </c>
      <c r="W94" s="83">
        <f t="shared" ref="W94" si="220">V94+W93</f>
        <v>0</v>
      </c>
      <c r="X94" s="83">
        <f t="shared" ref="X94" si="221">W94+X93</f>
        <v>0</v>
      </c>
      <c r="Y94" s="83">
        <f t="shared" ref="Y94" si="222">X94+Y93</f>
        <v>0</v>
      </c>
      <c r="Z94" s="83">
        <f t="shared" ref="Z94" si="223">Y94+Z93</f>
        <v>0</v>
      </c>
      <c r="AA94" s="83">
        <f t="shared" ref="AA94" si="224">Z94+AA93</f>
        <v>0</v>
      </c>
    </row>
    <row r="95" spans="1:27" hidden="1" x14ac:dyDescent="0.25">
      <c r="A95" s="59" t="s">
        <v>98</v>
      </c>
      <c r="B95" s="59"/>
      <c r="C95" s="59"/>
      <c r="D95" s="83">
        <f>C15-D94</f>
        <v>120417721</v>
      </c>
      <c r="E95" s="83">
        <f t="shared" ref="E95:AA95" si="225">D15+D95-E93</f>
        <v>120417721</v>
      </c>
      <c r="F95" s="83">
        <f t="shared" si="225"/>
        <v>120417721</v>
      </c>
      <c r="G95" s="83">
        <f t="shared" si="225"/>
        <v>120417721</v>
      </c>
      <c r="H95" s="83">
        <f t="shared" si="225"/>
        <v>120417721</v>
      </c>
      <c r="I95" s="83">
        <f t="shared" si="225"/>
        <v>120417721</v>
      </c>
      <c r="J95" s="83">
        <f t="shared" si="225"/>
        <v>120417721</v>
      </c>
      <c r="K95" s="83">
        <f t="shared" si="225"/>
        <v>120417721</v>
      </c>
      <c r="L95" s="83">
        <f t="shared" si="225"/>
        <v>120417721</v>
      </c>
      <c r="M95" s="83">
        <f t="shared" si="225"/>
        <v>120417721</v>
      </c>
      <c r="N95" s="83">
        <f t="shared" si="225"/>
        <v>120417721</v>
      </c>
      <c r="O95" s="83">
        <f t="shared" si="225"/>
        <v>120417721</v>
      </c>
      <c r="P95" s="83">
        <f t="shared" si="225"/>
        <v>120417721</v>
      </c>
      <c r="Q95" s="83">
        <f t="shared" si="225"/>
        <v>120417721</v>
      </c>
      <c r="R95" s="83">
        <f t="shared" si="225"/>
        <v>120417721</v>
      </c>
      <c r="S95" s="83">
        <f t="shared" si="225"/>
        <v>120417721</v>
      </c>
      <c r="T95" s="83">
        <f t="shared" si="225"/>
        <v>120417721</v>
      </c>
      <c r="U95" s="83">
        <f t="shared" si="225"/>
        <v>120417721</v>
      </c>
      <c r="V95" s="83">
        <f t="shared" si="225"/>
        <v>120417721</v>
      </c>
      <c r="W95" s="83">
        <f t="shared" si="225"/>
        <v>120417721</v>
      </c>
      <c r="X95" s="83">
        <f t="shared" si="225"/>
        <v>120417721</v>
      </c>
      <c r="Y95" s="83">
        <f t="shared" si="225"/>
        <v>120417721</v>
      </c>
      <c r="Z95" s="83">
        <f t="shared" si="225"/>
        <v>120417721</v>
      </c>
      <c r="AA95" s="83">
        <f t="shared" si="225"/>
        <v>120417721</v>
      </c>
    </row>
    <row r="96" spans="1:27" hidden="1" x14ac:dyDescent="0.25">
      <c r="A96" s="89"/>
      <c r="B96" s="84"/>
      <c r="C96" s="84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</row>
    <row r="97" spans="1:27" ht="23.25" hidden="1" x14ac:dyDescent="0.35">
      <c r="A97" s="459" t="s">
        <v>97</v>
      </c>
      <c r="C97" s="82"/>
      <c r="D97" s="82"/>
      <c r="E97" s="82"/>
      <c r="F97" s="82"/>
      <c r="G97" s="82"/>
      <c r="H97" s="82"/>
      <c r="I97" s="82"/>
      <c r="J97" s="82"/>
      <c r="K97" s="82"/>
    </row>
    <row r="98" spans="1:27" ht="15.75" hidden="1" x14ac:dyDescent="0.25">
      <c r="A98" s="20" t="str">
        <f>A68</f>
        <v>Años a proyectar</v>
      </c>
      <c r="B98" s="437" t="s">
        <v>93</v>
      </c>
      <c r="C98" s="176"/>
      <c r="D98" s="14">
        <f t="shared" ref="D98:AA98" si="226">D9</f>
        <v>1</v>
      </c>
      <c r="E98" s="14">
        <f t="shared" si="226"/>
        <v>2</v>
      </c>
      <c r="F98" s="14">
        <f t="shared" si="226"/>
        <v>3</v>
      </c>
      <c r="G98" s="14">
        <f t="shared" si="226"/>
        <v>4</v>
      </c>
      <c r="H98" s="14">
        <f t="shared" si="226"/>
        <v>5</v>
      </c>
      <c r="I98" s="14">
        <f t="shared" si="226"/>
        <v>6</v>
      </c>
      <c r="J98" s="14">
        <f t="shared" si="226"/>
        <v>7</v>
      </c>
      <c r="K98" s="14">
        <f t="shared" si="226"/>
        <v>8</v>
      </c>
      <c r="L98" s="14">
        <f t="shared" si="226"/>
        <v>9</v>
      </c>
      <c r="M98" s="14">
        <f t="shared" si="226"/>
        <v>10</v>
      </c>
      <c r="N98" s="14">
        <f t="shared" si="226"/>
        <v>11</v>
      </c>
      <c r="O98" s="14">
        <f t="shared" si="226"/>
        <v>12</v>
      </c>
      <c r="P98" s="14">
        <f t="shared" si="226"/>
        <v>13</v>
      </c>
      <c r="Q98" s="14">
        <f t="shared" si="226"/>
        <v>14</v>
      </c>
      <c r="R98" s="14">
        <f t="shared" si="226"/>
        <v>15</v>
      </c>
      <c r="S98" s="14">
        <f t="shared" si="226"/>
        <v>16</v>
      </c>
      <c r="T98" s="14">
        <f t="shared" si="226"/>
        <v>17</v>
      </c>
      <c r="U98" s="14">
        <f t="shared" si="226"/>
        <v>18</v>
      </c>
      <c r="V98" s="14">
        <f t="shared" si="226"/>
        <v>19</v>
      </c>
      <c r="W98" s="14">
        <f t="shared" si="226"/>
        <v>20</v>
      </c>
      <c r="X98" s="14">
        <f t="shared" si="226"/>
        <v>21</v>
      </c>
      <c r="Y98" s="14">
        <f t="shared" si="226"/>
        <v>22</v>
      </c>
      <c r="Z98" s="14">
        <f t="shared" si="226"/>
        <v>23</v>
      </c>
      <c r="AA98" s="14">
        <f t="shared" si="226"/>
        <v>24</v>
      </c>
    </row>
    <row r="99" spans="1:27" ht="15.75" hidden="1" x14ac:dyDescent="0.25">
      <c r="A99" s="81">
        <f t="shared" ref="A99:A108" si="227">A69</f>
        <v>1</v>
      </c>
      <c r="B99" s="25">
        <v>10</v>
      </c>
      <c r="C99" s="3"/>
      <c r="D99" s="83">
        <f>($C$23/$B99)</f>
        <v>0</v>
      </c>
      <c r="E99" s="83">
        <f>IF(E98&gt;$B99,0,$C$23/$B99)</f>
        <v>0</v>
      </c>
      <c r="F99" s="83">
        <f>IF(F98&gt;$B99,0,$C$23/$B99)</f>
        <v>0</v>
      </c>
      <c r="G99" s="83">
        <f>IF(G98&gt;$B99,0,$C$23/$B99)</f>
        <v>0</v>
      </c>
      <c r="H99" s="83">
        <f>IF(H98&gt;$B99,0,$C$23/$B99)</f>
        <v>0</v>
      </c>
      <c r="I99" s="83">
        <f t="shared" ref="I99:M99" si="228">IF(I98&gt;$B99,0,$C$15/$B99)</f>
        <v>12041772.1</v>
      </c>
      <c r="J99" s="83">
        <f t="shared" si="228"/>
        <v>12041772.1</v>
      </c>
      <c r="K99" s="83">
        <f t="shared" si="228"/>
        <v>12041772.1</v>
      </c>
      <c r="L99" s="83">
        <f t="shared" si="228"/>
        <v>12041772.1</v>
      </c>
      <c r="M99" s="83">
        <f t="shared" si="228"/>
        <v>12041772.1</v>
      </c>
      <c r="N99" s="83">
        <f t="shared" ref="N99:W99" si="229">IF(N98&gt;$B99,0,$C$15/$B99)</f>
        <v>0</v>
      </c>
      <c r="O99" s="83">
        <f t="shared" si="229"/>
        <v>0</v>
      </c>
      <c r="P99" s="83">
        <f t="shared" si="229"/>
        <v>0</v>
      </c>
      <c r="Q99" s="83">
        <f t="shared" si="229"/>
        <v>0</v>
      </c>
      <c r="R99" s="83">
        <f t="shared" si="229"/>
        <v>0</v>
      </c>
      <c r="S99" s="83">
        <f t="shared" si="229"/>
        <v>0</v>
      </c>
      <c r="T99" s="83">
        <f t="shared" si="229"/>
        <v>0</v>
      </c>
      <c r="U99" s="83">
        <f t="shared" si="229"/>
        <v>0</v>
      </c>
      <c r="V99" s="83">
        <f t="shared" si="229"/>
        <v>0</v>
      </c>
      <c r="W99" s="83">
        <f t="shared" si="229"/>
        <v>0</v>
      </c>
      <c r="X99" s="83">
        <f t="shared" ref="X99:AA99" si="230">IF(X98&gt;$B99,0,$C$15/$B99)</f>
        <v>0</v>
      </c>
      <c r="Y99" s="83">
        <f t="shared" si="230"/>
        <v>0</v>
      </c>
      <c r="Z99" s="83">
        <f t="shared" si="230"/>
        <v>0</v>
      </c>
      <c r="AA99" s="83">
        <f t="shared" si="230"/>
        <v>0</v>
      </c>
    </row>
    <row r="100" spans="1:27" ht="15.75" hidden="1" x14ac:dyDescent="0.25">
      <c r="A100" s="81">
        <f t="shared" si="227"/>
        <v>2</v>
      </c>
      <c r="B100" s="25">
        <v>5</v>
      </c>
      <c r="C100" s="59"/>
      <c r="D100" s="59"/>
      <c r="E100" s="83">
        <f t="shared" ref="E100:AA100" si="231">IF((E$98-$D$98)&gt;$B100,0,$D$15/$B100)</f>
        <v>0</v>
      </c>
      <c r="F100" s="83">
        <f t="shared" si="231"/>
        <v>0</v>
      </c>
      <c r="G100" s="83">
        <f t="shared" si="231"/>
        <v>0</v>
      </c>
      <c r="H100" s="83">
        <f t="shared" si="231"/>
        <v>0</v>
      </c>
      <c r="I100" s="83">
        <f t="shared" si="231"/>
        <v>0</v>
      </c>
      <c r="J100" s="83">
        <f t="shared" si="231"/>
        <v>0</v>
      </c>
      <c r="K100" s="83">
        <f t="shared" si="231"/>
        <v>0</v>
      </c>
      <c r="L100" s="83">
        <f t="shared" si="231"/>
        <v>0</v>
      </c>
      <c r="M100" s="83">
        <f t="shared" si="231"/>
        <v>0</v>
      </c>
      <c r="N100" s="83">
        <f t="shared" si="231"/>
        <v>0</v>
      </c>
      <c r="O100" s="83">
        <f t="shared" si="231"/>
        <v>0</v>
      </c>
      <c r="P100" s="83">
        <f t="shared" si="231"/>
        <v>0</v>
      </c>
      <c r="Q100" s="83">
        <f t="shared" si="231"/>
        <v>0</v>
      </c>
      <c r="R100" s="83">
        <f t="shared" si="231"/>
        <v>0</v>
      </c>
      <c r="S100" s="83">
        <f t="shared" si="231"/>
        <v>0</v>
      </c>
      <c r="T100" s="83">
        <f t="shared" si="231"/>
        <v>0</v>
      </c>
      <c r="U100" s="83">
        <f t="shared" si="231"/>
        <v>0</v>
      </c>
      <c r="V100" s="83">
        <f t="shared" si="231"/>
        <v>0</v>
      </c>
      <c r="W100" s="83">
        <f t="shared" si="231"/>
        <v>0</v>
      </c>
      <c r="X100" s="83">
        <f t="shared" si="231"/>
        <v>0</v>
      </c>
      <c r="Y100" s="83">
        <f t="shared" si="231"/>
        <v>0</v>
      </c>
      <c r="Z100" s="83">
        <f t="shared" si="231"/>
        <v>0</v>
      </c>
      <c r="AA100" s="83">
        <f t="shared" si="231"/>
        <v>0</v>
      </c>
    </row>
    <row r="101" spans="1:27" ht="15.75" hidden="1" x14ac:dyDescent="0.25">
      <c r="A101" s="81">
        <f t="shared" si="227"/>
        <v>3</v>
      </c>
      <c r="B101" s="25">
        <v>5</v>
      </c>
      <c r="C101" s="59"/>
      <c r="D101" s="59"/>
      <c r="E101" s="59"/>
      <c r="F101" s="83">
        <f t="shared" ref="F101:AA101" si="232">IF((F$98-$E$98)&gt;$B101,0,$E$15/$B101)</f>
        <v>0</v>
      </c>
      <c r="G101" s="83">
        <f t="shared" si="232"/>
        <v>0</v>
      </c>
      <c r="H101" s="83">
        <f t="shared" si="232"/>
        <v>0</v>
      </c>
      <c r="I101" s="83">
        <f t="shared" si="232"/>
        <v>0</v>
      </c>
      <c r="J101" s="83">
        <f t="shared" si="232"/>
        <v>0</v>
      </c>
      <c r="K101" s="83">
        <f t="shared" si="232"/>
        <v>0</v>
      </c>
      <c r="L101" s="83">
        <f t="shared" si="232"/>
        <v>0</v>
      </c>
      <c r="M101" s="83">
        <f t="shared" si="232"/>
        <v>0</v>
      </c>
      <c r="N101" s="83">
        <f t="shared" si="232"/>
        <v>0</v>
      </c>
      <c r="O101" s="83">
        <f t="shared" si="232"/>
        <v>0</v>
      </c>
      <c r="P101" s="83">
        <f t="shared" si="232"/>
        <v>0</v>
      </c>
      <c r="Q101" s="83">
        <f t="shared" si="232"/>
        <v>0</v>
      </c>
      <c r="R101" s="83">
        <f t="shared" si="232"/>
        <v>0</v>
      </c>
      <c r="S101" s="83">
        <f t="shared" si="232"/>
        <v>0</v>
      </c>
      <c r="T101" s="83">
        <f t="shared" si="232"/>
        <v>0</v>
      </c>
      <c r="U101" s="83">
        <f t="shared" si="232"/>
        <v>0</v>
      </c>
      <c r="V101" s="83">
        <f t="shared" si="232"/>
        <v>0</v>
      </c>
      <c r="W101" s="83">
        <f t="shared" si="232"/>
        <v>0</v>
      </c>
      <c r="X101" s="83">
        <f t="shared" si="232"/>
        <v>0</v>
      </c>
      <c r="Y101" s="83">
        <f t="shared" si="232"/>
        <v>0</v>
      </c>
      <c r="Z101" s="83">
        <f t="shared" si="232"/>
        <v>0</v>
      </c>
      <c r="AA101" s="83">
        <f t="shared" si="232"/>
        <v>0</v>
      </c>
    </row>
    <row r="102" spans="1:27" ht="15.75" hidden="1" x14ac:dyDescent="0.25">
      <c r="A102" s="81">
        <f t="shared" si="227"/>
        <v>4</v>
      </c>
      <c r="B102" s="25">
        <v>5</v>
      </c>
      <c r="C102" s="59"/>
      <c r="D102" s="59"/>
      <c r="E102" s="59"/>
      <c r="F102" s="59"/>
      <c r="G102" s="83">
        <f t="shared" ref="G102:AA102" si="233">IF((G$98-$F$98)&gt;$B102,0,$F$15/$B102)</f>
        <v>0</v>
      </c>
      <c r="H102" s="83">
        <f t="shared" si="233"/>
        <v>0</v>
      </c>
      <c r="I102" s="83">
        <f t="shared" si="233"/>
        <v>0</v>
      </c>
      <c r="J102" s="83">
        <f t="shared" si="233"/>
        <v>0</v>
      </c>
      <c r="K102" s="83">
        <f t="shared" si="233"/>
        <v>0</v>
      </c>
      <c r="L102" s="83">
        <f t="shared" si="233"/>
        <v>0</v>
      </c>
      <c r="M102" s="83">
        <f t="shared" si="233"/>
        <v>0</v>
      </c>
      <c r="N102" s="83">
        <f t="shared" si="233"/>
        <v>0</v>
      </c>
      <c r="O102" s="83">
        <f t="shared" si="233"/>
        <v>0</v>
      </c>
      <c r="P102" s="83">
        <f t="shared" si="233"/>
        <v>0</v>
      </c>
      <c r="Q102" s="83">
        <f t="shared" si="233"/>
        <v>0</v>
      </c>
      <c r="R102" s="83">
        <f t="shared" si="233"/>
        <v>0</v>
      </c>
      <c r="S102" s="83">
        <f t="shared" si="233"/>
        <v>0</v>
      </c>
      <c r="T102" s="83">
        <f t="shared" si="233"/>
        <v>0</v>
      </c>
      <c r="U102" s="83">
        <f t="shared" si="233"/>
        <v>0</v>
      </c>
      <c r="V102" s="83">
        <f t="shared" si="233"/>
        <v>0</v>
      </c>
      <c r="W102" s="83">
        <f t="shared" si="233"/>
        <v>0</v>
      </c>
      <c r="X102" s="83">
        <f t="shared" si="233"/>
        <v>0</v>
      </c>
      <c r="Y102" s="83">
        <f t="shared" si="233"/>
        <v>0</v>
      </c>
      <c r="Z102" s="83">
        <f t="shared" si="233"/>
        <v>0</v>
      </c>
      <c r="AA102" s="83">
        <f t="shared" si="233"/>
        <v>0</v>
      </c>
    </row>
    <row r="103" spans="1:27" ht="15.75" hidden="1" x14ac:dyDescent="0.25">
      <c r="A103" s="81">
        <f t="shared" si="227"/>
        <v>5</v>
      </c>
      <c r="B103" s="25">
        <v>5</v>
      </c>
      <c r="C103" s="59"/>
      <c r="D103" s="59"/>
      <c r="E103" s="59"/>
      <c r="F103" s="59"/>
      <c r="G103" s="59"/>
      <c r="H103" s="83">
        <f t="shared" ref="H103:AA103" si="234">IF((H$98-$G$98)&gt;$B103,0,$G$15/$B103)</f>
        <v>0</v>
      </c>
      <c r="I103" s="83">
        <f t="shared" si="234"/>
        <v>0</v>
      </c>
      <c r="J103" s="83">
        <f t="shared" si="234"/>
        <v>0</v>
      </c>
      <c r="K103" s="83">
        <f t="shared" si="234"/>
        <v>0</v>
      </c>
      <c r="L103" s="83">
        <f t="shared" si="234"/>
        <v>0</v>
      </c>
      <c r="M103" s="83">
        <f t="shared" si="234"/>
        <v>0</v>
      </c>
      <c r="N103" s="83">
        <f t="shared" si="234"/>
        <v>0</v>
      </c>
      <c r="O103" s="83">
        <f t="shared" si="234"/>
        <v>0</v>
      </c>
      <c r="P103" s="83">
        <f t="shared" si="234"/>
        <v>0</v>
      </c>
      <c r="Q103" s="83">
        <f t="shared" si="234"/>
        <v>0</v>
      </c>
      <c r="R103" s="83">
        <f t="shared" si="234"/>
        <v>0</v>
      </c>
      <c r="S103" s="83">
        <f t="shared" si="234"/>
        <v>0</v>
      </c>
      <c r="T103" s="83">
        <f t="shared" si="234"/>
        <v>0</v>
      </c>
      <c r="U103" s="83">
        <f t="shared" si="234"/>
        <v>0</v>
      </c>
      <c r="V103" s="83">
        <f t="shared" si="234"/>
        <v>0</v>
      </c>
      <c r="W103" s="83">
        <f t="shared" si="234"/>
        <v>0</v>
      </c>
      <c r="X103" s="83">
        <f t="shared" si="234"/>
        <v>0</v>
      </c>
      <c r="Y103" s="83">
        <f t="shared" si="234"/>
        <v>0</v>
      </c>
      <c r="Z103" s="83">
        <f t="shared" si="234"/>
        <v>0</v>
      </c>
      <c r="AA103" s="83">
        <f t="shared" si="234"/>
        <v>0</v>
      </c>
    </row>
    <row r="104" spans="1:27" ht="15.75" hidden="1" x14ac:dyDescent="0.25">
      <c r="A104" s="81">
        <f t="shared" si="227"/>
        <v>6</v>
      </c>
      <c r="B104" s="25">
        <v>5</v>
      </c>
      <c r="C104" s="59"/>
      <c r="D104" s="59"/>
      <c r="E104" s="59"/>
      <c r="F104" s="59"/>
      <c r="G104" s="59"/>
      <c r="H104" s="59"/>
      <c r="I104" s="83">
        <f t="shared" ref="I104:AA104" si="235">IF((I$98-$H$98)&gt;$B104,0,$H$15/$B104)</f>
        <v>0</v>
      </c>
      <c r="J104" s="83">
        <f t="shared" si="235"/>
        <v>0</v>
      </c>
      <c r="K104" s="83">
        <f t="shared" si="235"/>
        <v>0</v>
      </c>
      <c r="L104" s="83">
        <f t="shared" si="235"/>
        <v>0</v>
      </c>
      <c r="M104" s="83">
        <f t="shared" si="235"/>
        <v>0</v>
      </c>
      <c r="N104" s="83">
        <f t="shared" si="235"/>
        <v>0</v>
      </c>
      <c r="O104" s="83">
        <f t="shared" si="235"/>
        <v>0</v>
      </c>
      <c r="P104" s="83">
        <f t="shared" si="235"/>
        <v>0</v>
      </c>
      <c r="Q104" s="83">
        <f t="shared" si="235"/>
        <v>0</v>
      </c>
      <c r="R104" s="83">
        <f t="shared" si="235"/>
        <v>0</v>
      </c>
      <c r="S104" s="83">
        <f t="shared" si="235"/>
        <v>0</v>
      </c>
      <c r="T104" s="83">
        <f t="shared" si="235"/>
        <v>0</v>
      </c>
      <c r="U104" s="83">
        <f t="shared" si="235"/>
        <v>0</v>
      </c>
      <c r="V104" s="83">
        <f t="shared" si="235"/>
        <v>0</v>
      </c>
      <c r="W104" s="83">
        <f t="shared" si="235"/>
        <v>0</v>
      </c>
      <c r="X104" s="83">
        <f t="shared" si="235"/>
        <v>0</v>
      </c>
      <c r="Y104" s="83">
        <f t="shared" si="235"/>
        <v>0</v>
      </c>
      <c r="Z104" s="83">
        <f t="shared" si="235"/>
        <v>0</v>
      </c>
      <c r="AA104" s="83">
        <f t="shared" si="235"/>
        <v>0</v>
      </c>
    </row>
    <row r="105" spans="1:27" ht="15.75" hidden="1" x14ac:dyDescent="0.25">
      <c r="A105" s="81">
        <f t="shared" si="227"/>
        <v>7</v>
      </c>
      <c r="B105" s="25">
        <v>5</v>
      </c>
      <c r="C105" s="59"/>
      <c r="D105" s="59"/>
      <c r="E105" s="59"/>
      <c r="F105" s="59"/>
      <c r="G105" s="59"/>
      <c r="H105" s="59"/>
      <c r="I105" s="59"/>
      <c r="J105" s="83">
        <f t="shared" ref="J105:AA105" si="236">IF((J$98-$I$98)&gt;$B105,0,$I$15/$B105)</f>
        <v>0</v>
      </c>
      <c r="K105" s="83">
        <f t="shared" si="236"/>
        <v>0</v>
      </c>
      <c r="L105" s="83">
        <f t="shared" si="236"/>
        <v>0</v>
      </c>
      <c r="M105" s="83">
        <f t="shared" si="236"/>
        <v>0</v>
      </c>
      <c r="N105" s="83">
        <f t="shared" si="236"/>
        <v>0</v>
      </c>
      <c r="O105" s="83">
        <f t="shared" si="236"/>
        <v>0</v>
      </c>
      <c r="P105" s="83">
        <f t="shared" si="236"/>
        <v>0</v>
      </c>
      <c r="Q105" s="83">
        <f t="shared" si="236"/>
        <v>0</v>
      </c>
      <c r="R105" s="83">
        <f t="shared" si="236"/>
        <v>0</v>
      </c>
      <c r="S105" s="83">
        <f t="shared" si="236"/>
        <v>0</v>
      </c>
      <c r="T105" s="83">
        <f t="shared" si="236"/>
        <v>0</v>
      </c>
      <c r="U105" s="83">
        <f t="shared" si="236"/>
        <v>0</v>
      </c>
      <c r="V105" s="83">
        <f t="shared" si="236"/>
        <v>0</v>
      </c>
      <c r="W105" s="83">
        <f t="shared" si="236"/>
        <v>0</v>
      </c>
      <c r="X105" s="83">
        <f t="shared" si="236"/>
        <v>0</v>
      </c>
      <c r="Y105" s="83">
        <f t="shared" si="236"/>
        <v>0</v>
      </c>
      <c r="Z105" s="83">
        <f t="shared" si="236"/>
        <v>0</v>
      </c>
      <c r="AA105" s="83">
        <f t="shared" si="236"/>
        <v>0</v>
      </c>
    </row>
    <row r="106" spans="1:27" ht="15.75" hidden="1" x14ac:dyDescent="0.25">
      <c r="A106" s="81">
        <f t="shared" si="227"/>
        <v>8</v>
      </c>
      <c r="B106" s="25">
        <v>5</v>
      </c>
      <c r="C106" s="59"/>
      <c r="D106" s="59"/>
      <c r="E106" s="59"/>
      <c r="F106" s="59"/>
      <c r="G106" s="59"/>
      <c r="H106" s="59"/>
      <c r="I106" s="59"/>
      <c r="J106" s="59"/>
      <c r="K106" s="83">
        <f t="shared" ref="K106:AA106" si="237">IF((K$98-$J$98)&gt;$B106,0,$J$15/$B106)</f>
        <v>0</v>
      </c>
      <c r="L106" s="83">
        <f t="shared" si="237"/>
        <v>0</v>
      </c>
      <c r="M106" s="83">
        <f t="shared" si="237"/>
        <v>0</v>
      </c>
      <c r="N106" s="83">
        <f t="shared" si="237"/>
        <v>0</v>
      </c>
      <c r="O106" s="83">
        <f t="shared" si="237"/>
        <v>0</v>
      </c>
      <c r="P106" s="83">
        <f t="shared" si="237"/>
        <v>0</v>
      </c>
      <c r="Q106" s="83">
        <f t="shared" si="237"/>
        <v>0</v>
      </c>
      <c r="R106" s="83">
        <f t="shared" si="237"/>
        <v>0</v>
      </c>
      <c r="S106" s="83">
        <f t="shared" si="237"/>
        <v>0</v>
      </c>
      <c r="T106" s="83">
        <f t="shared" si="237"/>
        <v>0</v>
      </c>
      <c r="U106" s="83">
        <f t="shared" si="237"/>
        <v>0</v>
      </c>
      <c r="V106" s="83">
        <f t="shared" si="237"/>
        <v>0</v>
      </c>
      <c r="W106" s="83">
        <f t="shared" si="237"/>
        <v>0</v>
      </c>
      <c r="X106" s="83">
        <f t="shared" si="237"/>
        <v>0</v>
      </c>
      <c r="Y106" s="83">
        <f t="shared" si="237"/>
        <v>0</v>
      </c>
      <c r="Z106" s="83">
        <f t="shared" si="237"/>
        <v>0</v>
      </c>
      <c r="AA106" s="83">
        <f t="shared" si="237"/>
        <v>0</v>
      </c>
    </row>
    <row r="107" spans="1:27" ht="15.75" hidden="1" x14ac:dyDescent="0.25">
      <c r="A107" s="81">
        <f t="shared" si="227"/>
        <v>9</v>
      </c>
      <c r="B107" s="25">
        <v>5</v>
      </c>
      <c r="C107" s="59"/>
      <c r="D107" s="59"/>
      <c r="E107" s="59"/>
      <c r="F107" s="59"/>
      <c r="G107" s="59"/>
      <c r="H107" s="59"/>
      <c r="I107" s="59"/>
      <c r="J107" s="59"/>
      <c r="K107" s="83"/>
      <c r="L107" s="83">
        <f t="shared" ref="L107:AA107" si="238">IF((L$98-$K$98)&gt;$B107,0,$K$15/$B107)</f>
        <v>0</v>
      </c>
      <c r="M107" s="83">
        <f t="shared" si="238"/>
        <v>0</v>
      </c>
      <c r="N107" s="83">
        <f t="shared" si="238"/>
        <v>0</v>
      </c>
      <c r="O107" s="83">
        <f t="shared" si="238"/>
        <v>0</v>
      </c>
      <c r="P107" s="83">
        <f t="shared" si="238"/>
        <v>0</v>
      </c>
      <c r="Q107" s="83">
        <f t="shared" si="238"/>
        <v>0</v>
      </c>
      <c r="R107" s="83">
        <f t="shared" si="238"/>
        <v>0</v>
      </c>
      <c r="S107" s="83">
        <f t="shared" si="238"/>
        <v>0</v>
      </c>
      <c r="T107" s="83">
        <f t="shared" si="238"/>
        <v>0</v>
      </c>
      <c r="U107" s="83">
        <f t="shared" si="238"/>
        <v>0</v>
      </c>
      <c r="V107" s="83">
        <f t="shared" si="238"/>
        <v>0</v>
      </c>
      <c r="W107" s="83">
        <f t="shared" si="238"/>
        <v>0</v>
      </c>
      <c r="X107" s="83">
        <f t="shared" si="238"/>
        <v>0</v>
      </c>
      <c r="Y107" s="83">
        <f t="shared" si="238"/>
        <v>0</v>
      </c>
      <c r="Z107" s="83">
        <f t="shared" si="238"/>
        <v>0</v>
      </c>
      <c r="AA107" s="83">
        <f t="shared" si="238"/>
        <v>0</v>
      </c>
    </row>
    <row r="108" spans="1:27" ht="15.75" hidden="1" x14ac:dyDescent="0.25">
      <c r="A108" s="81">
        <f t="shared" si="227"/>
        <v>10</v>
      </c>
      <c r="B108" s="25">
        <v>5</v>
      </c>
      <c r="C108" s="59"/>
      <c r="D108" s="59"/>
      <c r="E108" s="59"/>
      <c r="F108" s="59"/>
      <c r="G108" s="59"/>
      <c r="H108" s="59"/>
      <c r="I108" s="59"/>
      <c r="J108" s="59"/>
      <c r="K108" s="83"/>
      <c r="L108" s="83"/>
      <c r="M108" s="83">
        <f t="shared" ref="M108:AA108" si="239">IF((M$98-$L$98)&gt;$B108,0,$L$15/$B108)</f>
        <v>0</v>
      </c>
      <c r="N108" s="83">
        <f t="shared" si="239"/>
        <v>0</v>
      </c>
      <c r="O108" s="83">
        <f t="shared" si="239"/>
        <v>0</v>
      </c>
      <c r="P108" s="83">
        <f t="shared" si="239"/>
        <v>0</v>
      </c>
      <c r="Q108" s="83">
        <f t="shared" si="239"/>
        <v>0</v>
      </c>
      <c r="R108" s="83">
        <f t="shared" si="239"/>
        <v>0</v>
      </c>
      <c r="S108" s="83">
        <f t="shared" si="239"/>
        <v>0</v>
      </c>
      <c r="T108" s="83">
        <f t="shared" si="239"/>
        <v>0</v>
      </c>
      <c r="U108" s="83">
        <f t="shared" si="239"/>
        <v>0</v>
      </c>
      <c r="V108" s="83">
        <f t="shared" si="239"/>
        <v>0</v>
      </c>
      <c r="W108" s="83">
        <f t="shared" si="239"/>
        <v>0</v>
      </c>
      <c r="X108" s="83">
        <f t="shared" si="239"/>
        <v>0</v>
      </c>
      <c r="Y108" s="83">
        <f t="shared" si="239"/>
        <v>0</v>
      </c>
      <c r="Z108" s="83">
        <f t="shared" si="239"/>
        <v>0</v>
      </c>
      <c r="AA108" s="83">
        <f t="shared" si="239"/>
        <v>0</v>
      </c>
    </row>
    <row r="109" spans="1:27" ht="15.75" hidden="1" x14ac:dyDescent="0.25">
      <c r="A109" s="81">
        <v>11</v>
      </c>
      <c r="B109" s="25">
        <v>5</v>
      </c>
      <c r="C109" s="59"/>
      <c r="D109" s="59"/>
      <c r="E109" s="59"/>
      <c r="F109" s="59"/>
      <c r="G109" s="59"/>
      <c r="H109" s="59"/>
      <c r="I109" s="59"/>
      <c r="J109" s="59"/>
      <c r="K109" s="83"/>
      <c r="L109" s="83"/>
      <c r="M109" s="83"/>
      <c r="N109" s="83">
        <f t="shared" ref="N109:AA109" si="240">IF((N$98-$M$98)&gt;$B109,0,$M$15/$B109)</f>
        <v>0</v>
      </c>
      <c r="O109" s="83">
        <f t="shared" si="240"/>
        <v>0</v>
      </c>
      <c r="P109" s="83">
        <f t="shared" si="240"/>
        <v>0</v>
      </c>
      <c r="Q109" s="83">
        <f t="shared" si="240"/>
        <v>0</v>
      </c>
      <c r="R109" s="83">
        <f t="shared" si="240"/>
        <v>0</v>
      </c>
      <c r="S109" s="83">
        <f t="shared" si="240"/>
        <v>0</v>
      </c>
      <c r="T109" s="83">
        <f t="shared" si="240"/>
        <v>0</v>
      </c>
      <c r="U109" s="83">
        <f t="shared" si="240"/>
        <v>0</v>
      </c>
      <c r="V109" s="83">
        <f t="shared" si="240"/>
        <v>0</v>
      </c>
      <c r="W109" s="83">
        <f t="shared" si="240"/>
        <v>0</v>
      </c>
      <c r="X109" s="83">
        <f t="shared" si="240"/>
        <v>0</v>
      </c>
      <c r="Y109" s="83">
        <f t="shared" si="240"/>
        <v>0</v>
      </c>
      <c r="Z109" s="83">
        <f t="shared" si="240"/>
        <v>0</v>
      </c>
      <c r="AA109" s="83">
        <f t="shared" si="240"/>
        <v>0</v>
      </c>
    </row>
    <row r="110" spans="1:27" ht="15.75" hidden="1" x14ac:dyDescent="0.25">
      <c r="A110" s="81">
        <v>12</v>
      </c>
      <c r="B110" s="25">
        <v>5</v>
      </c>
      <c r="C110" s="59"/>
      <c r="D110" s="59"/>
      <c r="E110" s="59"/>
      <c r="F110" s="59"/>
      <c r="G110" s="59"/>
      <c r="H110" s="59"/>
      <c r="I110" s="59"/>
      <c r="J110" s="59"/>
      <c r="K110" s="83"/>
      <c r="L110" s="83"/>
      <c r="M110" s="83"/>
      <c r="N110" s="83"/>
      <c r="O110" s="83">
        <f t="shared" ref="O110:AA110" si="241">IF((O$98-$N$98)&gt;$B110,0,$N$15/$B110)</f>
        <v>0</v>
      </c>
      <c r="P110" s="83">
        <f t="shared" si="241"/>
        <v>0</v>
      </c>
      <c r="Q110" s="83">
        <f t="shared" si="241"/>
        <v>0</v>
      </c>
      <c r="R110" s="83">
        <f t="shared" si="241"/>
        <v>0</v>
      </c>
      <c r="S110" s="83">
        <f t="shared" si="241"/>
        <v>0</v>
      </c>
      <c r="T110" s="83">
        <f t="shared" si="241"/>
        <v>0</v>
      </c>
      <c r="U110" s="83">
        <f t="shared" si="241"/>
        <v>0</v>
      </c>
      <c r="V110" s="83">
        <f t="shared" si="241"/>
        <v>0</v>
      </c>
      <c r="W110" s="83">
        <f t="shared" si="241"/>
        <v>0</v>
      </c>
      <c r="X110" s="83">
        <f t="shared" si="241"/>
        <v>0</v>
      </c>
      <c r="Y110" s="83">
        <f t="shared" si="241"/>
        <v>0</v>
      </c>
      <c r="Z110" s="83">
        <f t="shared" si="241"/>
        <v>0</v>
      </c>
      <c r="AA110" s="83">
        <f t="shared" si="241"/>
        <v>0</v>
      </c>
    </row>
    <row r="111" spans="1:27" ht="15.75" hidden="1" x14ac:dyDescent="0.25">
      <c r="A111" s="81">
        <v>13</v>
      </c>
      <c r="B111" s="25">
        <v>5</v>
      </c>
      <c r="C111" s="59"/>
      <c r="D111" s="59"/>
      <c r="E111" s="59"/>
      <c r="F111" s="59"/>
      <c r="G111" s="59"/>
      <c r="H111" s="59"/>
      <c r="I111" s="59"/>
      <c r="J111" s="59"/>
      <c r="K111" s="83"/>
      <c r="L111" s="83"/>
      <c r="M111" s="83"/>
      <c r="N111" s="83"/>
      <c r="O111" s="83"/>
      <c r="P111" s="83">
        <f t="shared" ref="P111:AA111" si="242">IF((P$98-$O$98)&gt;$B111,0,$O$15/$B111)</f>
        <v>0</v>
      </c>
      <c r="Q111" s="83">
        <f t="shared" si="242"/>
        <v>0</v>
      </c>
      <c r="R111" s="83">
        <f t="shared" si="242"/>
        <v>0</v>
      </c>
      <c r="S111" s="83">
        <f t="shared" si="242"/>
        <v>0</v>
      </c>
      <c r="T111" s="83">
        <f t="shared" si="242"/>
        <v>0</v>
      </c>
      <c r="U111" s="83">
        <f t="shared" si="242"/>
        <v>0</v>
      </c>
      <c r="V111" s="83">
        <f t="shared" si="242"/>
        <v>0</v>
      </c>
      <c r="W111" s="83">
        <f t="shared" si="242"/>
        <v>0</v>
      </c>
      <c r="X111" s="83">
        <f t="shared" si="242"/>
        <v>0</v>
      </c>
      <c r="Y111" s="83">
        <f t="shared" si="242"/>
        <v>0</v>
      </c>
      <c r="Z111" s="83">
        <f t="shared" si="242"/>
        <v>0</v>
      </c>
      <c r="AA111" s="83">
        <f t="shared" si="242"/>
        <v>0</v>
      </c>
    </row>
    <row r="112" spans="1:27" ht="15.75" hidden="1" x14ac:dyDescent="0.25">
      <c r="A112" s="81">
        <v>14</v>
      </c>
      <c r="B112" s="25">
        <v>5</v>
      </c>
      <c r="C112" s="59"/>
      <c r="D112" s="59"/>
      <c r="E112" s="59"/>
      <c r="F112" s="59"/>
      <c r="G112" s="59"/>
      <c r="H112" s="59"/>
      <c r="I112" s="59"/>
      <c r="J112" s="59"/>
      <c r="K112" s="83"/>
      <c r="L112" s="83"/>
      <c r="M112" s="83"/>
      <c r="N112" s="83"/>
      <c r="O112" s="83"/>
      <c r="P112" s="83"/>
      <c r="Q112" s="83">
        <f t="shared" ref="Q112:AA112" si="243">IF((Q$98-$P$98)&gt;$B112,0,$P$15/$B112)</f>
        <v>0</v>
      </c>
      <c r="R112" s="83">
        <f t="shared" si="243"/>
        <v>0</v>
      </c>
      <c r="S112" s="83">
        <f t="shared" si="243"/>
        <v>0</v>
      </c>
      <c r="T112" s="83">
        <f t="shared" si="243"/>
        <v>0</v>
      </c>
      <c r="U112" s="83">
        <f t="shared" si="243"/>
        <v>0</v>
      </c>
      <c r="V112" s="83">
        <f t="shared" si="243"/>
        <v>0</v>
      </c>
      <c r="W112" s="83">
        <f t="shared" si="243"/>
        <v>0</v>
      </c>
      <c r="X112" s="83">
        <f t="shared" si="243"/>
        <v>0</v>
      </c>
      <c r="Y112" s="83">
        <f t="shared" si="243"/>
        <v>0</v>
      </c>
      <c r="Z112" s="83">
        <f t="shared" si="243"/>
        <v>0</v>
      </c>
      <c r="AA112" s="83">
        <f t="shared" si="243"/>
        <v>0</v>
      </c>
    </row>
    <row r="113" spans="1:27" ht="15.75" hidden="1" x14ac:dyDescent="0.25">
      <c r="A113" s="81">
        <v>15</v>
      </c>
      <c r="B113" s="25">
        <v>5</v>
      </c>
      <c r="C113" s="59"/>
      <c r="D113" s="59"/>
      <c r="E113" s="59"/>
      <c r="F113" s="59"/>
      <c r="G113" s="59"/>
      <c r="H113" s="59"/>
      <c r="I113" s="59"/>
      <c r="J113" s="59"/>
      <c r="K113" s="83"/>
      <c r="L113" s="83"/>
      <c r="M113" s="83"/>
      <c r="N113" s="83"/>
      <c r="O113" s="83"/>
      <c r="P113" s="83"/>
      <c r="Q113" s="83"/>
      <c r="R113" s="83">
        <f t="shared" ref="R113:AA113" si="244">IF((R$98-$Q$98)&gt;$B113,0,$Q$15/$B113)</f>
        <v>0</v>
      </c>
      <c r="S113" s="83">
        <f t="shared" si="244"/>
        <v>0</v>
      </c>
      <c r="T113" s="83">
        <f t="shared" si="244"/>
        <v>0</v>
      </c>
      <c r="U113" s="83">
        <f t="shared" si="244"/>
        <v>0</v>
      </c>
      <c r="V113" s="83">
        <f t="shared" si="244"/>
        <v>0</v>
      </c>
      <c r="W113" s="83">
        <f t="shared" si="244"/>
        <v>0</v>
      </c>
      <c r="X113" s="83">
        <f t="shared" si="244"/>
        <v>0</v>
      </c>
      <c r="Y113" s="83">
        <f t="shared" si="244"/>
        <v>0</v>
      </c>
      <c r="Z113" s="83">
        <f t="shared" si="244"/>
        <v>0</v>
      </c>
      <c r="AA113" s="83">
        <f t="shared" si="244"/>
        <v>0</v>
      </c>
    </row>
    <row r="114" spans="1:27" ht="15.75" hidden="1" x14ac:dyDescent="0.25">
      <c r="A114" s="81">
        <v>16</v>
      </c>
      <c r="B114" s="25">
        <v>5</v>
      </c>
      <c r="C114" s="59"/>
      <c r="D114" s="59"/>
      <c r="E114" s="59"/>
      <c r="F114" s="59"/>
      <c r="G114" s="59"/>
      <c r="H114" s="59"/>
      <c r="I114" s="59"/>
      <c r="J114" s="59"/>
      <c r="K114" s="83"/>
      <c r="L114" s="83"/>
      <c r="M114" s="83"/>
      <c r="N114" s="83"/>
      <c r="O114" s="83"/>
      <c r="P114" s="83"/>
      <c r="Q114" s="83"/>
      <c r="R114" s="83"/>
      <c r="S114" s="83">
        <f t="shared" ref="S114:AA114" si="245">IF((S$98-$R$98)&gt;$B114,0,$R$15/$B114)</f>
        <v>0</v>
      </c>
      <c r="T114" s="83">
        <f t="shared" si="245"/>
        <v>0</v>
      </c>
      <c r="U114" s="83">
        <f t="shared" si="245"/>
        <v>0</v>
      </c>
      <c r="V114" s="83">
        <f t="shared" si="245"/>
        <v>0</v>
      </c>
      <c r="W114" s="83">
        <f t="shared" si="245"/>
        <v>0</v>
      </c>
      <c r="X114" s="83">
        <f t="shared" si="245"/>
        <v>0</v>
      </c>
      <c r="Y114" s="83">
        <f t="shared" si="245"/>
        <v>0</v>
      </c>
      <c r="Z114" s="83">
        <f t="shared" si="245"/>
        <v>0</v>
      </c>
      <c r="AA114" s="83">
        <f t="shared" si="245"/>
        <v>0</v>
      </c>
    </row>
    <row r="115" spans="1:27" ht="15.75" hidden="1" x14ac:dyDescent="0.25">
      <c r="A115" s="81">
        <v>17</v>
      </c>
      <c r="B115" s="25">
        <v>5</v>
      </c>
      <c r="C115" s="59"/>
      <c r="D115" s="59"/>
      <c r="E115" s="59"/>
      <c r="F115" s="59"/>
      <c r="G115" s="59"/>
      <c r="H115" s="59"/>
      <c r="I115" s="59"/>
      <c r="J115" s="59"/>
      <c r="K115" s="83"/>
      <c r="L115" s="83"/>
      <c r="M115" s="83"/>
      <c r="N115" s="83"/>
      <c r="O115" s="83"/>
      <c r="P115" s="83"/>
      <c r="Q115" s="83"/>
      <c r="R115" s="83"/>
      <c r="S115" s="83"/>
      <c r="T115" s="83">
        <f t="shared" ref="T115:AA115" si="246">IF((T$98-$S$98)&gt;$B115,0,$S$15/$B115)</f>
        <v>0</v>
      </c>
      <c r="U115" s="83">
        <f t="shared" si="246"/>
        <v>0</v>
      </c>
      <c r="V115" s="83">
        <f t="shared" si="246"/>
        <v>0</v>
      </c>
      <c r="W115" s="83">
        <f t="shared" si="246"/>
        <v>0</v>
      </c>
      <c r="X115" s="83">
        <f t="shared" si="246"/>
        <v>0</v>
      </c>
      <c r="Y115" s="83">
        <f t="shared" si="246"/>
        <v>0</v>
      </c>
      <c r="Z115" s="83">
        <f t="shared" si="246"/>
        <v>0</v>
      </c>
      <c r="AA115" s="83">
        <f t="shared" si="246"/>
        <v>0</v>
      </c>
    </row>
    <row r="116" spans="1:27" ht="15.75" hidden="1" x14ac:dyDescent="0.25">
      <c r="A116" s="81">
        <v>18</v>
      </c>
      <c r="B116" s="25">
        <v>5</v>
      </c>
      <c r="C116" s="59"/>
      <c r="D116" s="59"/>
      <c r="E116" s="59"/>
      <c r="F116" s="59"/>
      <c r="G116" s="59"/>
      <c r="H116" s="59"/>
      <c r="I116" s="59"/>
      <c r="J116" s="59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>
        <f t="shared" ref="U116:AA116" si="247">IF((U$98-$T$98)&gt;$B116,0,$T$15/$B116)</f>
        <v>0</v>
      </c>
      <c r="V116" s="83">
        <f t="shared" si="247"/>
        <v>0</v>
      </c>
      <c r="W116" s="83">
        <f t="shared" si="247"/>
        <v>0</v>
      </c>
      <c r="X116" s="83">
        <f t="shared" si="247"/>
        <v>0</v>
      </c>
      <c r="Y116" s="83">
        <f t="shared" si="247"/>
        <v>0</v>
      </c>
      <c r="Z116" s="83">
        <f t="shared" si="247"/>
        <v>0</v>
      </c>
      <c r="AA116" s="83">
        <f t="shared" si="247"/>
        <v>0</v>
      </c>
    </row>
    <row r="117" spans="1:27" ht="15.75" hidden="1" x14ac:dyDescent="0.25">
      <c r="A117" s="81">
        <v>19</v>
      </c>
      <c r="B117" s="25">
        <v>5</v>
      </c>
      <c r="C117" s="59"/>
      <c r="D117" s="59"/>
      <c r="E117" s="59"/>
      <c r="F117" s="59"/>
      <c r="G117" s="59"/>
      <c r="H117" s="59"/>
      <c r="I117" s="59"/>
      <c r="J117" s="59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>
        <f t="shared" ref="V117:AA117" si="248">IF((V$98-$U$98)&gt;$B117,0,$U$15/$B117)</f>
        <v>0</v>
      </c>
      <c r="W117" s="83">
        <f t="shared" si="248"/>
        <v>0</v>
      </c>
      <c r="X117" s="83">
        <f t="shared" si="248"/>
        <v>0</v>
      </c>
      <c r="Y117" s="83">
        <f t="shared" si="248"/>
        <v>0</v>
      </c>
      <c r="Z117" s="83">
        <f t="shared" si="248"/>
        <v>0</v>
      </c>
      <c r="AA117" s="83">
        <f t="shared" si="248"/>
        <v>0</v>
      </c>
    </row>
    <row r="118" spans="1:27" ht="15.75" hidden="1" x14ac:dyDescent="0.25">
      <c r="A118" s="81">
        <v>20</v>
      </c>
      <c r="B118" s="25">
        <v>5</v>
      </c>
      <c r="C118" s="59"/>
      <c r="D118" s="59"/>
      <c r="E118" s="59"/>
      <c r="F118" s="59"/>
      <c r="G118" s="59"/>
      <c r="H118" s="59"/>
      <c r="I118" s="59"/>
      <c r="J118" s="59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>
        <f>IF((W$98-$V$98)&gt;$B118,0,$V$15/$B118)</f>
        <v>0</v>
      </c>
      <c r="X118" s="83">
        <f>IF((X$98-$V$98)&gt;$B118,0,$V$15/$B118)</f>
        <v>0</v>
      </c>
      <c r="Y118" s="83">
        <f>IF((Y$98-$V$98)&gt;$B118,0,$V$15/$B118)</f>
        <v>0</v>
      </c>
      <c r="Z118" s="83">
        <f>IF((Z$98-$V$98)&gt;$B118,0,$V$15/$B118)</f>
        <v>0</v>
      </c>
      <c r="AA118" s="83">
        <f>IF((AA$98-$V$98)&gt;$B118,0,$V$15/$B118)</f>
        <v>0</v>
      </c>
    </row>
    <row r="119" spans="1:27" ht="15.75" hidden="1" x14ac:dyDescent="0.25">
      <c r="A119" s="81">
        <v>21</v>
      </c>
      <c r="B119" s="25">
        <v>5</v>
      </c>
      <c r="C119" s="59"/>
      <c r="D119" s="59"/>
      <c r="E119" s="59"/>
      <c r="F119" s="59"/>
      <c r="G119" s="59"/>
      <c r="H119" s="59"/>
      <c r="I119" s="59"/>
      <c r="J119" s="59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>
        <f>IF((X$98-$W$98)&gt;$B119,0,$W$15/$B119)</f>
        <v>0</v>
      </c>
      <c r="Y119" s="83">
        <f>IF((Y$98-$W$98)&gt;$B119,0,$W$15/$B119)</f>
        <v>0</v>
      </c>
      <c r="Z119" s="83">
        <f>IF((Z$98-$W$98)&gt;$B119,0,$W$15/$B119)</f>
        <v>0</v>
      </c>
      <c r="AA119" s="83">
        <f>IF((AA$98-$W$98)&gt;$B119,0,$W$15/$B119)</f>
        <v>0</v>
      </c>
    </row>
    <row r="120" spans="1:27" ht="15.75" hidden="1" x14ac:dyDescent="0.25">
      <c r="A120" s="81">
        <v>22</v>
      </c>
      <c r="B120" s="25">
        <v>5</v>
      </c>
      <c r="C120" s="59"/>
      <c r="D120" s="59"/>
      <c r="E120" s="59"/>
      <c r="F120" s="59"/>
      <c r="G120" s="59"/>
      <c r="H120" s="59"/>
      <c r="I120" s="59"/>
      <c r="J120" s="59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>
        <f>IF((Y$98-$X$98)&gt;$B120,0,$X$15/$B120)</f>
        <v>0</v>
      </c>
      <c r="Z120" s="83">
        <f>IF((Z$98-$X$98)&gt;$B120,0,$X$15/$B120)</f>
        <v>0</v>
      </c>
      <c r="AA120" s="83">
        <f>IF((AA$98-$X$98)&gt;$B120,0,$X$15/$B120)</f>
        <v>0</v>
      </c>
    </row>
    <row r="121" spans="1:27" ht="15.75" hidden="1" x14ac:dyDescent="0.25">
      <c r="A121" s="81">
        <v>23</v>
      </c>
      <c r="B121" s="25">
        <v>5</v>
      </c>
      <c r="C121" s="59"/>
      <c r="D121" s="59"/>
      <c r="E121" s="59"/>
      <c r="F121" s="59"/>
      <c r="G121" s="59"/>
      <c r="H121" s="59"/>
      <c r="I121" s="59"/>
      <c r="J121" s="59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>
        <f>IF((Z$98-$Y$98)&gt;$B121,0,$Y$15/$B121)</f>
        <v>0</v>
      </c>
      <c r="AA121" s="83">
        <f>IF((AA$98-$Y$98)&gt;$B121,0,$Y$15/$B121)</f>
        <v>0</v>
      </c>
    </row>
    <row r="122" spans="1:27" ht="15.75" hidden="1" x14ac:dyDescent="0.25">
      <c r="A122" s="81">
        <v>24</v>
      </c>
      <c r="B122" s="25">
        <v>5</v>
      </c>
      <c r="C122" s="59"/>
      <c r="D122" s="59"/>
      <c r="E122" s="59"/>
      <c r="F122" s="59"/>
      <c r="G122" s="59"/>
      <c r="H122" s="59"/>
      <c r="I122" s="59"/>
      <c r="J122" s="59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>
        <f>IF((AA$98-$Z$98)&gt;$B122,0,$Z$15/$B122)</f>
        <v>0</v>
      </c>
    </row>
    <row r="123" spans="1:27" hidden="1" x14ac:dyDescent="0.25">
      <c r="A123" s="59" t="s">
        <v>95</v>
      </c>
      <c r="B123" s="59"/>
      <c r="C123" s="59"/>
      <c r="D123" s="490">
        <f t="shared" ref="D123:AA123" si="249">SUM(D99:D122)</f>
        <v>0</v>
      </c>
      <c r="E123" s="83">
        <f t="shared" si="249"/>
        <v>0</v>
      </c>
      <c r="F123" s="83">
        <f t="shared" si="249"/>
        <v>0</v>
      </c>
      <c r="G123" s="83">
        <f t="shared" si="249"/>
        <v>0</v>
      </c>
      <c r="H123" s="83">
        <f t="shared" si="249"/>
        <v>0</v>
      </c>
      <c r="I123" s="83">
        <f t="shared" si="249"/>
        <v>12041772.1</v>
      </c>
      <c r="J123" s="83">
        <f t="shared" si="249"/>
        <v>12041772.1</v>
      </c>
      <c r="K123" s="83">
        <f t="shared" si="249"/>
        <v>12041772.1</v>
      </c>
      <c r="L123" s="83">
        <f t="shared" si="249"/>
        <v>12041772.1</v>
      </c>
      <c r="M123" s="83">
        <f t="shared" si="249"/>
        <v>12041772.1</v>
      </c>
      <c r="N123" s="83">
        <f t="shared" si="249"/>
        <v>0</v>
      </c>
      <c r="O123" s="83">
        <f t="shared" si="249"/>
        <v>0</v>
      </c>
      <c r="P123" s="83">
        <f t="shared" si="249"/>
        <v>0</v>
      </c>
      <c r="Q123" s="83">
        <f t="shared" si="249"/>
        <v>0</v>
      </c>
      <c r="R123" s="83">
        <f t="shared" si="249"/>
        <v>0</v>
      </c>
      <c r="S123" s="83">
        <f t="shared" si="249"/>
        <v>0</v>
      </c>
      <c r="T123" s="83">
        <f t="shared" si="249"/>
        <v>0</v>
      </c>
      <c r="U123" s="83">
        <f t="shared" si="249"/>
        <v>0</v>
      </c>
      <c r="V123" s="83">
        <f t="shared" si="249"/>
        <v>0</v>
      </c>
      <c r="W123" s="83">
        <f t="shared" si="249"/>
        <v>0</v>
      </c>
      <c r="X123" s="83">
        <f t="shared" si="249"/>
        <v>0</v>
      </c>
      <c r="Y123" s="83">
        <f t="shared" si="249"/>
        <v>0</v>
      </c>
      <c r="Z123" s="83">
        <f t="shared" si="249"/>
        <v>0</v>
      </c>
      <c r="AA123" s="83">
        <f t="shared" si="249"/>
        <v>0</v>
      </c>
    </row>
    <row r="124" spans="1:27" hidden="1" x14ac:dyDescent="0.25">
      <c r="A124" s="59" t="s">
        <v>96</v>
      </c>
      <c r="B124" s="59"/>
      <c r="C124" s="59"/>
      <c r="D124" s="83">
        <f>D123</f>
        <v>0</v>
      </c>
      <c r="E124" s="83">
        <f>D124+E123</f>
        <v>0</v>
      </c>
      <c r="F124" s="83">
        <f t="shared" ref="F124:K124" si="250">E124+F123</f>
        <v>0</v>
      </c>
      <c r="G124" s="83">
        <f t="shared" si="250"/>
        <v>0</v>
      </c>
      <c r="H124" s="83">
        <f t="shared" si="250"/>
        <v>0</v>
      </c>
      <c r="I124" s="83">
        <f t="shared" si="250"/>
        <v>12041772.1</v>
      </c>
      <c r="J124" s="83">
        <f t="shared" si="250"/>
        <v>24083544.199999999</v>
      </c>
      <c r="K124" s="83">
        <f t="shared" si="250"/>
        <v>36125316.299999997</v>
      </c>
      <c r="L124" s="83">
        <f t="shared" ref="L124" si="251">K124+L123</f>
        <v>48167088.399999999</v>
      </c>
      <c r="M124" s="83">
        <f t="shared" ref="M124" si="252">L124+M123</f>
        <v>60208860.5</v>
      </c>
      <c r="N124" s="83">
        <f t="shared" ref="N124" si="253">M124+N123</f>
        <v>60208860.5</v>
      </c>
      <c r="O124" s="83">
        <f t="shared" ref="O124" si="254">N124+O123</f>
        <v>60208860.5</v>
      </c>
      <c r="P124" s="83">
        <f t="shared" ref="P124" si="255">O124+P123</f>
        <v>60208860.5</v>
      </c>
      <c r="Q124" s="83">
        <f t="shared" ref="Q124" si="256">P124+Q123</f>
        <v>60208860.5</v>
      </c>
      <c r="R124" s="83">
        <f t="shared" ref="R124" si="257">Q124+R123</f>
        <v>60208860.5</v>
      </c>
      <c r="S124" s="83">
        <f t="shared" ref="S124" si="258">R124+S123</f>
        <v>60208860.5</v>
      </c>
      <c r="T124" s="83">
        <f t="shared" ref="T124" si="259">S124+T123</f>
        <v>60208860.5</v>
      </c>
      <c r="U124" s="83">
        <f t="shared" ref="U124" si="260">T124+U123</f>
        <v>60208860.5</v>
      </c>
      <c r="V124" s="83">
        <f t="shared" ref="V124" si="261">U124+V123</f>
        <v>60208860.5</v>
      </c>
      <c r="W124" s="83">
        <f t="shared" ref="W124" si="262">V124+W123</f>
        <v>60208860.5</v>
      </c>
      <c r="X124" s="83">
        <f t="shared" ref="X124" si="263">W124+X123</f>
        <v>60208860.5</v>
      </c>
      <c r="Y124" s="83">
        <f t="shared" ref="Y124" si="264">X124+Y123</f>
        <v>60208860.5</v>
      </c>
      <c r="Z124" s="83">
        <f t="shared" ref="Z124" si="265">Y124+Z123</f>
        <v>60208860.5</v>
      </c>
      <c r="AA124" s="83">
        <f t="shared" ref="AA124" si="266">Z124+AA123</f>
        <v>60208860.5</v>
      </c>
    </row>
    <row r="125" spans="1:27" hidden="1" x14ac:dyDescent="0.25">
      <c r="A125" s="59" t="s">
        <v>98</v>
      </c>
      <c r="B125" s="59"/>
      <c r="C125" s="59"/>
      <c r="D125" s="83">
        <f>C22-D124</f>
        <v>53179715</v>
      </c>
      <c r="E125" s="83">
        <f>D22+D125-E123</f>
        <v>53179715</v>
      </c>
      <c r="F125" s="83">
        <f>E22+E125-F123</f>
        <v>53179715</v>
      </c>
      <c r="G125" s="83">
        <f>F22+F125-G123</f>
        <v>53179715</v>
      </c>
      <c r="H125" s="83">
        <f>G22+G125-H123</f>
        <v>53179715</v>
      </c>
      <c r="I125" s="83">
        <f t="shared" ref="I125:AA125" si="267">H15+H125-I123</f>
        <v>41137942.899999999</v>
      </c>
      <c r="J125" s="83">
        <f t="shared" si="267"/>
        <v>29096170.799999997</v>
      </c>
      <c r="K125" s="83">
        <f t="shared" si="267"/>
        <v>17054398.699999996</v>
      </c>
      <c r="L125" s="83">
        <f t="shared" si="267"/>
        <v>5012626.5999999959</v>
      </c>
      <c r="M125" s="83">
        <f t="shared" si="267"/>
        <v>-7029145.5000000037</v>
      </c>
      <c r="N125" s="83">
        <f t="shared" si="267"/>
        <v>-7029145.5000000037</v>
      </c>
      <c r="O125" s="83">
        <f t="shared" si="267"/>
        <v>-7029145.5000000037</v>
      </c>
      <c r="P125" s="83">
        <f t="shared" si="267"/>
        <v>-7029145.5000000037</v>
      </c>
      <c r="Q125" s="83">
        <f t="shared" si="267"/>
        <v>-7029145.5000000037</v>
      </c>
      <c r="R125" s="83">
        <f t="shared" si="267"/>
        <v>-7029145.5000000037</v>
      </c>
      <c r="S125" s="83">
        <f t="shared" si="267"/>
        <v>-7029145.5000000037</v>
      </c>
      <c r="T125" s="83">
        <f t="shared" si="267"/>
        <v>-7029145.5000000037</v>
      </c>
      <c r="U125" s="83">
        <f t="shared" si="267"/>
        <v>-7029145.5000000037</v>
      </c>
      <c r="V125" s="83">
        <f t="shared" si="267"/>
        <v>-7029145.5000000037</v>
      </c>
      <c r="W125" s="83">
        <f t="shared" si="267"/>
        <v>-7029145.5000000037</v>
      </c>
      <c r="X125" s="83">
        <f t="shared" si="267"/>
        <v>-7029145.5000000037</v>
      </c>
      <c r="Y125" s="83">
        <f t="shared" si="267"/>
        <v>-7029145.5000000037</v>
      </c>
      <c r="Z125" s="83">
        <f t="shared" si="267"/>
        <v>-7029145.5000000037</v>
      </c>
      <c r="AA125" s="83">
        <f t="shared" si="267"/>
        <v>-7029145.5000000037</v>
      </c>
    </row>
    <row r="126" spans="1:27" hidden="1" x14ac:dyDescent="0.25">
      <c r="A126" s="84"/>
      <c r="B126" s="84"/>
      <c r="C126" s="84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</row>
    <row r="127" spans="1:27" hidden="1" x14ac:dyDescent="0.25">
      <c r="A127" s="84"/>
      <c r="B127" s="84"/>
      <c r="C127" s="84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</row>
    <row r="128" spans="1:27" hidden="1" x14ac:dyDescent="0.25">
      <c r="A128" s="84"/>
      <c r="B128" s="84"/>
      <c r="C128" s="84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</row>
    <row r="129" spans="1:27" hidden="1" x14ac:dyDescent="0.25">
      <c r="A129" s="84"/>
      <c r="B129" s="84"/>
      <c r="C129" s="84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</row>
    <row r="130" spans="1:27" ht="23.25" hidden="1" x14ac:dyDescent="0.35">
      <c r="A130" s="459" t="s">
        <v>126</v>
      </c>
      <c r="B130" s="79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</row>
    <row r="131" spans="1:27" hidden="1" x14ac:dyDescent="0.25">
      <c r="A131" t="s">
        <v>123</v>
      </c>
      <c r="B131" s="105"/>
      <c r="C131" s="99"/>
      <c r="D131" s="87">
        <f>D15</f>
        <v>0</v>
      </c>
      <c r="E131" s="87">
        <f>E15</f>
        <v>0</v>
      </c>
      <c r="F131" s="87">
        <f>F15</f>
        <v>0</v>
      </c>
      <c r="G131" s="87">
        <f>G15</f>
        <v>0</v>
      </c>
      <c r="H131" s="87">
        <f>H15</f>
        <v>0</v>
      </c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</row>
    <row r="132" spans="1:27" ht="15.75" hidden="1" x14ac:dyDescent="0.25">
      <c r="B132" s="106"/>
      <c r="C132" s="88"/>
      <c r="D132" s="88"/>
      <c r="E132" s="88"/>
      <c r="F132" s="88"/>
      <c r="G132" s="88"/>
      <c r="H132" s="88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</row>
    <row r="133" spans="1:27" hidden="1" x14ac:dyDescent="0.25">
      <c r="A133" t="s">
        <v>124</v>
      </c>
      <c r="B133" s="33">
        <v>0.1</v>
      </c>
      <c r="C133" s="105">
        <f t="shared" ref="C133:H133" si="268">C15*$B$133</f>
        <v>12041772.100000001</v>
      </c>
      <c r="D133" s="105">
        <f t="shared" si="268"/>
        <v>0</v>
      </c>
      <c r="E133" s="105">
        <f t="shared" si="268"/>
        <v>0</v>
      </c>
      <c r="F133" s="105">
        <f t="shared" si="268"/>
        <v>0</v>
      </c>
      <c r="G133" s="105">
        <f t="shared" si="268"/>
        <v>0</v>
      </c>
      <c r="H133" s="105">
        <f t="shared" si="268"/>
        <v>0</v>
      </c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</row>
    <row r="134" spans="1:27" hidden="1" x14ac:dyDescent="0.25">
      <c r="A134" s="107" t="s">
        <v>125</v>
      </c>
      <c r="D134" s="108" t="e">
        <f>IF($B136=0,0,(1-(C133/C131)^(1/$B136)))</f>
        <v>#DIV/0!</v>
      </c>
      <c r="E134" s="108">
        <f>IF(D131=0,0,(1-(D133/D131)^(1/$B137)))</f>
        <v>0</v>
      </c>
      <c r="F134" s="108">
        <f>IF(E131=0,0,(1-(E133/E131)^(1/$B138)))</f>
        <v>0</v>
      </c>
      <c r="G134" s="108">
        <f>IF(F131=0,0,(1-(F133/F131)^(1/$B139)))</f>
        <v>0</v>
      </c>
      <c r="H134" s="108">
        <f>IF(G131=0,0,(1-(G133/G131)^(1/$B140)))</f>
        <v>0</v>
      </c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</row>
    <row r="135" spans="1:27" ht="15.75" hidden="1" x14ac:dyDescent="0.25">
      <c r="A135" s="20"/>
      <c r="B135" s="437" t="s">
        <v>93</v>
      </c>
      <c r="C135" s="176"/>
      <c r="D135" s="14">
        <f>D98</f>
        <v>1</v>
      </c>
      <c r="E135" s="14">
        <f>E98</f>
        <v>2</v>
      </c>
      <c r="F135" s="14">
        <f>F98</f>
        <v>3</v>
      </c>
      <c r="G135" s="14">
        <f>G98</f>
        <v>4</v>
      </c>
      <c r="H135" s="14">
        <f>H98</f>
        <v>5</v>
      </c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</row>
    <row r="136" spans="1:27" ht="15.75" hidden="1" x14ac:dyDescent="0.25">
      <c r="A136" s="20">
        <f t="shared" ref="A136:A145" si="269">A99</f>
        <v>1</v>
      </c>
      <c r="B136" s="25">
        <v>5</v>
      </c>
      <c r="C136" s="3"/>
      <c r="D136" s="83" t="e">
        <f>IF(D135&gt;$B136,0,C131*$D$134)</f>
        <v>#DIV/0!</v>
      </c>
      <c r="E136" s="83" t="e">
        <f>IF(E135&gt;$B136,0,($C$131-$D136)*$D$134)</f>
        <v>#DIV/0!</v>
      </c>
      <c r="F136" s="83" t="e">
        <f>IF(F135&gt;$B136,0,(($C$131-SUM($D136+E136))*$D$134))</f>
        <v>#DIV/0!</v>
      </c>
      <c r="G136" s="83" t="e">
        <f>IF(G135&gt;$B136,0,(($C$131-SUM($D136:F136))*$D$134))</f>
        <v>#DIV/0!</v>
      </c>
      <c r="H136" s="83" t="e">
        <f>IF(H135&gt;$B136,0,(($C$131-SUM($D136:G136))*$D$134))</f>
        <v>#DIV/0!</v>
      </c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</row>
    <row r="137" spans="1:27" ht="15.75" hidden="1" x14ac:dyDescent="0.25">
      <c r="A137" s="20">
        <f t="shared" si="269"/>
        <v>2</v>
      </c>
      <c r="B137" s="25">
        <v>5</v>
      </c>
      <c r="C137" s="59"/>
      <c r="D137" s="59"/>
      <c r="E137" s="83">
        <f>IF((E$98-$D$98)&gt;$B137,0,$D131*$E134)</f>
        <v>0</v>
      </c>
      <c r="F137" s="83">
        <f>IF((F$98-$D$98)&gt;$B137,0,($D131-SUM($E137:E137))*$E134)</f>
        <v>0</v>
      </c>
      <c r="G137" s="83">
        <f>IF((G$98-$D$98)&gt;$B137,0,($D131-SUM($E137:F137))*$E134)</f>
        <v>0</v>
      </c>
      <c r="H137" s="83">
        <f>IF((H$98-$D$98)&gt;$B137,0,($D131-SUM($E137:G137))*$E134)</f>
        <v>0</v>
      </c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</row>
    <row r="138" spans="1:27" ht="15.75" hidden="1" x14ac:dyDescent="0.25">
      <c r="A138" s="20">
        <f t="shared" si="269"/>
        <v>3</v>
      </c>
      <c r="B138" s="25">
        <v>5</v>
      </c>
      <c r="C138" s="59"/>
      <c r="D138" s="59"/>
      <c r="E138" s="59"/>
      <c r="F138" s="83">
        <f>IF((F$98-$E$98)&gt;$B138,0,($E131*$F134))</f>
        <v>0</v>
      </c>
      <c r="G138" s="83">
        <f>IF((G$98-$E$98)&gt;$B138,0,($E131-SUM($F138:F138))*$F134)</f>
        <v>0</v>
      </c>
      <c r="H138" s="83">
        <f>IF((H$98-$E$98)&gt;$B138,0,($E131-SUM($F138:G138))*$F134)</f>
        <v>0</v>
      </c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</row>
    <row r="139" spans="1:27" ht="15.75" hidden="1" x14ac:dyDescent="0.25">
      <c r="A139" s="20">
        <f t="shared" si="269"/>
        <v>4</v>
      </c>
      <c r="B139" s="25">
        <v>5</v>
      </c>
      <c r="C139" s="59"/>
      <c r="D139" s="59"/>
      <c r="E139" s="59"/>
      <c r="F139" s="59"/>
      <c r="G139" s="83">
        <f>IF((G$98-$F$98)&gt;$B139,0,$F$131*$G134)</f>
        <v>0</v>
      </c>
      <c r="H139" s="83">
        <f>IF((H$98-$F$98)&gt;$B139,0,($F$131-SUM($G139:G139))*$G134)</f>
        <v>0</v>
      </c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</row>
    <row r="140" spans="1:27" ht="15.75" hidden="1" x14ac:dyDescent="0.25">
      <c r="A140" s="20">
        <f t="shared" si="269"/>
        <v>5</v>
      </c>
      <c r="B140" s="25">
        <v>5</v>
      </c>
      <c r="C140" s="59"/>
      <c r="D140" s="59"/>
      <c r="E140" s="59"/>
      <c r="F140" s="59"/>
      <c r="G140" s="59"/>
      <c r="H140" s="83">
        <f>IF((H$98-$G$98)&gt;$B140,0,$G$131*$H134)</f>
        <v>0</v>
      </c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</row>
    <row r="141" spans="1:27" ht="15.75" hidden="1" x14ac:dyDescent="0.25">
      <c r="A141" s="20">
        <f t="shared" si="269"/>
        <v>6</v>
      </c>
      <c r="B141" s="25">
        <v>5</v>
      </c>
      <c r="C141" s="59"/>
      <c r="D141" s="59"/>
      <c r="E141" s="59"/>
      <c r="F141" s="59"/>
      <c r="G141" s="59"/>
      <c r="H141" s="59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</row>
    <row r="142" spans="1:27" ht="15.75" hidden="1" x14ac:dyDescent="0.25">
      <c r="A142" s="20">
        <f t="shared" si="269"/>
        <v>7</v>
      </c>
      <c r="B142" s="25">
        <v>5</v>
      </c>
      <c r="C142" s="59"/>
      <c r="D142" s="59"/>
      <c r="E142" s="59"/>
      <c r="F142" s="59"/>
      <c r="G142" s="59"/>
      <c r="H142" s="59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</row>
    <row r="143" spans="1:27" ht="15.75" hidden="1" x14ac:dyDescent="0.25">
      <c r="A143" s="20">
        <f t="shared" si="269"/>
        <v>8</v>
      </c>
      <c r="B143" s="25">
        <v>5</v>
      </c>
      <c r="C143" s="59"/>
      <c r="D143" s="59"/>
      <c r="E143" s="59"/>
      <c r="F143" s="59"/>
      <c r="G143" s="59"/>
      <c r="H143" s="59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</row>
    <row r="144" spans="1:27" ht="15.75" hidden="1" x14ac:dyDescent="0.25">
      <c r="A144" s="20">
        <f t="shared" si="269"/>
        <v>9</v>
      </c>
      <c r="B144" s="25">
        <v>5</v>
      </c>
      <c r="C144" s="59"/>
      <c r="D144" s="59"/>
      <c r="E144" s="59"/>
      <c r="F144" s="59"/>
      <c r="G144" s="59"/>
      <c r="H144" s="59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</row>
    <row r="145" spans="1:27" ht="15.75" hidden="1" x14ac:dyDescent="0.25">
      <c r="A145" s="20">
        <f t="shared" si="269"/>
        <v>10</v>
      </c>
      <c r="B145" s="25">
        <v>5</v>
      </c>
      <c r="C145" s="59"/>
      <c r="D145" s="59"/>
      <c r="E145" s="59"/>
      <c r="F145" s="59"/>
      <c r="G145" s="59"/>
      <c r="H145" s="59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</row>
    <row r="146" spans="1:27" ht="15.75" hidden="1" x14ac:dyDescent="0.25">
      <c r="A146" s="20"/>
      <c r="B146" s="20"/>
      <c r="C146" s="20"/>
      <c r="D146" s="20"/>
      <c r="E146" s="20"/>
      <c r="F146" s="20"/>
      <c r="G146" s="20"/>
      <c r="H146" s="20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</row>
    <row r="147" spans="1:27" ht="15.75" hidden="1" x14ac:dyDescent="0.25">
      <c r="A147" s="20"/>
      <c r="B147" s="20"/>
      <c r="C147" s="20"/>
      <c r="D147" s="20"/>
      <c r="E147" s="20"/>
      <c r="F147" s="20"/>
      <c r="G147" s="20"/>
      <c r="H147" s="20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</row>
    <row r="148" spans="1:27" hidden="1" x14ac:dyDescent="0.25">
      <c r="A148" s="59" t="s">
        <v>95</v>
      </c>
      <c r="B148" s="59"/>
      <c r="C148" s="59"/>
      <c r="D148" s="83" t="e">
        <f>SUM(D136:D147)</f>
        <v>#DIV/0!</v>
      </c>
      <c r="E148" s="83" t="e">
        <f t="shared" ref="E148:M177" si="270">SUM(E136:E147)</f>
        <v>#DIV/0!</v>
      </c>
      <c r="F148" s="83" t="e">
        <f t="shared" si="270"/>
        <v>#DIV/0!</v>
      </c>
      <c r="G148" s="83" t="e">
        <f t="shared" si="270"/>
        <v>#DIV/0!</v>
      </c>
      <c r="H148" s="83" t="e">
        <f t="shared" si="270"/>
        <v>#DIV/0!</v>
      </c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</row>
    <row r="149" spans="1:27" hidden="1" x14ac:dyDescent="0.25">
      <c r="A149" s="59" t="s">
        <v>96</v>
      </c>
      <c r="B149" s="59"/>
      <c r="C149" s="59"/>
      <c r="D149" s="83" t="e">
        <f>D148</f>
        <v>#DIV/0!</v>
      </c>
      <c r="E149" s="83" t="e">
        <f>D149+E148</f>
        <v>#DIV/0!</v>
      </c>
      <c r="F149" s="83" t="e">
        <f t="shared" ref="F149" si="271">E149+F148</f>
        <v>#DIV/0!</v>
      </c>
      <c r="G149" s="83" t="e">
        <f t="shared" ref="G149" si="272">F149+G148</f>
        <v>#DIV/0!</v>
      </c>
      <c r="H149" s="83" t="e">
        <f t="shared" ref="H149" si="273">G149+H148</f>
        <v>#DIV/0!</v>
      </c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</row>
    <row r="150" spans="1:27" hidden="1" x14ac:dyDescent="0.25">
      <c r="A150" s="59" t="s">
        <v>98</v>
      </c>
      <c r="B150" s="59"/>
      <c r="C150" s="59"/>
      <c r="D150" s="83" t="e">
        <f>C15-D149</f>
        <v>#DIV/0!</v>
      </c>
      <c r="E150" s="83" t="e">
        <f>D15+D150-E148</f>
        <v>#DIV/0!</v>
      </c>
      <c r="F150" s="83" t="e">
        <f>E15+E150-F148</f>
        <v>#DIV/0!</v>
      </c>
      <c r="G150" s="83" t="e">
        <f>F15+F150-G148</f>
        <v>#DIV/0!</v>
      </c>
      <c r="H150" s="83" t="e">
        <f>G15+G150-H148</f>
        <v>#DIV/0!</v>
      </c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  <c r="AA150" s="86"/>
    </row>
    <row r="151" spans="1:27" hidden="1" x14ac:dyDescent="0.25">
      <c r="A151" s="84"/>
      <c r="B151" s="84"/>
      <c r="C151" s="84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</row>
    <row r="152" spans="1:27" ht="23.25" hidden="1" x14ac:dyDescent="0.35">
      <c r="A152" s="459" t="s">
        <v>300</v>
      </c>
      <c r="B152" s="79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6"/>
    </row>
    <row r="153" spans="1:27" hidden="1" x14ac:dyDescent="0.25">
      <c r="A153" t="s">
        <v>123</v>
      </c>
      <c r="B153" s="105"/>
      <c r="C153" s="395"/>
      <c r="D153" s="395">
        <f>D15</f>
        <v>0</v>
      </c>
      <c r="E153" s="395">
        <f>E15</f>
        <v>0</v>
      </c>
      <c r="F153" s="395">
        <f>F15</f>
        <v>0</v>
      </c>
      <c r="G153" s="395">
        <f>G15</f>
        <v>0</v>
      </c>
      <c r="H153" s="395">
        <f>H15</f>
        <v>0</v>
      </c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</row>
    <row r="154" spans="1:27" ht="15.75" hidden="1" x14ac:dyDescent="0.25">
      <c r="B154" s="106"/>
      <c r="C154" s="88"/>
      <c r="D154" s="88"/>
      <c r="E154" s="88"/>
      <c r="F154" s="88"/>
      <c r="G154" s="88"/>
      <c r="H154" s="88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6"/>
    </row>
    <row r="155" spans="1:27" hidden="1" x14ac:dyDescent="0.25">
      <c r="B155" s="33"/>
      <c r="C155" s="105"/>
      <c r="D155" s="105"/>
      <c r="E155" s="105"/>
      <c r="F155" s="105"/>
      <c r="G155" s="105"/>
      <c r="H155" s="105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</row>
    <row r="156" spans="1:27" hidden="1" x14ac:dyDescent="0.25">
      <c r="A156" s="107"/>
      <c r="D156" s="108"/>
      <c r="E156" s="108"/>
      <c r="F156" s="108"/>
      <c r="G156" s="108"/>
      <c r="H156" s="108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</row>
    <row r="157" spans="1:27" ht="15.75" hidden="1" x14ac:dyDescent="0.25">
      <c r="A157" s="20"/>
      <c r="B157" s="437" t="s">
        <v>93</v>
      </c>
      <c r="C157" s="82"/>
      <c r="D157" s="14">
        <f>D135</f>
        <v>1</v>
      </c>
      <c r="E157" s="14">
        <f t="shared" ref="E157:AA186" si="274">E135</f>
        <v>2</v>
      </c>
      <c r="F157" s="14">
        <f t="shared" si="274"/>
        <v>3</v>
      </c>
      <c r="G157" s="14">
        <f t="shared" si="274"/>
        <v>4</v>
      </c>
      <c r="H157" s="14">
        <f t="shared" si="274"/>
        <v>5</v>
      </c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</row>
    <row r="158" spans="1:27" ht="15.75" hidden="1" x14ac:dyDescent="0.25">
      <c r="A158" s="20">
        <f>A136</f>
        <v>1</v>
      </c>
      <c r="B158" s="25">
        <v>0</v>
      </c>
      <c r="D158" s="83"/>
      <c r="E158" s="83"/>
      <c r="F158" s="83"/>
      <c r="G158" s="83"/>
      <c r="H158" s="83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</row>
    <row r="159" spans="1:27" ht="15.75" hidden="1" x14ac:dyDescent="0.25">
      <c r="A159" s="20">
        <f t="shared" ref="A159:A167" si="275">A137</f>
        <v>2</v>
      </c>
      <c r="B159" s="25">
        <v>0</v>
      </c>
      <c r="C159" s="38"/>
      <c r="D159" s="59"/>
      <c r="E159" s="83"/>
      <c r="F159" s="83"/>
      <c r="G159" s="83"/>
      <c r="H159" s="83"/>
    </row>
    <row r="160" spans="1:27" ht="15.75" hidden="1" x14ac:dyDescent="0.25">
      <c r="A160" s="20">
        <f t="shared" si="275"/>
        <v>3</v>
      </c>
      <c r="B160" s="25">
        <v>0</v>
      </c>
      <c r="C160" s="38"/>
      <c r="D160" s="59"/>
      <c r="E160" s="59"/>
      <c r="F160" s="83"/>
      <c r="G160" s="83"/>
      <c r="H160" s="83"/>
      <c r="I160" s="87">
        <f t="shared" ref="I160:AA160" si="276">I15</f>
        <v>0</v>
      </c>
      <c r="J160" s="87">
        <f t="shared" si="276"/>
        <v>0</v>
      </c>
      <c r="K160" s="87">
        <f t="shared" si="276"/>
        <v>0</v>
      </c>
      <c r="L160" s="87">
        <f t="shared" si="276"/>
        <v>0</v>
      </c>
      <c r="M160" s="87">
        <f t="shared" si="276"/>
        <v>0</v>
      </c>
      <c r="N160" s="87">
        <f t="shared" si="276"/>
        <v>0</v>
      </c>
      <c r="O160" s="87">
        <f t="shared" si="276"/>
        <v>0</v>
      </c>
      <c r="P160" s="87">
        <f t="shared" si="276"/>
        <v>0</v>
      </c>
      <c r="Q160" s="87">
        <f t="shared" si="276"/>
        <v>0</v>
      </c>
      <c r="R160" s="87">
        <f t="shared" si="276"/>
        <v>0</v>
      </c>
      <c r="S160" s="87">
        <f t="shared" si="276"/>
        <v>0</v>
      </c>
      <c r="T160" s="87">
        <f t="shared" si="276"/>
        <v>0</v>
      </c>
      <c r="U160" s="87">
        <f t="shared" si="276"/>
        <v>0</v>
      </c>
      <c r="V160" s="87">
        <f t="shared" si="276"/>
        <v>0</v>
      </c>
      <c r="W160" s="87">
        <f t="shared" si="276"/>
        <v>0</v>
      </c>
      <c r="X160" s="87">
        <f t="shared" si="276"/>
        <v>0</v>
      </c>
      <c r="Y160" s="87">
        <f t="shared" si="276"/>
        <v>0</v>
      </c>
      <c r="Z160" s="87">
        <f t="shared" si="276"/>
        <v>0</v>
      </c>
      <c r="AA160" s="87">
        <f t="shared" si="276"/>
        <v>0</v>
      </c>
    </row>
    <row r="161" spans="1:27" ht="15.75" hidden="1" x14ac:dyDescent="0.25">
      <c r="A161" s="20">
        <f t="shared" si="275"/>
        <v>4</v>
      </c>
      <c r="B161" s="25">
        <v>0</v>
      </c>
      <c r="C161" s="38"/>
      <c r="D161" s="59"/>
      <c r="E161" s="59"/>
      <c r="F161" s="59"/>
      <c r="G161" s="83"/>
      <c r="H161" s="83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</row>
    <row r="162" spans="1:27" ht="15.75" hidden="1" x14ac:dyDescent="0.25">
      <c r="A162" s="20">
        <f t="shared" si="275"/>
        <v>5</v>
      </c>
      <c r="B162" s="25">
        <v>0</v>
      </c>
      <c r="C162" s="38"/>
      <c r="D162" s="59"/>
      <c r="E162" s="59"/>
      <c r="F162" s="59"/>
      <c r="G162" s="83"/>
      <c r="H162" s="83"/>
      <c r="I162" s="105">
        <f t="shared" ref="I162:AA162" si="277">I15*$B$133</f>
        <v>0</v>
      </c>
      <c r="J162" s="105">
        <f t="shared" si="277"/>
        <v>0</v>
      </c>
      <c r="K162" s="105">
        <f t="shared" si="277"/>
        <v>0</v>
      </c>
      <c r="L162" s="105">
        <f t="shared" si="277"/>
        <v>0</v>
      </c>
      <c r="M162" s="105">
        <f t="shared" si="277"/>
        <v>0</v>
      </c>
      <c r="N162" s="105">
        <f t="shared" si="277"/>
        <v>0</v>
      </c>
      <c r="O162" s="105">
        <f t="shared" si="277"/>
        <v>0</v>
      </c>
      <c r="P162" s="105">
        <f t="shared" si="277"/>
        <v>0</v>
      </c>
      <c r="Q162" s="105">
        <f t="shared" si="277"/>
        <v>0</v>
      </c>
      <c r="R162" s="105">
        <f t="shared" si="277"/>
        <v>0</v>
      </c>
      <c r="S162" s="105">
        <f t="shared" si="277"/>
        <v>0</v>
      </c>
      <c r="T162" s="105">
        <f t="shared" si="277"/>
        <v>0</v>
      </c>
      <c r="U162" s="105">
        <f t="shared" si="277"/>
        <v>0</v>
      </c>
      <c r="V162" s="105">
        <f t="shared" si="277"/>
        <v>0</v>
      </c>
      <c r="W162" s="105">
        <f t="shared" si="277"/>
        <v>0</v>
      </c>
      <c r="X162" s="105">
        <f t="shared" si="277"/>
        <v>0</v>
      </c>
      <c r="Y162" s="105">
        <f t="shared" si="277"/>
        <v>0</v>
      </c>
      <c r="Z162" s="105">
        <f t="shared" si="277"/>
        <v>0</v>
      </c>
      <c r="AA162" s="105">
        <f t="shared" si="277"/>
        <v>0</v>
      </c>
    </row>
    <row r="163" spans="1:27" ht="15.75" hidden="1" x14ac:dyDescent="0.25">
      <c r="A163" s="20">
        <f t="shared" si="275"/>
        <v>6</v>
      </c>
      <c r="B163" s="25">
        <v>0</v>
      </c>
      <c r="C163" s="38"/>
      <c r="D163" s="59"/>
      <c r="E163" s="59"/>
      <c r="F163" s="59"/>
      <c r="G163" s="83"/>
      <c r="H163" s="83"/>
      <c r="I163" s="108">
        <f>IF(H131=0,0,(1-(H133/H131)^(1/$B141)))</f>
        <v>0</v>
      </c>
      <c r="J163" s="108">
        <f>IF(I160=0,0,(1-(I162/I160)^(1/$B142)))</f>
        <v>0</v>
      </c>
      <c r="K163" s="108">
        <f>IF(J160=0,0,(1-(J162/J160)^(1/$B143)))</f>
        <v>0</v>
      </c>
      <c r="L163" s="108">
        <f>IF(K160=0,0,(1-(K162/K160)^(1/$B144)))</f>
        <v>0</v>
      </c>
      <c r="M163" s="108">
        <f>IF(L160=0,0,(1-(L162/L160)^(1/$B145)))</f>
        <v>0</v>
      </c>
      <c r="N163" s="108">
        <f>IF(M160=0,0,(1-(M162/M160)^(1/$B144)))</f>
        <v>0</v>
      </c>
      <c r="O163" s="108">
        <f>IF(N160=0,0,(1-(N162/N160)^(1/$B145)))</f>
        <v>0</v>
      </c>
      <c r="P163" s="108">
        <f>IF(O160=0,0,(1-(O162/O160)^(1/$B144)))</f>
        <v>0</v>
      </c>
      <c r="Q163" s="108">
        <f>IF(P160=0,0,(1-(P162/P160)^(1/$B145)))</f>
        <v>0</v>
      </c>
      <c r="R163" s="108">
        <f>IF(Q160=0,0,(1-(Q162/Q160)^(1/$B144)))</f>
        <v>0</v>
      </c>
      <c r="S163" s="108">
        <f>IF(R160=0,0,(1-(R162/R160)^(1/$B145)))</f>
        <v>0</v>
      </c>
      <c r="T163" s="108">
        <f>IF(S160=0,0,(1-(S162/S160)^(1/$B144)))</f>
        <v>0</v>
      </c>
      <c r="U163" s="108">
        <f>IF(T160=0,0,(1-(T162/T160)^(1/$B145)))</f>
        <v>0</v>
      </c>
      <c r="V163" s="108">
        <f>IF(U160=0,0,(1-(U162/U160)^(1/$B144)))</f>
        <v>0</v>
      </c>
      <c r="W163" s="108">
        <f>IF(V160=0,0,(1-(V162/V160)^(1/$B145)))</f>
        <v>0</v>
      </c>
      <c r="X163" s="108">
        <f>IF(W160=0,0,(1-(W162/W160)^(1/$B145)))</f>
        <v>0</v>
      </c>
      <c r="Y163" s="108">
        <f>IF(X160=0,0,(1-(X162/X160)^(1/$B144)))</f>
        <v>0</v>
      </c>
      <c r="Z163" s="108">
        <f>IF(Y160=0,0,(1-(Y162/Y160)^(1/$B145)))</f>
        <v>0</v>
      </c>
      <c r="AA163" s="108">
        <f>IF(Z160=0,0,(1-(Z162/Z160)^(1/$B145)))</f>
        <v>0</v>
      </c>
    </row>
    <row r="164" spans="1:27" ht="15.75" hidden="1" x14ac:dyDescent="0.25">
      <c r="A164" s="20">
        <f t="shared" si="275"/>
        <v>7</v>
      </c>
      <c r="B164" s="25">
        <v>0</v>
      </c>
      <c r="C164" s="38"/>
      <c r="D164" s="59"/>
      <c r="E164" s="59"/>
      <c r="F164" s="59"/>
      <c r="G164" s="83"/>
      <c r="H164" s="83"/>
      <c r="I164" s="14">
        <f t="shared" ref="I164:AA164" si="278">I98</f>
        <v>6</v>
      </c>
      <c r="J164" s="14">
        <f t="shared" si="278"/>
        <v>7</v>
      </c>
      <c r="K164" s="14">
        <f t="shared" si="278"/>
        <v>8</v>
      </c>
      <c r="L164" s="14">
        <f t="shared" si="278"/>
        <v>9</v>
      </c>
      <c r="M164" s="14">
        <f t="shared" si="278"/>
        <v>10</v>
      </c>
      <c r="N164" s="14">
        <f t="shared" si="278"/>
        <v>11</v>
      </c>
      <c r="O164" s="14">
        <f t="shared" si="278"/>
        <v>12</v>
      </c>
      <c r="P164" s="14">
        <f t="shared" si="278"/>
        <v>13</v>
      </c>
      <c r="Q164" s="14">
        <f t="shared" si="278"/>
        <v>14</v>
      </c>
      <c r="R164" s="14">
        <f t="shared" si="278"/>
        <v>15</v>
      </c>
      <c r="S164" s="14">
        <f t="shared" si="278"/>
        <v>16</v>
      </c>
      <c r="T164" s="14">
        <f t="shared" si="278"/>
        <v>17</v>
      </c>
      <c r="U164" s="14">
        <f t="shared" si="278"/>
        <v>18</v>
      </c>
      <c r="V164" s="14">
        <f t="shared" si="278"/>
        <v>19</v>
      </c>
      <c r="W164" s="14">
        <f t="shared" si="278"/>
        <v>20</v>
      </c>
      <c r="X164" s="14">
        <f t="shared" si="278"/>
        <v>21</v>
      </c>
      <c r="Y164" s="14">
        <f t="shared" si="278"/>
        <v>22</v>
      </c>
      <c r="Z164" s="14">
        <f t="shared" si="278"/>
        <v>23</v>
      </c>
      <c r="AA164" s="14">
        <f t="shared" si="278"/>
        <v>24</v>
      </c>
    </row>
    <row r="165" spans="1:27" ht="15.75" hidden="1" x14ac:dyDescent="0.25">
      <c r="A165" s="20">
        <f t="shared" si="275"/>
        <v>8</v>
      </c>
      <c r="B165" s="25">
        <v>0</v>
      </c>
      <c r="C165" s="38"/>
      <c r="D165" s="59"/>
      <c r="E165" s="59"/>
      <c r="F165" s="59"/>
      <c r="G165" s="83"/>
      <c r="H165" s="83"/>
      <c r="I165" s="83">
        <f>IF(I164&gt;$B136,0,(($C$131-SUM($D136:H136))*$D$134))</f>
        <v>0</v>
      </c>
      <c r="J165" s="83">
        <f>IF(J164&gt;$B136,0,(($C$131-SUM($D165:I165))*$D$134))</f>
        <v>0</v>
      </c>
      <c r="K165" s="83">
        <f>IF(K164&gt;$B136,0,(($C$131-SUM($D165:J165))*$D$134))</f>
        <v>0</v>
      </c>
      <c r="L165" s="83">
        <f>IF(L164&gt;$B136,0,(($C$131-SUM($D165:K165))*$D$134))</f>
        <v>0</v>
      </c>
      <c r="M165" s="83">
        <f>IF(M164&gt;$B136,0,(($C$131-SUM($D165:L165))*$D$134))</f>
        <v>0</v>
      </c>
      <c r="N165" s="83">
        <f>IF(N164&gt;$B136,0,(($C$131-SUM($D165:M165))*$D$134))</f>
        <v>0</v>
      </c>
      <c r="O165" s="83">
        <f>IF(O164&gt;$B136,0,(($C$131-SUM($D165:N165))*$D$134))</f>
        <v>0</v>
      </c>
      <c r="P165" s="83">
        <f>IF(P164&gt;$B136,0,(($C$131-SUM($D165:O165))*$D$134))</f>
        <v>0</v>
      </c>
      <c r="Q165" s="83">
        <f>IF(Q164&gt;$B136,0,(($C$131-SUM($D165:P165))*$D$134))</f>
        <v>0</v>
      </c>
      <c r="R165" s="83">
        <f>IF(R164&gt;$B136,0,(($C$131-SUM($D165:Q165))*$D$134))</f>
        <v>0</v>
      </c>
      <c r="S165" s="83">
        <f>IF(S164&gt;$B136,0,(($C$131-SUM($D165:R165))*$D$134))</f>
        <v>0</v>
      </c>
      <c r="T165" s="83">
        <f>IF(T164&gt;$B136,0,(($C$131-SUM($D165:S165))*$D$134))</f>
        <v>0</v>
      </c>
      <c r="U165" s="83">
        <f>IF(U164&gt;$B136,0,(($C$131-SUM($D165:T165))*$D$134))</f>
        <v>0</v>
      </c>
      <c r="V165" s="83">
        <f>IF(V164&gt;$B136,0,(($C$131-SUM($D165:U165))*$D$134))</f>
        <v>0</v>
      </c>
      <c r="W165" s="83">
        <f>IF(W164&gt;$B136,0,(($C$131-SUM($D165:V165))*$D$134))</f>
        <v>0</v>
      </c>
      <c r="X165" s="83">
        <f>IF(X164&gt;$B136,0,(($C$131-SUM($D165:W165))*$D$134))</f>
        <v>0</v>
      </c>
      <c r="Y165" s="83">
        <f>IF(Y164&gt;$B136,0,(($C$131-SUM($D165:X165))*$D$134))</f>
        <v>0</v>
      </c>
      <c r="Z165" s="83">
        <f>IF(Z164&gt;$B136,0,(($C$131-SUM($D165:Y165))*$D$134))</f>
        <v>0</v>
      </c>
      <c r="AA165" s="83">
        <f>IF(AA164&gt;$B136,0,(($C$131-SUM($D165:Z165))*$D$134))</f>
        <v>0</v>
      </c>
    </row>
    <row r="166" spans="1:27" ht="15.75" hidden="1" x14ac:dyDescent="0.25">
      <c r="A166" s="20">
        <f t="shared" si="275"/>
        <v>9</v>
      </c>
      <c r="B166" s="25">
        <v>0</v>
      </c>
      <c r="C166" s="38"/>
      <c r="D166" s="59"/>
      <c r="E166" s="59"/>
      <c r="F166" s="59"/>
      <c r="G166" s="83"/>
      <c r="H166" s="83"/>
      <c r="I166" s="83">
        <f>IF((I$98-$D$98)&gt;$B137,0,($D131-SUM($E137:H137))*$E134)</f>
        <v>0</v>
      </c>
      <c r="J166" s="83">
        <f>IF((J$98-$D$98)&gt;$B137,0,($D131-SUM($E166:I166))*$E134)</f>
        <v>0</v>
      </c>
      <c r="K166" s="83">
        <f>IF((K$98-$D$98)&gt;$B137,0,($D131-SUM($E166:J166))*$E134)</f>
        <v>0</v>
      </c>
      <c r="L166" s="83">
        <f>IF((L$98-$D$98)&gt;$B137,0,($D131-SUM($E166:K166))*$E134)</f>
        <v>0</v>
      </c>
      <c r="M166" s="83">
        <f>IF((M$98-$D$98)&gt;$B137,0,($D131-SUM($E166:L166))*$E134)</f>
        <v>0</v>
      </c>
      <c r="N166" s="83">
        <f>IF((N$98-$D$98)&gt;$B137,0,($D131-SUM($E166:M166))*$E134)</f>
        <v>0</v>
      </c>
      <c r="O166" s="83">
        <f>IF((O$98-$D$98)&gt;$B137,0,($D131-SUM($E166:N166))*$E134)</f>
        <v>0</v>
      </c>
      <c r="P166" s="83">
        <f>IF((P$98-$D$98)&gt;$B137,0,($D131-SUM($E166:O166))*$E134)</f>
        <v>0</v>
      </c>
      <c r="Q166" s="83">
        <f>IF((Q$98-$D$98)&gt;$B137,0,($D131-SUM($E166:P166))*$E134)</f>
        <v>0</v>
      </c>
      <c r="R166" s="83">
        <f>IF((R$98-$D$98)&gt;$B137,0,($D131-SUM($E166:Q166))*$E134)</f>
        <v>0</v>
      </c>
      <c r="S166" s="83">
        <f>IF((S$98-$D$98)&gt;$B137,0,($D131-SUM($E166:R166))*$E134)</f>
        <v>0</v>
      </c>
      <c r="T166" s="83">
        <f>IF((T$98-$D$98)&gt;$B137,0,($D131-SUM($E166:S166))*$E134)</f>
        <v>0</v>
      </c>
      <c r="U166" s="83">
        <f>IF((U$98-$D$98)&gt;$B137,0,($D131-SUM($E166:T166))*$E134)</f>
        <v>0</v>
      </c>
      <c r="V166" s="83">
        <f>IF((V$98-$D$98)&gt;$B137,0,($D131-SUM($E166:U166))*$E134)</f>
        <v>0</v>
      </c>
      <c r="W166" s="83">
        <f>IF((W$98-$D$98)&gt;$B137,0,($D131-SUM($E166:V166))*$E134)</f>
        <v>0</v>
      </c>
      <c r="X166" s="83">
        <f>IF((X$98-$D$98)&gt;$B137,0,($D131-SUM($E166:W166))*$E134)</f>
        <v>0</v>
      </c>
      <c r="Y166" s="83">
        <f>IF((Y$98-$D$98)&gt;$B137,0,($D131-SUM($E166:X166))*$E134)</f>
        <v>0</v>
      </c>
      <c r="Z166" s="83">
        <f>IF((Z$98-$D$98)&gt;$B137,0,($D131-SUM($E166:Y166))*$E134)</f>
        <v>0</v>
      </c>
      <c r="AA166" s="83">
        <f>IF((AA$98-$D$98)&gt;$B137,0,($D131-SUM($E166:Z166))*$E134)</f>
        <v>0</v>
      </c>
    </row>
    <row r="167" spans="1:27" ht="15.75" hidden="1" x14ac:dyDescent="0.25">
      <c r="A167" s="20">
        <f t="shared" si="275"/>
        <v>10</v>
      </c>
      <c r="B167" s="25">
        <v>0</v>
      </c>
      <c r="C167" s="38"/>
      <c r="D167" s="59"/>
      <c r="E167" s="59"/>
      <c r="F167" s="59"/>
      <c r="G167" s="83"/>
      <c r="H167" s="83"/>
      <c r="I167" s="83">
        <f>IF((I$98-$E$98)&gt;$B138,0,($E131-SUM($F138:H138))*$F134)</f>
        <v>0</v>
      </c>
      <c r="J167" s="83">
        <f>IF((J$98-$E$98)&gt;$B138,0,($E131-SUM($F167:I167))*$F134)</f>
        <v>0</v>
      </c>
      <c r="K167" s="83">
        <f>IF((K$98-$E$98)&gt;$B138,0,($E131-SUM($F167:J167))*$F134)</f>
        <v>0</v>
      </c>
      <c r="L167" s="83">
        <f>IF((L$98-$E$98)&gt;$B138,0,($E131-SUM($F167:K167))*$F134)</f>
        <v>0</v>
      </c>
      <c r="M167" s="83">
        <f>IF((M$98-$E$98)&gt;$B138,0,($E131-SUM($F167:L167))*$F134)</f>
        <v>0</v>
      </c>
      <c r="N167" s="83">
        <f>IF((N$98-$E$98)&gt;$B138,0,($E131-SUM($F167:M167))*$F134)</f>
        <v>0</v>
      </c>
      <c r="O167" s="83">
        <f>IF((O$98-$E$98)&gt;$B138,0,($E131-SUM($F167:N167))*$F134)</f>
        <v>0</v>
      </c>
      <c r="P167" s="83">
        <f>IF((P$98-$E$98)&gt;$B138,0,($E131-SUM($F167:O167))*$F134)</f>
        <v>0</v>
      </c>
      <c r="Q167" s="83">
        <f>IF((Q$98-$E$98)&gt;$B138,0,($E131-SUM($F167:P167))*$F134)</f>
        <v>0</v>
      </c>
      <c r="R167" s="83">
        <f>IF((R$98-$E$98)&gt;$B138,0,($E131-SUM($F167:Q167))*$F134)</f>
        <v>0</v>
      </c>
      <c r="S167" s="83">
        <f>IF((S$98-$E$98)&gt;$B138,0,($E131-SUM($F167:R167))*$F134)</f>
        <v>0</v>
      </c>
      <c r="T167" s="83">
        <f>IF((T$98-$E$98)&gt;$B138,0,($E131-SUM($F167:S167))*$F134)</f>
        <v>0</v>
      </c>
      <c r="U167" s="83">
        <f>IF((U$98-$E$98)&gt;$B138,0,($E131-SUM($F167:T167))*$F134)</f>
        <v>0</v>
      </c>
      <c r="V167" s="83">
        <f>IF((V$98-$E$98)&gt;$B138,0,($E131-SUM($F167:U167))*$F134)</f>
        <v>0</v>
      </c>
      <c r="W167" s="83">
        <f>IF((W$98-$E$98)&gt;$B138,0,($E131-SUM($F167:V167))*$F134)</f>
        <v>0</v>
      </c>
      <c r="X167" s="83">
        <f>IF((X$98-$E$98)&gt;$B138,0,($E131-SUM($F167:W167))*$F134)</f>
        <v>0</v>
      </c>
      <c r="Y167" s="83">
        <f>IF((Y$98-$E$98)&gt;$B138,0,($E131-SUM($F167:X167))*$F134)</f>
        <v>0</v>
      </c>
      <c r="Z167" s="83">
        <f>IF((Z$98-$E$98)&gt;$B138,0,($E131-SUM($F167:Y167))*$F134)</f>
        <v>0</v>
      </c>
      <c r="AA167" s="83">
        <f>IF((AA$98-$E$98)&gt;$B138,0,($E131-SUM($F167:Z167))*$F134)</f>
        <v>0</v>
      </c>
    </row>
    <row r="168" spans="1:27" ht="15.75" hidden="1" x14ac:dyDescent="0.25">
      <c r="A168" s="20">
        <v>11</v>
      </c>
      <c r="B168" s="25">
        <v>0</v>
      </c>
      <c r="C168" s="38"/>
      <c r="D168" s="59"/>
      <c r="E168" s="59"/>
      <c r="F168" s="59"/>
      <c r="G168" s="83"/>
      <c r="H168" s="83"/>
      <c r="I168" s="83">
        <f>IF((I$98-$F$98)&gt;$B139,0,($F$131-SUM($G139:H139))*$G134)</f>
        <v>0</v>
      </c>
      <c r="J168" s="83">
        <f>IF((J$98-$F$98)&gt;$B139,0,($F$131-SUM($G168:I168))*$G134)</f>
        <v>0</v>
      </c>
      <c r="K168" s="83">
        <f>IF((K$98-$F$98)&gt;$B139,0,($F$131-SUM($G168:J168))*$G134)</f>
        <v>0</v>
      </c>
      <c r="L168" s="83">
        <f>IF((L$98-$F$98)&gt;$B139,0,($F$131-SUM($G168:K168))*$G134)</f>
        <v>0</v>
      </c>
      <c r="M168" s="83">
        <f>IF((M$98-$F$98)&gt;$B139,0,($F$131-SUM($G168:L168))*$G134)</f>
        <v>0</v>
      </c>
      <c r="N168" s="83">
        <f>IF((N$98-$F$98)&gt;$B139,0,($F$131-SUM($G168:M168))*$G134)</f>
        <v>0</v>
      </c>
      <c r="O168" s="83">
        <f>IF((O$98-$F$98)&gt;$B139,0,($F$131-SUM($G168:N168))*$G134)</f>
        <v>0</v>
      </c>
      <c r="P168" s="83">
        <f>IF((P$98-$F$98)&gt;$B139,0,($F$131-SUM($G168:O168))*$G134)</f>
        <v>0</v>
      </c>
      <c r="Q168" s="83">
        <f>IF((Q$98-$F$98)&gt;$B139,0,($F$131-SUM($G168:P168))*$G134)</f>
        <v>0</v>
      </c>
      <c r="R168" s="83">
        <f>IF((R$98-$F$98)&gt;$B139,0,($F$131-SUM($G168:Q168))*$G134)</f>
        <v>0</v>
      </c>
      <c r="S168" s="83">
        <f>IF((S$98-$F$98)&gt;$B139,0,($F$131-SUM($G168:R168))*$G134)</f>
        <v>0</v>
      </c>
      <c r="T168" s="83">
        <f>IF((T$98-$F$98)&gt;$B139,0,($F$131-SUM($G168:S168))*$G134)</f>
        <v>0</v>
      </c>
      <c r="U168" s="83">
        <f>IF((U$98-$F$98)&gt;$B139,0,($F$131-SUM($G168:T168))*$G134)</f>
        <v>0</v>
      </c>
      <c r="V168" s="83">
        <f>IF((V$98-$F$98)&gt;$B139,0,($F$131-SUM($G168:U168))*$G134)</f>
        <v>0</v>
      </c>
      <c r="W168" s="83">
        <f>IF((W$98-$F$98)&gt;$B139,0,($F$131-SUM($G168:V168))*$G134)</f>
        <v>0</v>
      </c>
      <c r="X168" s="83">
        <f>IF((X$98-$F$98)&gt;$B139,0,($F$131-SUM($G168:W168))*$G134)</f>
        <v>0</v>
      </c>
      <c r="Y168" s="83">
        <f>IF((Y$98-$F$98)&gt;$B139,0,($F$131-SUM($G168:X168))*$G134)</f>
        <v>0</v>
      </c>
      <c r="Z168" s="83">
        <f>IF((Z$98-$F$98)&gt;$B139,0,($F$131-SUM($G168:Y168))*$G134)</f>
        <v>0</v>
      </c>
      <c r="AA168" s="83">
        <f>IF((AA$98-$F$98)&gt;$B139,0,($F$131-SUM($G168:Z168))*$G134)</f>
        <v>0</v>
      </c>
    </row>
    <row r="169" spans="1:27" ht="15.75" hidden="1" x14ac:dyDescent="0.25">
      <c r="A169" s="20">
        <v>12</v>
      </c>
      <c r="B169" s="25">
        <v>0</v>
      </c>
      <c r="C169" s="38"/>
      <c r="D169" s="59"/>
      <c r="E169" s="59"/>
      <c r="F169" s="59"/>
      <c r="G169" s="83"/>
      <c r="H169" s="83"/>
      <c r="I169" s="83">
        <f>IF((I$98-$G$98)&gt;$B140,0,($G$131-SUM($H140:H140))*$H134)</f>
        <v>0</v>
      </c>
      <c r="J169" s="83">
        <f>IF((J$98-$G$98)&gt;$B140,0,($G$131-SUM($H169:I169))*$H134)</f>
        <v>0</v>
      </c>
      <c r="K169" s="83">
        <f>IF((K$98-$G$98)&gt;$B140,0,($G$131-SUM($H169:J169))*$H134)</f>
        <v>0</v>
      </c>
      <c r="L169" s="83">
        <f>IF((L$98-$G$98)&gt;$B140,0,($G$131-SUM($H169:K169))*$H134)</f>
        <v>0</v>
      </c>
      <c r="M169" s="83">
        <f>IF((M$98-$G$98)&gt;$B140,0,($G$131-SUM($H169:L169))*$H134)</f>
        <v>0</v>
      </c>
      <c r="N169" s="83">
        <f>IF((N$98-$G$98)&gt;$B140,0,($G$131-SUM($H169:M169))*$H134)</f>
        <v>0</v>
      </c>
      <c r="O169" s="83">
        <f>IF((O$98-$G$98)&gt;$B140,0,($G$131-SUM($H169:N169))*$H134)</f>
        <v>0</v>
      </c>
      <c r="P169" s="83">
        <f>IF((P$98-$G$98)&gt;$B140,0,($G$131-SUM($H169:O169))*$H134)</f>
        <v>0</v>
      </c>
      <c r="Q169" s="83">
        <f>IF((Q$98-$G$98)&gt;$B140,0,($G$131-SUM($H169:P169))*$H134)</f>
        <v>0</v>
      </c>
      <c r="R169" s="83">
        <f>IF((R$98-$G$98)&gt;$B140,0,($G$131-SUM($H169:Q169))*$H134)</f>
        <v>0</v>
      </c>
      <c r="S169" s="83">
        <f>IF((S$98-$G$98)&gt;$B140,0,($G$131-SUM($H169:R169))*$H134)</f>
        <v>0</v>
      </c>
      <c r="T169" s="83">
        <f>IF((T$98-$G$98)&gt;$B140,0,($G$131-SUM($H169:S169))*$H134)</f>
        <v>0</v>
      </c>
      <c r="U169" s="83">
        <f>IF((U$98-$G$98)&gt;$B140,0,($G$131-SUM($H169:T169))*$H134)</f>
        <v>0</v>
      </c>
      <c r="V169" s="83">
        <f>IF((V$98-$G$98)&gt;$B140,0,($G$131-SUM($H169:U169))*$H134)</f>
        <v>0</v>
      </c>
      <c r="W169" s="83">
        <f>IF((W$98-$G$98)&gt;$B140,0,($G$131-SUM($H169:V169))*$H134)</f>
        <v>0</v>
      </c>
      <c r="X169" s="83">
        <f>IF((X$98-$G$98)&gt;$B140,0,($G$131-SUM($H169:W169))*$H134)</f>
        <v>0</v>
      </c>
      <c r="Y169" s="83">
        <f>IF((Y$98-$G$98)&gt;$B140,0,($G$131-SUM($H169:X169))*$H134)</f>
        <v>0</v>
      </c>
      <c r="Z169" s="83">
        <f>IF((Z$98-$G$98)&gt;$B140,0,($G$131-SUM($H169:Y169))*$H134)</f>
        <v>0</v>
      </c>
      <c r="AA169" s="83">
        <f>IF((AA$98-$G$98)&gt;$B140,0,($G$131-SUM($H169:Z169))*$H134)</f>
        <v>0</v>
      </c>
    </row>
    <row r="170" spans="1:27" ht="15.75" hidden="1" x14ac:dyDescent="0.25">
      <c r="A170" s="20">
        <v>13</v>
      </c>
      <c r="B170" s="25">
        <v>0</v>
      </c>
      <c r="C170" s="38"/>
      <c r="D170" s="59"/>
      <c r="E170" s="59"/>
      <c r="F170" s="59"/>
      <c r="G170" s="83"/>
      <c r="H170" s="83"/>
      <c r="I170" s="83">
        <f>IF((I$98-$H$98)&gt;$B141,0,$H$131*$I163)</f>
        <v>0</v>
      </c>
      <c r="J170" s="83">
        <f>IF((J$98-$H$98)&gt;$B141,0,($H$131-SUM($I170:I170))*$I163)</f>
        <v>0</v>
      </c>
      <c r="K170" s="83">
        <f>IF((K$98-$H$98)&gt;$B141,0,($H$131-SUM($I170:J170))*$I163)</f>
        <v>0</v>
      </c>
      <c r="L170" s="83">
        <f>IF((L$98-$H$98)&gt;$B141,0,($H$131-SUM($I170:K170))*$I163)</f>
        <v>0</v>
      </c>
      <c r="M170" s="83">
        <f>IF((M$98-$H$98)&gt;$B141,0,($H$131-SUM($I170:L170))*$I163)</f>
        <v>0</v>
      </c>
      <c r="N170" s="83">
        <f>IF((N$98-$H$98)&gt;$B141,0,($H$131-SUM($I170:M170))*$I163)</f>
        <v>0</v>
      </c>
      <c r="O170" s="83">
        <f>IF((O$98-$H$98)&gt;$B141,0,($H$131-SUM($I170:N170))*$I163)</f>
        <v>0</v>
      </c>
      <c r="P170" s="83">
        <f>IF((P$98-$H$98)&gt;$B141,0,($H$131-SUM($I170:O170))*$I163)</f>
        <v>0</v>
      </c>
      <c r="Q170" s="83">
        <f>IF((Q$98-$H$98)&gt;$B141,0,($H$131-SUM($I170:P170))*$I163)</f>
        <v>0</v>
      </c>
      <c r="R170" s="83">
        <f>IF((R$98-$H$98)&gt;$B141,0,($H$131-SUM($I170:Q170))*$I163)</f>
        <v>0</v>
      </c>
      <c r="S170" s="83">
        <f>IF((S$98-$H$98)&gt;$B141,0,($H$131-SUM($I170:R170))*$I163)</f>
        <v>0</v>
      </c>
      <c r="T170" s="83">
        <f>IF((T$98-$H$98)&gt;$B141,0,($H$131-SUM($I170:S170))*$I163)</f>
        <v>0</v>
      </c>
      <c r="U170" s="83">
        <f>IF((U$98-$H$98)&gt;$B141,0,($H$131-SUM($I170:T170))*$I163)</f>
        <v>0</v>
      </c>
      <c r="V170" s="83">
        <f>IF((V$98-$H$98)&gt;$B141,0,($H$131-SUM($I170:U170))*$I163)</f>
        <v>0</v>
      </c>
      <c r="W170" s="83">
        <f>IF((W$98-$H$98)&gt;$B141,0,($H$131-SUM($I170:V170))*$I163)</f>
        <v>0</v>
      </c>
      <c r="X170" s="83">
        <f>IF((X$98-$H$98)&gt;$B141,0,($H$131-SUM($I170:W170))*$I163)</f>
        <v>0</v>
      </c>
      <c r="Y170" s="83">
        <f>IF((Y$98-$H$98)&gt;$B141,0,($H$131-SUM($I170:X170))*$I163)</f>
        <v>0</v>
      </c>
      <c r="Z170" s="83">
        <f>IF((Z$98-$H$98)&gt;$B141,0,($H$131-SUM($I170:Y170))*$I163)</f>
        <v>0</v>
      </c>
      <c r="AA170" s="83">
        <f>IF((AA$98-$H$98)&gt;$B141,0,($H$131-SUM($I170:Z170))*$I163)</f>
        <v>0</v>
      </c>
    </row>
    <row r="171" spans="1:27" ht="15.75" hidden="1" x14ac:dyDescent="0.25">
      <c r="A171" s="20">
        <v>14</v>
      </c>
      <c r="B171" s="25">
        <v>0</v>
      </c>
      <c r="C171" s="38"/>
      <c r="D171" s="59"/>
      <c r="E171" s="59"/>
      <c r="F171" s="59"/>
      <c r="G171" s="83"/>
      <c r="H171" s="83"/>
      <c r="I171" s="59"/>
      <c r="J171" s="83">
        <f>IF((J$98-$I$98)&gt;$B142,0,$I$160*$J163)</f>
        <v>0</v>
      </c>
      <c r="K171" s="83">
        <f>IF((K$98-$I$98)&gt;$B142,0,($I$160-SUM($J171:J171))*$J163)</f>
        <v>0</v>
      </c>
      <c r="L171" s="83">
        <f>IF((L$98-$I$98)&gt;$B142,0,($I$160-SUM($J171:K171))*$J163)</f>
        <v>0</v>
      </c>
      <c r="M171" s="83">
        <f>IF((M$98-$I$98)&gt;$B142,0,($I$160-SUM($J171:L171))*$J163)</f>
        <v>0</v>
      </c>
      <c r="N171" s="83">
        <f>IF((N$98-$I$98)&gt;$B142,0,($I$160-SUM($J171:M171))*$J163)</f>
        <v>0</v>
      </c>
      <c r="O171" s="83">
        <f>IF((O$98-$I$98)&gt;$B142,0,($I$160-SUM($J171:N171))*$J163)</f>
        <v>0</v>
      </c>
      <c r="P171" s="83">
        <f>IF((P$98-$I$98)&gt;$B142,0,($I$160-SUM($J171:O171))*$J163)</f>
        <v>0</v>
      </c>
      <c r="Q171" s="83">
        <f>IF((Q$98-$I$98)&gt;$B142,0,($I$160-SUM($J171:P171))*$J163)</f>
        <v>0</v>
      </c>
      <c r="R171" s="83">
        <f>IF((R$98-$I$98)&gt;$B142,0,($I$160-SUM($J171:Q171))*$J163)</f>
        <v>0</v>
      </c>
      <c r="S171" s="83">
        <f>IF((S$98-$I$98)&gt;$B142,0,($I$160-SUM($J171:R171))*$J163)</f>
        <v>0</v>
      </c>
      <c r="T171" s="83">
        <f>IF((T$98-$I$98)&gt;$B142,0,($I$160-SUM($J171:S171))*$J163)</f>
        <v>0</v>
      </c>
      <c r="U171" s="83">
        <f>IF((U$98-$I$98)&gt;$B142,0,($I$160-SUM($J171:T171))*$J163)</f>
        <v>0</v>
      </c>
      <c r="V171" s="83">
        <f>IF((V$98-$I$98)&gt;$B142,0,($I$160-SUM($J171:U171))*$J163)</f>
        <v>0</v>
      </c>
      <c r="W171" s="83">
        <f>IF((W$98-$I$98)&gt;$B142,0,($I$160-SUM($J171:V171))*$J163)</f>
        <v>0</v>
      </c>
      <c r="X171" s="83">
        <f>IF((X$98-$I$98)&gt;$B142,0,($I$160-SUM($J171:W171))*$J163)</f>
        <v>0</v>
      </c>
      <c r="Y171" s="83">
        <f>IF((Y$98-$I$98)&gt;$B142,0,($I$160-SUM($J171:X171))*$J163)</f>
        <v>0</v>
      </c>
      <c r="Z171" s="83">
        <f>IF((Z$98-$I$98)&gt;$B142,0,($I$160-SUM($J171:Y171))*$J163)</f>
        <v>0</v>
      </c>
      <c r="AA171" s="83">
        <f>IF((AA$98-$I$98)&gt;$B142,0,($I$160-SUM($J171:Z171))*$J163)</f>
        <v>0</v>
      </c>
    </row>
    <row r="172" spans="1:27" ht="15.75" hidden="1" x14ac:dyDescent="0.25">
      <c r="A172" s="20">
        <v>15</v>
      </c>
      <c r="B172" s="25">
        <v>0</v>
      </c>
      <c r="C172" s="38"/>
      <c r="D172" s="59"/>
      <c r="E172" s="59"/>
      <c r="F172" s="59"/>
      <c r="G172" s="83"/>
      <c r="H172" s="83"/>
      <c r="I172" s="59"/>
      <c r="J172" s="59"/>
      <c r="K172" s="83">
        <f>IF((K$98-$J$98)&gt;$B143,0,$J$160*$K163)</f>
        <v>0</v>
      </c>
      <c r="L172" s="83">
        <f>IF((L$98-$J$98)&gt;$B143,0,($J$160-SUM($K172:K172))*$K163)</f>
        <v>0</v>
      </c>
      <c r="M172" s="83">
        <f>IF((M$98-$J$98)&gt;$B143,0,($J$160-SUM($K172:L172))*$K163)</f>
        <v>0</v>
      </c>
      <c r="N172" s="83">
        <f>IF((N$98-$J$98)&gt;$B143,0,($J$160-SUM($K172:M172))*$K163)</f>
        <v>0</v>
      </c>
      <c r="O172" s="83">
        <f>IF((O$98-$J$98)&gt;$B143,0,($J$160-SUM($K172:N172))*$K163)</f>
        <v>0</v>
      </c>
      <c r="P172" s="83">
        <f>IF((P$98-$J$98)&gt;$B143,0,($J$160-SUM($K172:O172))*$K163)</f>
        <v>0</v>
      </c>
      <c r="Q172" s="83">
        <f>IF((Q$98-$J$98)&gt;$B143,0,($J$160-SUM($K172:P172))*$K163)</f>
        <v>0</v>
      </c>
      <c r="R172" s="83">
        <f>IF((R$98-$J$98)&gt;$B143,0,($J$160-SUM($K172:Q172))*$K163)</f>
        <v>0</v>
      </c>
      <c r="S172" s="83">
        <f>IF((S$98-$J$98)&gt;$B143,0,($J$160-SUM($K172:R172))*$K163)</f>
        <v>0</v>
      </c>
      <c r="T172" s="83">
        <f>IF((T$98-$J$98)&gt;$B143,0,($J$160-SUM($K172:S172))*$K163)</f>
        <v>0</v>
      </c>
      <c r="U172" s="83">
        <f>IF((U$98-$J$98)&gt;$B143,0,($J$160-SUM($K172:T172))*$K163)</f>
        <v>0</v>
      </c>
      <c r="V172" s="83">
        <f>IF((V$98-$J$98)&gt;$B143,0,($J$160-SUM($K172:U172))*$K163)</f>
        <v>0</v>
      </c>
      <c r="W172" s="83">
        <f>IF((W$98-$J$98)&gt;$B143,0,($J$160-SUM($K172:V172))*$K163)</f>
        <v>0</v>
      </c>
      <c r="X172" s="83">
        <f>IF((X$98-$J$98)&gt;$B143,0,($J$160-SUM($K172:W172))*$K163)</f>
        <v>0</v>
      </c>
      <c r="Y172" s="83">
        <f>IF((Y$98-$J$98)&gt;$B143,0,($J$160-SUM($K172:X172))*$K163)</f>
        <v>0</v>
      </c>
      <c r="Z172" s="83">
        <f>IF((Z$98-$J$98)&gt;$B143,0,($J$160-SUM($K172:Y172))*$K163)</f>
        <v>0</v>
      </c>
      <c r="AA172" s="83">
        <f>IF((AA$98-$J$98)&gt;$B143,0,($J$160-SUM($K172:Z172))*$K163)</f>
        <v>0</v>
      </c>
    </row>
    <row r="173" spans="1:27" ht="15.75" hidden="1" x14ac:dyDescent="0.25">
      <c r="A173" s="20">
        <v>16</v>
      </c>
      <c r="B173" s="25">
        <v>0</v>
      </c>
      <c r="C173" s="38"/>
      <c r="D173" s="59"/>
      <c r="E173" s="59"/>
      <c r="F173" s="59"/>
      <c r="G173" s="83"/>
      <c r="H173" s="83"/>
      <c r="I173" s="59"/>
      <c r="J173" s="59"/>
      <c r="K173" s="83"/>
      <c r="L173" s="83">
        <f>IF((L$98-$K$98)&gt;$B143,0,($K$160*$L163))</f>
        <v>0</v>
      </c>
      <c r="M173" s="83">
        <f>IF((M$98-$K$98)&gt;$B143,0,($K$160-SUM(L173:L173))*$L163)</f>
        <v>0</v>
      </c>
      <c r="N173" s="83">
        <f>IF((N$98-$K$98)&gt;$B143,0,($K$160*$L163))</f>
        <v>0</v>
      </c>
      <c r="O173" s="83">
        <f>IF((O$98-$K$98)&gt;$B143,0,($K$160-SUM(N173:N173))*$L163)</f>
        <v>0</v>
      </c>
      <c r="P173" s="83">
        <f>IF((P$98-$K$98)&gt;$B143,0,($K$160*$L163))</f>
        <v>0</v>
      </c>
      <c r="Q173" s="83">
        <f>IF((Q$98-$K$98)&gt;$B143,0,($K$160-SUM(P173:P173))*$L163)</f>
        <v>0</v>
      </c>
      <c r="R173" s="83">
        <f>IF((R$98-$K$98)&gt;$B143,0,($K$160*$L163))</f>
        <v>0</v>
      </c>
      <c r="S173" s="83">
        <f>IF((S$98-$K$98)&gt;$B143,0,($K$160-SUM(R173:R173))*$L163)</f>
        <v>0</v>
      </c>
      <c r="T173" s="83">
        <f>IF((T$98-$K$98)&gt;$B143,0,($K$160*$L163))</f>
        <v>0</v>
      </c>
      <c r="U173" s="83">
        <f>IF((U$98-$K$98)&gt;$B143,0,($K$160-SUM(T173:T173))*$L163)</f>
        <v>0</v>
      </c>
      <c r="V173" s="83">
        <f>IF((V$98-$K$98)&gt;$B143,0,($K$160*$L163))</f>
        <v>0</v>
      </c>
      <c r="W173" s="83">
        <f>IF((W$98-$K$98)&gt;$B143,0,($K$160-SUM(V173:V173))*$L163)</f>
        <v>0</v>
      </c>
      <c r="X173" s="83">
        <f>IF((X$98-$K$98)&gt;$B143,0,($K$160-SUM(W173:W173))*$L163)</f>
        <v>0</v>
      </c>
      <c r="Y173" s="83">
        <f>IF((Y$98-$K$98)&gt;$B143,0,($K$160*$L163))</f>
        <v>0</v>
      </c>
      <c r="Z173" s="83">
        <f>IF((Z$98-$K$98)&gt;$B143,0,($K$160-SUM(Y173:Y173))*$L163)</f>
        <v>0</v>
      </c>
      <c r="AA173" s="83">
        <f>IF((AA$98-$K$98)&gt;$B143,0,($K$160-SUM(Z173:Z173))*$L163)</f>
        <v>0</v>
      </c>
    </row>
    <row r="174" spans="1:27" ht="15.75" hidden="1" x14ac:dyDescent="0.25">
      <c r="A174" s="20">
        <v>17</v>
      </c>
      <c r="B174" s="25">
        <v>0</v>
      </c>
      <c r="C174" s="38"/>
      <c r="D174" s="59"/>
      <c r="E174" s="59"/>
      <c r="F174" s="59"/>
      <c r="G174" s="83"/>
      <c r="H174" s="83"/>
      <c r="I174" s="59"/>
      <c r="J174" s="59"/>
      <c r="K174" s="83"/>
      <c r="L174" s="83"/>
      <c r="M174" s="83">
        <f>IF((M$98-$L$98)&gt;$B143,0,$L$160*$M163)</f>
        <v>0</v>
      </c>
      <c r="N174" s="83"/>
      <c r="O174" s="83">
        <f>IF((O$98-$L$98)&gt;$B143,0,$L$160*$M163)</f>
        <v>0</v>
      </c>
      <c r="P174" s="83"/>
      <c r="Q174" s="83">
        <f>IF((Q$98-$L$98)&gt;$B143,0,$L$160*$M163)</f>
        <v>0</v>
      </c>
      <c r="R174" s="83"/>
      <c r="S174" s="83">
        <f>IF((S$98-$L$98)&gt;$B143,0,$L$160*$M163)</f>
        <v>0</v>
      </c>
      <c r="T174" s="83"/>
      <c r="U174" s="83">
        <f>IF((U$98-$L$98)&gt;$B143,0,$L$160*$M163)</f>
        <v>0</v>
      </c>
      <c r="V174" s="83"/>
      <c r="W174" s="83">
        <f>IF((W$98-$L$98)&gt;$B143,0,$L$160*$M163)</f>
        <v>0</v>
      </c>
      <c r="X174" s="83">
        <f>IF((X$98-$L$98)&gt;$B143,0,$L$160*$M163)</f>
        <v>0</v>
      </c>
      <c r="Y174" s="83"/>
      <c r="Z174" s="83">
        <f>IF((Z$98-$L$98)&gt;$B143,0,$L$160*$M163)</f>
        <v>0</v>
      </c>
      <c r="AA174" s="83">
        <f>IF((AA$98-$L$98)&gt;$B143,0,$L$160*$M163)</f>
        <v>0</v>
      </c>
    </row>
    <row r="175" spans="1:27" ht="15.75" hidden="1" x14ac:dyDescent="0.25">
      <c r="A175" s="20">
        <v>18</v>
      </c>
      <c r="B175" s="25">
        <v>0</v>
      </c>
      <c r="C175" s="38"/>
      <c r="D175" s="59"/>
      <c r="E175" s="59"/>
      <c r="F175" s="59"/>
      <c r="G175" s="83"/>
      <c r="H175" s="83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</row>
    <row r="176" spans="1:27" ht="15.75" hidden="1" x14ac:dyDescent="0.25">
      <c r="A176" s="20">
        <v>19</v>
      </c>
      <c r="B176" s="25">
        <v>0</v>
      </c>
      <c r="C176" s="38"/>
      <c r="D176" s="59"/>
      <c r="E176" s="59"/>
      <c r="F176" s="59"/>
      <c r="G176" s="83"/>
      <c r="H176" s="83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</row>
    <row r="177" spans="1:27" ht="15.75" hidden="1" x14ac:dyDescent="0.25">
      <c r="A177" s="20">
        <v>20</v>
      </c>
      <c r="B177" s="25">
        <v>0</v>
      </c>
      <c r="C177" s="38"/>
      <c r="D177" s="59"/>
      <c r="E177" s="59"/>
      <c r="F177" s="59"/>
      <c r="G177" s="83"/>
      <c r="H177" s="83"/>
      <c r="I177" s="83">
        <f t="shared" si="270"/>
        <v>0</v>
      </c>
      <c r="J177" s="83">
        <f t="shared" si="270"/>
        <v>0</v>
      </c>
      <c r="K177" s="83">
        <f t="shared" si="270"/>
        <v>0</v>
      </c>
      <c r="L177" s="83">
        <f t="shared" si="270"/>
        <v>0</v>
      </c>
      <c r="M177" s="83">
        <f t="shared" si="270"/>
        <v>0</v>
      </c>
      <c r="N177" s="83">
        <f t="shared" ref="N177:W177" si="279">SUM(N165:N176)</f>
        <v>0</v>
      </c>
      <c r="O177" s="83">
        <f t="shared" si="279"/>
        <v>0</v>
      </c>
      <c r="P177" s="83">
        <f t="shared" si="279"/>
        <v>0</v>
      </c>
      <c r="Q177" s="83">
        <f t="shared" si="279"/>
        <v>0</v>
      </c>
      <c r="R177" s="83">
        <f t="shared" si="279"/>
        <v>0</v>
      </c>
      <c r="S177" s="83">
        <f t="shared" si="279"/>
        <v>0</v>
      </c>
      <c r="T177" s="83">
        <f t="shared" si="279"/>
        <v>0</v>
      </c>
      <c r="U177" s="83">
        <f t="shared" si="279"/>
        <v>0</v>
      </c>
      <c r="V177" s="83">
        <f t="shared" si="279"/>
        <v>0</v>
      </c>
      <c r="W177" s="83">
        <f t="shared" si="279"/>
        <v>0</v>
      </c>
      <c r="X177" s="83">
        <f t="shared" ref="X177:AA177" si="280">SUM(X165:X176)</f>
        <v>0</v>
      </c>
      <c r="Y177" s="83">
        <f t="shared" si="280"/>
        <v>0</v>
      </c>
      <c r="Z177" s="83">
        <f t="shared" si="280"/>
        <v>0</v>
      </c>
      <c r="AA177" s="83">
        <f t="shared" si="280"/>
        <v>0</v>
      </c>
    </row>
    <row r="178" spans="1:27" ht="15.75" hidden="1" x14ac:dyDescent="0.25">
      <c r="A178" s="20">
        <v>21</v>
      </c>
      <c r="B178" s="25">
        <v>0</v>
      </c>
      <c r="C178" s="20"/>
      <c r="D178" s="81"/>
      <c r="E178" s="81"/>
      <c r="F178" s="81"/>
      <c r="G178" s="83"/>
      <c r="H178" s="83"/>
      <c r="I178" s="83" t="e">
        <f>H149+I177</f>
        <v>#DIV/0!</v>
      </c>
      <c r="J178" s="83" t="e">
        <f t="shared" ref="J178" si="281">I178+J177</f>
        <v>#DIV/0!</v>
      </c>
      <c r="K178" s="83" t="e">
        <f t="shared" ref="K178" si="282">J178+K177</f>
        <v>#DIV/0!</v>
      </c>
      <c r="L178" s="83" t="e">
        <f t="shared" ref="L178" si="283">K178+L177</f>
        <v>#DIV/0!</v>
      </c>
      <c r="M178" s="83" t="e">
        <f t="shared" ref="M178" si="284">L178+M177</f>
        <v>#DIV/0!</v>
      </c>
      <c r="N178" s="83" t="e">
        <f t="shared" ref="N178" si="285">M178+N177</f>
        <v>#DIV/0!</v>
      </c>
      <c r="O178" s="83" t="e">
        <f t="shared" ref="O178" si="286">N178+O177</f>
        <v>#DIV/0!</v>
      </c>
      <c r="P178" s="83" t="e">
        <f t="shared" ref="P178" si="287">O178+P177</f>
        <v>#DIV/0!</v>
      </c>
      <c r="Q178" s="83" t="e">
        <f t="shared" ref="Q178" si="288">P178+Q177</f>
        <v>#DIV/0!</v>
      </c>
      <c r="R178" s="83" t="e">
        <f t="shared" ref="R178" si="289">Q178+R177</f>
        <v>#DIV/0!</v>
      </c>
      <c r="S178" s="83" t="e">
        <f t="shared" ref="S178" si="290">R178+S177</f>
        <v>#DIV/0!</v>
      </c>
      <c r="T178" s="83" t="e">
        <f t="shared" ref="T178" si="291">S178+T177</f>
        <v>#DIV/0!</v>
      </c>
      <c r="U178" s="83" t="e">
        <f t="shared" ref="U178" si="292">T178+U177</f>
        <v>#DIV/0!</v>
      </c>
      <c r="V178" s="83" t="e">
        <f t="shared" ref="V178" si="293">U178+V177</f>
        <v>#DIV/0!</v>
      </c>
      <c r="W178" s="83" t="e">
        <f t="shared" ref="W178" si="294">V178+W177</f>
        <v>#DIV/0!</v>
      </c>
      <c r="X178" s="83" t="e">
        <f t="shared" ref="X178" si="295">W178+X177</f>
        <v>#DIV/0!</v>
      </c>
      <c r="Y178" s="83" t="e">
        <f t="shared" ref="Y178" si="296">X178+Y177</f>
        <v>#DIV/0!</v>
      </c>
      <c r="Z178" s="83" t="e">
        <f t="shared" ref="Z178" si="297">Y178+Z177</f>
        <v>#DIV/0!</v>
      </c>
      <c r="AA178" s="83" t="e">
        <f t="shared" ref="AA178" si="298">Z178+AA177</f>
        <v>#DIV/0!</v>
      </c>
    </row>
    <row r="179" spans="1:27" ht="15.75" hidden="1" x14ac:dyDescent="0.25">
      <c r="A179" s="20">
        <v>22</v>
      </c>
      <c r="B179" s="25">
        <v>0</v>
      </c>
      <c r="C179" s="20"/>
      <c r="D179" s="81"/>
      <c r="E179" s="81"/>
      <c r="F179" s="81"/>
      <c r="G179" s="83"/>
      <c r="H179" s="83"/>
      <c r="I179" s="83" t="e">
        <f>H15+H150-I177</f>
        <v>#DIV/0!</v>
      </c>
      <c r="J179" s="83" t="e">
        <f t="shared" ref="J179:AA179" si="299">I15+I179-J177</f>
        <v>#DIV/0!</v>
      </c>
      <c r="K179" s="83" t="e">
        <f t="shared" si="299"/>
        <v>#DIV/0!</v>
      </c>
      <c r="L179" s="83" t="e">
        <f t="shared" si="299"/>
        <v>#DIV/0!</v>
      </c>
      <c r="M179" s="83" t="e">
        <f t="shared" si="299"/>
        <v>#DIV/0!</v>
      </c>
      <c r="N179" s="83" t="e">
        <f t="shared" si="299"/>
        <v>#DIV/0!</v>
      </c>
      <c r="O179" s="83" t="e">
        <f t="shared" si="299"/>
        <v>#DIV/0!</v>
      </c>
      <c r="P179" s="83" t="e">
        <f t="shared" si="299"/>
        <v>#DIV/0!</v>
      </c>
      <c r="Q179" s="83" t="e">
        <f t="shared" si="299"/>
        <v>#DIV/0!</v>
      </c>
      <c r="R179" s="83" t="e">
        <f t="shared" si="299"/>
        <v>#DIV/0!</v>
      </c>
      <c r="S179" s="83" t="e">
        <f t="shared" si="299"/>
        <v>#DIV/0!</v>
      </c>
      <c r="T179" s="83" t="e">
        <f t="shared" si="299"/>
        <v>#DIV/0!</v>
      </c>
      <c r="U179" s="83" t="e">
        <f t="shared" si="299"/>
        <v>#DIV/0!</v>
      </c>
      <c r="V179" s="83" t="e">
        <f t="shared" si="299"/>
        <v>#DIV/0!</v>
      </c>
      <c r="W179" s="83" t="e">
        <f t="shared" si="299"/>
        <v>#DIV/0!</v>
      </c>
      <c r="X179" s="83" t="e">
        <f t="shared" si="299"/>
        <v>#DIV/0!</v>
      </c>
      <c r="Y179" s="83" t="e">
        <f t="shared" si="299"/>
        <v>#DIV/0!</v>
      </c>
      <c r="Z179" s="83" t="e">
        <f t="shared" si="299"/>
        <v>#DIV/0!</v>
      </c>
      <c r="AA179" s="83" t="e">
        <f t="shared" si="299"/>
        <v>#DIV/0!</v>
      </c>
    </row>
    <row r="180" spans="1:27" ht="15.75" hidden="1" x14ac:dyDescent="0.25">
      <c r="A180" s="20">
        <v>23</v>
      </c>
      <c r="B180" s="25">
        <v>0</v>
      </c>
      <c r="C180" s="20"/>
      <c r="D180" s="81"/>
      <c r="E180" s="81"/>
      <c r="F180" s="81"/>
      <c r="G180" s="83"/>
      <c r="H180" s="83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</row>
    <row r="181" spans="1:27" ht="15.75" hidden="1" x14ac:dyDescent="0.25">
      <c r="A181" s="20">
        <v>24</v>
      </c>
      <c r="B181" s="25">
        <v>0</v>
      </c>
      <c r="C181" s="20"/>
      <c r="D181" s="81"/>
      <c r="E181" s="81"/>
      <c r="F181" s="81"/>
      <c r="G181" s="83"/>
      <c r="H181" s="83"/>
    </row>
    <row r="182" spans="1:27" hidden="1" x14ac:dyDescent="0.25">
      <c r="A182" s="59" t="s">
        <v>95</v>
      </c>
      <c r="B182" s="59"/>
      <c r="C182" s="59"/>
      <c r="D182" s="83">
        <f>SUM(D158:D181)</f>
        <v>0</v>
      </c>
      <c r="E182" s="83">
        <f t="shared" ref="E182:AA211" si="300">SUM(E158:E181)</f>
        <v>0</v>
      </c>
      <c r="F182" s="83">
        <f t="shared" si="300"/>
        <v>0</v>
      </c>
      <c r="G182" s="83">
        <f t="shared" si="300"/>
        <v>0</v>
      </c>
      <c r="H182" s="83">
        <f t="shared" si="300"/>
        <v>0</v>
      </c>
      <c r="I182" s="395">
        <f t="shared" ref="I182:AA182" si="301">I15</f>
        <v>0</v>
      </c>
      <c r="J182" s="395">
        <f t="shared" si="301"/>
        <v>0</v>
      </c>
      <c r="K182" s="395">
        <f t="shared" si="301"/>
        <v>0</v>
      </c>
      <c r="L182" s="395">
        <f t="shared" si="301"/>
        <v>0</v>
      </c>
      <c r="M182" s="395">
        <f t="shared" si="301"/>
        <v>0</v>
      </c>
      <c r="N182" s="395">
        <f t="shared" si="301"/>
        <v>0</v>
      </c>
      <c r="O182" s="395">
        <f t="shared" si="301"/>
        <v>0</v>
      </c>
      <c r="P182" s="395">
        <f t="shared" si="301"/>
        <v>0</v>
      </c>
      <c r="Q182" s="395">
        <f t="shared" si="301"/>
        <v>0</v>
      </c>
      <c r="R182" s="395">
        <f t="shared" si="301"/>
        <v>0</v>
      </c>
      <c r="S182" s="395">
        <f t="shared" si="301"/>
        <v>0</v>
      </c>
      <c r="T182" s="395">
        <f t="shared" si="301"/>
        <v>0</v>
      </c>
      <c r="U182" s="395">
        <f t="shared" si="301"/>
        <v>0</v>
      </c>
      <c r="V182" s="395">
        <f t="shared" si="301"/>
        <v>0</v>
      </c>
      <c r="W182" s="395">
        <f t="shared" si="301"/>
        <v>0</v>
      </c>
      <c r="X182" s="395">
        <f t="shared" si="301"/>
        <v>0</v>
      </c>
      <c r="Y182" s="395">
        <f t="shared" si="301"/>
        <v>0</v>
      </c>
      <c r="Z182" s="395">
        <f t="shared" si="301"/>
        <v>0</v>
      </c>
      <c r="AA182" s="395">
        <f t="shared" si="301"/>
        <v>0</v>
      </c>
    </row>
    <row r="183" spans="1:27" ht="15.75" hidden="1" x14ac:dyDescent="0.25">
      <c r="A183" s="59" t="s">
        <v>96</v>
      </c>
      <c r="B183" s="59"/>
      <c r="C183" s="59"/>
      <c r="D183" s="83">
        <f>D182</f>
        <v>0</v>
      </c>
      <c r="E183" s="83">
        <f>D183+E182</f>
        <v>0</v>
      </c>
      <c r="F183" s="83">
        <f t="shared" ref="F183" si="302">E183+F182</f>
        <v>0</v>
      </c>
      <c r="G183" s="83">
        <f t="shared" ref="G183" si="303">F183+G182</f>
        <v>0</v>
      </c>
      <c r="H183" s="83">
        <f t="shared" ref="H183" si="304">G183+H182</f>
        <v>0</v>
      </c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</row>
    <row r="184" spans="1:27" hidden="1" x14ac:dyDescent="0.25">
      <c r="A184" s="59" t="s">
        <v>98</v>
      </c>
      <c r="B184" s="59"/>
      <c r="C184" s="59"/>
      <c r="D184" s="83">
        <f>C153-D183</f>
        <v>0</v>
      </c>
      <c r="E184" s="83">
        <f>D153+D184-E182</f>
        <v>0</v>
      </c>
      <c r="F184" s="83">
        <f t="shared" ref="F184:AA213" si="305">E153+E184-F182</f>
        <v>0</v>
      </c>
      <c r="G184" s="83">
        <f t="shared" si="305"/>
        <v>0</v>
      </c>
      <c r="H184" s="83">
        <f t="shared" si="305"/>
        <v>0</v>
      </c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  <c r="AA184" s="105"/>
    </row>
    <row r="185" spans="1:27" x14ac:dyDescent="0.25">
      <c r="A185" s="84"/>
      <c r="B185" s="84"/>
      <c r="C185" s="84"/>
      <c r="D185" s="86"/>
      <c r="E185" s="86"/>
      <c r="F185" s="86"/>
      <c r="G185" s="86"/>
      <c r="H185" s="86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  <c r="AA185" s="108"/>
    </row>
    <row r="186" spans="1:27" ht="31.5" x14ac:dyDescent="0.5">
      <c r="A186" s="458" t="str">
        <f>A22</f>
        <v xml:space="preserve"> Equipos, Muebles y Enseres</v>
      </c>
      <c r="B186" s="52"/>
      <c r="C186" s="52"/>
      <c r="D186" s="59">
        <v>1</v>
      </c>
      <c r="E186" s="59">
        <v>2</v>
      </c>
      <c r="F186" s="59">
        <v>3</v>
      </c>
      <c r="G186" s="59">
        <v>4</v>
      </c>
      <c r="H186" s="59">
        <v>5</v>
      </c>
      <c r="I186" s="14">
        <f t="shared" si="274"/>
        <v>6</v>
      </c>
      <c r="J186" s="14">
        <f t="shared" si="274"/>
        <v>7</v>
      </c>
      <c r="K186" s="14">
        <f t="shared" si="274"/>
        <v>8</v>
      </c>
      <c r="L186" s="14">
        <f t="shared" si="274"/>
        <v>9</v>
      </c>
      <c r="M186" s="14">
        <f t="shared" si="274"/>
        <v>10</v>
      </c>
      <c r="N186" s="14">
        <f t="shared" si="274"/>
        <v>11</v>
      </c>
      <c r="O186" s="14">
        <f t="shared" si="274"/>
        <v>12</v>
      </c>
      <c r="P186" s="14">
        <f t="shared" si="274"/>
        <v>13</v>
      </c>
      <c r="Q186" s="14">
        <f t="shared" si="274"/>
        <v>14</v>
      </c>
      <c r="R186" s="14">
        <f t="shared" si="274"/>
        <v>15</v>
      </c>
      <c r="S186" s="14">
        <f t="shared" si="274"/>
        <v>16</v>
      </c>
      <c r="T186" s="14">
        <f t="shared" si="274"/>
        <v>17</v>
      </c>
      <c r="U186" s="14">
        <f t="shared" si="274"/>
        <v>18</v>
      </c>
      <c r="V186" s="14">
        <f t="shared" si="274"/>
        <v>19</v>
      </c>
      <c r="W186" s="14">
        <f t="shared" si="274"/>
        <v>20</v>
      </c>
      <c r="X186" s="14">
        <f t="shared" si="274"/>
        <v>21</v>
      </c>
      <c r="Y186" s="14">
        <f t="shared" si="274"/>
        <v>22</v>
      </c>
      <c r="Z186" s="14">
        <f t="shared" si="274"/>
        <v>23</v>
      </c>
      <c r="AA186" s="14">
        <f t="shared" si="274"/>
        <v>24</v>
      </c>
    </row>
    <row r="187" spans="1:27" x14ac:dyDescent="0.25">
      <c r="A187" s="59" t="s">
        <v>92</v>
      </c>
      <c r="B187" s="77"/>
      <c r="C187" s="77"/>
      <c r="D187" s="77"/>
      <c r="E187" s="77"/>
      <c r="F187" s="77"/>
      <c r="G187" s="77"/>
      <c r="H187" s="77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</row>
    <row r="188" spans="1:27" ht="23.25" hidden="1" x14ac:dyDescent="0.35">
      <c r="A188" s="459" t="s">
        <v>88</v>
      </c>
      <c r="B188" s="437" t="s">
        <v>93</v>
      </c>
      <c r="C188" s="19" t="s">
        <v>94</v>
      </c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</row>
    <row r="189" spans="1:27" ht="15.75" hidden="1" x14ac:dyDescent="0.25">
      <c r="A189" s="20" t="s">
        <v>91</v>
      </c>
      <c r="B189" s="80"/>
      <c r="C189" s="19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</row>
    <row r="190" spans="1:27" ht="15.75" hidden="1" x14ac:dyDescent="0.25">
      <c r="A190" s="81">
        <f>D$9</f>
        <v>1</v>
      </c>
      <c r="B190" s="25">
        <v>5</v>
      </c>
      <c r="C190" s="59">
        <f>(B190*(B190+1))/2</f>
        <v>15</v>
      </c>
      <c r="D190" s="76">
        <f>IF($B190&lt;D$66,0,(($B190/$C190)*C$22))</f>
        <v>17726571.666666664</v>
      </c>
      <c r="E190" s="76">
        <f t="shared" ref="E190:H190" si="306">IF($B190&lt;E$66,0,((($B190-D186)/$C190)*$C$22))</f>
        <v>14181257.333333334</v>
      </c>
      <c r="F190" s="76">
        <f t="shared" si="306"/>
        <v>10635943</v>
      </c>
      <c r="G190" s="76">
        <f t="shared" si="306"/>
        <v>7090628.666666667</v>
      </c>
      <c r="H190" s="76">
        <f t="shared" si="306"/>
        <v>3545314.3333333335</v>
      </c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</row>
    <row r="191" spans="1:27" ht="15.75" hidden="1" x14ac:dyDescent="0.25">
      <c r="A191" s="81">
        <f>E$9</f>
        <v>2</v>
      </c>
      <c r="B191" s="25">
        <v>5</v>
      </c>
      <c r="C191" s="59">
        <f t="shared" ref="C191:C213" si="307">(B191*(B191+1))/2</f>
        <v>15</v>
      </c>
      <c r="D191" s="76"/>
      <c r="E191" s="76">
        <f>IF($B191&lt;E$66,0,(($B191/$C191)*D$22))</f>
        <v>0</v>
      </c>
      <c r="F191" s="76">
        <f>IF($B191&lt;(F$66-$D$66),0,(((($B191-D$186))/$C191)*$D$22))</f>
        <v>0</v>
      </c>
      <c r="G191" s="76">
        <f>IF($B191&lt;(G$66-$D$66),0,(((($B191-E$186))/$C191)*$D$22))</f>
        <v>0</v>
      </c>
      <c r="H191" s="76">
        <f>IF($B191&lt;(H$66-$D$66),0,(((($B191-F$186))/$C191)*$D$22))</f>
        <v>0</v>
      </c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</row>
    <row r="192" spans="1:27" ht="15.75" hidden="1" x14ac:dyDescent="0.25">
      <c r="A192" s="396">
        <f>F$9</f>
        <v>3</v>
      </c>
      <c r="B192" s="25">
        <v>5</v>
      </c>
      <c r="C192" s="59">
        <f t="shared" si="307"/>
        <v>15</v>
      </c>
      <c r="D192" s="76"/>
      <c r="E192" s="76"/>
      <c r="F192" s="76">
        <f>IF($B192&lt;F$66,0,(($B192/$C192)*E$22))</f>
        <v>0</v>
      </c>
      <c r="G192" s="76">
        <f>IF($B192&lt;(G$66-$D$66),0,(((($B192-E$186))/$C192)*$E$22))</f>
        <v>0</v>
      </c>
      <c r="H192" s="76">
        <f>IF($B192&lt;(H$66-$D$66),0,(((($B192-F$186))/$C192)*$E$22))</f>
        <v>0</v>
      </c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</row>
    <row r="193" spans="1:27" ht="15.75" hidden="1" x14ac:dyDescent="0.25">
      <c r="A193" s="396">
        <f>G$9</f>
        <v>4</v>
      </c>
      <c r="B193" s="25">
        <v>5</v>
      </c>
      <c r="C193" s="397">
        <f t="shared" si="307"/>
        <v>15</v>
      </c>
      <c r="D193" s="398"/>
      <c r="E193" s="398"/>
      <c r="F193" s="398"/>
      <c r="G193" s="76">
        <f>IF($B193&lt;G$66,0,(($B193/$C193)*F$22))</f>
        <v>0</v>
      </c>
      <c r="H193" s="76">
        <f>IF($B193&lt;(H$66-$D$66),0,(((($B193-F$186))/$C193)*$F$22))</f>
        <v>0</v>
      </c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</row>
    <row r="194" spans="1:27" ht="15.75" hidden="1" x14ac:dyDescent="0.25">
      <c r="A194" s="396">
        <f>H$9</f>
        <v>5</v>
      </c>
      <c r="B194" s="25">
        <v>5</v>
      </c>
      <c r="C194" s="397">
        <f t="shared" si="307"/>
        <v>15</v>
      </c>
      <c r="D194" s="398"/>
      <c r="E194" s="398"/>
      <c r="F194" s="398"/>
      <c r="G194" s="398"/>
      <c r="H194" s="76">
        <f>IF($B194&lt;H$66,0,(($B194/$C194)*G$22))</f>
        <v>0</v>
      </c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</row>
    <row r="195" spans="1:27" ht="15.75" hidden="1" x14ac:dyDescent="0.25">
      <c r="A195" s="396">
        <f>I$9</f>
        <v>6</v>
      </c>
      <c r="B195" s="25">
        <v>5</v>
      </c>
      <c r="C195" s="397">
        <f t="shared" si="307"/>
        <v>15</v>
      </c>
      <c r="D195" s="398"/>
      <c r="E195" s="398"/>
      <c r="F195" s="398"/>
      <c r="G195" s="398"/>
      <c r="H195" s="398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</row>
    <row r="196" spans="1:27" ht="15.75" hidden="1" x14ac:dyDescent="0.25">
      <c r="A196" s="396">
        <f>J$9</f>
        <v>7</v>
      </c>
      <c r="B196" s="25">
        <v>5</v>
      </c>
      <c r="C196" s="397">
        <f t="shared" si="307"/>
        <v>15</v>
      </c>
      <c r="D196" s="398"/>
      <c r="E196" s="398"/>
      <c r="F196" s="398"/>
      <c r="G196" s="398"/>
      <c r="H196" s="398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</row>
    <row r="197" spans="1:27" ht="15.75" hidden="1" x14ac:dyDescent="0.25">
      <c r="A197" s="396">
        <f>K$9</f>
        <v>8</v>
      </c>
      <c r="B197" s="25">
        <v>5</v>
      </c>
      <c r="C197" s="397">
        <f t="shared" si="307"/>
        <v>15</v>
      </c>
      <c r="D197" s="398"/>
      <c r="E197" s="398"/>
      <c r="F197" s="398"/>
      <c r="G197" s="398"/>
      <c r="H197" s="398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</row>
    <row r="198" spans="1:27" ht="15.75" hidden="1" x14ac:dyDescent="0.25">
      <c r="A198" s="396">
        <f>L$9</f>
        <v>9</v>
      </c>
      <c r="B198" s="25">
        <v>5</v>
      </c>
      <c r="C198" s="397">
        <f t="shared" si="307"/>
        <v>15</v>
      </c>
      <c r="D198" s="398"/>
      <c r="E198" s="398"/>
      <c r="F198" s="398"/>
      <c r="G198" s="398"/>
      <c r="H198" s="398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</row>
    <row r="199" spans="1:27" ht="15.75" hidden="1" x14ac:dyDescent="0.25">
      <c r="A199" s="396">
        <f>M$9</f>
        <v>10</v>
      </c>
      <c r="B199" s="25">
        <v>5</v>
      </c>
      <c r="C199" s="397">
        <f t="shared" si="307"/>
        <v>15</v>
      </c>
      <c r="D199" s="398"/>
      <c r="E199" s="398"/>
      <c r="F199" s="398"/>
      <c r="G199" s="398"/>
      <c r="H199" s="398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</row>
    <row r="200" spans="1:27" ht="15.75" hidden="1" x14ac:dyDescent="0.25">
      <c r="A200" s="396">
        <v>11</v>
      </c>
      <c r="B200" s="25">
        <v>5</v>
      </c>
      <c r="C200" s="397">
        <f t="shared" si="307"/>
        <v>15</v>
      </c>
      <c r="D200" s="400"/>
      <c r="E200" s="400"/>
      <c r="F200" s="400"/>
      <c r="G200" s="400"/>
      <c r="H200" s="400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</row>
    <row r="201" spans="1:27" ht="15.75" hidden="1" x14ac:dyDescent="0.25">
      <c r="A201" s="396">
        <v>12</v>
      </c>
      <c r="B201" s="25">
        <v>5</v>
      </c>
      <c r="C201" s="397">
        <f t="shared" si="307"/>
        <v>15</v>
      </c>
      <c r="D201" s="400"/>
      <c r="E201" s="400"/>
      <c r="F201" s="400"/>
      <c r="G201" s="400"/>
      <c r="H201" s="400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</row>
    <row r="202" spans="1:27" ht="15.75" hidden="1" x14ac:dyDescent="0.25">
      <c r="A202" s="396">
        <v>13</v>
      </c>
      <c r="B202" s="25">
        <v>5</v>
      </c>
      <c r="C202" s="397">
        <f t="shared" si="307"/>
        <v>15</v>
      </c>
      <c r="D202" s="400"/>
      <c r="E202" s="400"/>
      <c r="F202" s="400"/>
      <c r="G202" s="400"/>
      <c r="H202" s="400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</row>
    <row r="203" spans="1:27" ht="15.75" hidden="1" x14ac:dyDescent="0.25">
      <c r="A203" s="396">
        <v>14</v>
      </c>
      <c r="B203" s="25">
        <v>5</v>
      </c>
      <c r="C203" s="397">
        <f t="shared" si="307"/>
        <v>15</v>
      </c>
      <c r="D203" s="400"/>
      <c r="E203" s="400"/>
      <c r="F203" s="400"/>
      <c r="G203" s="400"/>
      <c r="H203" s="400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</row>
    <row r="204" spans="1:27" ht="15.75" hidden="1" x14ac:dyDescent="0.25">
      <c r="A204" s="396">
        <v>15</v>
      </c>
      <c r="B204" s="25">
        <v>5</v>
      </c>
      <c r="C204" s="397">
        <f t="shared" si="307"/>
        <v>15</v>
      </c>
      <c r="D204" s="400"/>
      <c r="E204" s="400"/>
      <c r="F204" s="400"/>
      <c r="G204" s="400"/>
      <c r="H204" s="400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</row>
    <row r="205" spans="1:27" ht="15.75" hidden="1" x14ac:dyDescent="0.25">
      <c r="A205" s="396">
        <v>16</v>
      </c>
      <c r="B205" s="25">
        <v>5</v>
      </c>
      <c r="C205" s="397">
        <f t="shared" si="307"/>
        <v>15</v>
      </c>
      <c r="D205" s="400"/>
      <c r="E205" s="400"/>
      <c r="F205" s="400"/>
      <c r="G205" s="400"/>
      <c r="H205" s="400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</row>
    <row r="206" spans="1:27" ht="15.75" hidden="1" x14ac:dyDescent="0.25">
      <c r="A206" s="396">
        <v>17</v>
      </c>
      <c r="B206" s="25">
        <v>5</v>
      </c>
      <c r="C206" s="397">
        <f t="shared" si="307"/>
        <v>15</v>
      </c>
      <c r="D206" s="400"/>
      <c r="E206" s="400"/>
      <c r="F206" s="400"/>
      <c r="G206" s="400"/>
      <c r="H206" s="400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</row>
    <row r="207" spans="1:27" ht="15.75" hidden="1" x14ac:dyDescent="0.25">
      <c r="A207" s="396">
        <v>18</v>
      </c>
      <c r="B207" s="25">
        <v>5</v>
      </c>
      <c r="C207" s="397">
        <f t="shared" si="307"/>
        <v>15</v>
      </c>
      <c r="D207" s="400"/>
      <c r="E207" s="400"/>
      <c r="F207" s="400"/>
      <c r="G207" s="400"/>
      <c r="H207" s="400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</row>
    <row r="208" spans="1:27" ht="15.75" hidden="1" x14ac:dyDescent="0.25">
      <c r="A208" s="396">
        <v>19</v>
      </c>
      <c r="B208" s="25">
        <v>5</v>
      </c>
      <c r="C208" s="397">
        <f t="shared" si="307"/>
        <v>15</v>
      </c>
      <c r="D208" s="400"/>
      <c r="E208" s="400"/>
      <c r="F208" s="400"/>
      <c r="G208" s="400"/>
      <c r="H208" s="400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</row>
    <row r="209" spans="1:27" ht="15.75" hidden="1" x14ac:dyDescent="0.25">
      <c r="A209" s="396">
        <v>20</v>
      </c>
      <c r="B209" s="25">
        <v>5</v>
      </c>
      <c r="C209" s="397">
        <f t="shared" si="307"/>
        <v>15</v>
      </c>
      <c r="D209" s="400"/>
      <c r="E209" s="400"/>
      <c r="F209" s="400"/>
      <c r="G209" s="400"/>
      <c r="H209" s="400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</row>
    <row r="210" spans="1:27" ht="15.75" hidden="1" x14ac:dyDescent="0.25">
      <c r="A210" s="396">
        <v>21</v>
      </c>
      <c r="B210" s="25">
        <v>5</v>
      </c>
      <c r="C210" s="397">
        <f t="shared" si="307"/>
        <v>15</v>
      </c>
      <c r="D210" s="400"/>
      <c r="E210" s="400"/>
      <c r="F210" s="400"/>
      <c r="G210" s="400"/>
      <c r="H210" s="400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</row>
    <row r="211" spans="1:27" ht="15.75" hidden="1" x14ac:dyDescent="0.25">
      <c r="A211" s="396">
        <v>22</v>
      </c>
      <c r="B211" s="25">
        <v>5</v>
      </c>
      <c r="C211" s="397">
        <f t="shared" si="307"/>
        <v>15</v>
      </c>
      <c r="D211" s="400"/>
      <c r="E211" s="400"/>
      <c r="F211" s="400"/>
      <c r="G211" s="400"/>
      <c r="H211" s="400"/>
      <c r="I211" s="83">
        <f t="shared" si="300"/>
        <v>0</v>
      </c>
      <c r="J211" s="83">
        <f t="shared" si="300"/>
        <v>0</v>
      </c>
      <c r="K211" s="83">
        <f t="shared" si="300"/>
        <v>0</v>
      </c>
      <c r="L211" s="83">
        <f t="shared" si="300"/>
        <v>0</v>
      </c>
      <c r="M211" s="83">
        <f t="shared" si="300"/>
        <v>0</v>
      </c>
      <c r="N211" s="83">
        <f t="shared" si="300"/>
        <v>0</v>
      </c>
      <c r="O211" s="83">
        <f t="shared" si="300"/>
        <v>0</v>
      </c>
      <c r="P211" s="83">
        <f t="shared" si="300"/>
        <v>0</v>
      </c>
      <c r="Q211" s="83">
        <f t="shared" si="300"/>
        <v>0</v>
      </c>
      <c r="R211" s="83">
        <f t="shared" si="300"/>
        <v>0</v>
      </c>
      <c r="S211" s="83">
        <f t="shared" si="300"/>
        <v>0</v>
      </c>
      <c r="T211" s="83">
        <f t="shared" si="300"/>
        <v>0</v>
      </c>
      <c r="U211" s="83">
        <f>SUM(U187:U210)</f>
        <v>0</v>
      </c>
      <c r="V211" s="83">
        <f t="shared" si="300"/>
        <v>0</v>
      </c>
      <c r="W211" s="83">
        <f t="shared" si="300"/>
        <v>0</v>
      </c>
      <c r="X211" s="83">
        <f t="shared" si="300"/>
        <v>0</v>
      </c>
      <c r="Y211" s="83">
        <f t="shared" si="300"/>
        <v>0</v>
      </c>
      <c r="Z211" s="83">
        <f t="shared" si="300"/>
        <v>0</v>
      </c>
      <c r="AA211" s="83">
        <f t="shared" si="300"/>
        <v>0</v>
      </c>
    </row>
    <row r="212" spans="1:27" ht="15.75" hidden="1" x14ac:dyDescent="0.25">
      <c r="A212" s="396">
        <v>23</v>
      </c>
      <c r="B212" s="25">
        <v>5</v>
      </c>
      <c r="C212" s="397">
        <f t="shared" si="307"/>
        <v>15</v>
      </c>
      <c r="D212" s="400"/>
      <c r="E212" s="400"/>
      <c r="F212" s="400"/>
      <c r="G212" s="400"/>
      <c r="H212" s="400"/>
      <c r="I212" s="83">
        <f>H183+I211</f>
        <v>0</v>
      </c>
      <c r="J212" s="83">
        <f t="shared" ref="J212" si="308">I212+J211</f>
        <v>0</v>
      </c>
      <c r="K212" s="83">
        <f t="shared" ref="K212" si="309">J212+K211</f>
        <v>0</v>
      </c>
      <c r="L212" s="83">
        <f t="shared" ref="L212" si="310">K212+L211</f>
        <v>0</v>
      </c>
      <c r="M212" s="83">
        <f t="shared" ref="M212" si="311">L212+M211</f>
        <v>0</v>
      </c>
      <c r="N212" s="83">
        <f t="shared" ref="N212" si="312">M212+N211</f>
        <v>0</v>
      </c>
      <c r="O212" s="83">
        <f t="shared" ref="O212" si="313">N212+O211</f>
        <v>0</v>
      </c>
      <c r="P212" s="83">
        <f t="shared" ref="P212" si="314">O212+P211</f>
        <v>0</v>
      </c>
      <c r="Q212" s="83">
        <f t="shared" ref="Q212" si="315">P212+Q211</f>
        <v>0</v>
      </c>
      <c r="R212" s="83">
        <f t="shared" ref="R212" si="316">Q212+R211</f>
        <v>0</v>
      </c>
      <c r="S212" s="83">
        <f t="shared" ref="S212" si="317">R212+S211</f>
        <v>0</v>
      </c>
      <c r="T212" s="83">
        <f t="shared" ref="T212" si="318">S212+T211</f>
        <v>0</v>
      </c>
      <c r="U212" s="83">
        <f t="shared" ref="U212" si="319">T212+U211</f>
        <v>0</v>
      </c>
      <c r="V212" s="83">
        <f t="shared" ref="V212" si="320">U212+V211</f>
        <v>0</v>
      </c>
      <c r="W212" s="83">
        <f t="shared" ref="W212" si="321">V212+W211</f>
        <v>0</v>
      </c>
      <c r="X212" s="83">
        <f t="shared" ref="X212" si="322">W212+X211</f>
        <v>0</v>
      </c>
      <c r="Y212" s="83">
        <f t="shared" ref="Y212" si="323">X212+Y211</f>
        <v>0</v>
      </c>
      <c r="Z212" s="83">
        <f t="shared" ref="Z212" si="324">Y212+Z211</f>
        <v>0</v>
      </c>
      <c r="AA212" s="83">
        <f t="shared" ref="AA212" si="325">Z212+AA211</f>
        <v>0</v>
      </c>
    </row>
    <row r="213" spans="1:27" ht="15.75" hidden="1" x14ac:dyDescent="0.25">
      <c r="A213" s="396">
        <v>24</v>
      </c>
      <c r="B213" s="25">
        <v>5</v>
      </c>
      <c r="C213" s="397">
        <f t="shared" si="307"/>
        <v>15</v>
      </c>
      <c r="D213" s="400"/>
      <c r="E213" s="400"/>
      <c r="F213" s="400"/>
      <c r="G213" s="400"/>
      <c r="H213" s="400"/>
      <c r="I213" s="83">
        <f>H153+H184-I211</f>
        <v>0</v>
      </c>
      <c r="J213" s="83">
        <f t="shared" si="305"/>
        <v>0</v>
      </c>
      <c r="K213" s="83">
        <f t="shared" si="305"/>
        <v>0</v>
      </c>
      <c r="L213" s="83">
        <f t="shared" si="305"/>
        <v>0</v>
      </c>
      <c r="M213" s="83">
        <f t="shared" si="305"/>
        <v>0</v>
      </c>
      <c r="N213" s="83">
        <f t="shared" si="305"/>
        <v>0</v>
      </c>
      <c r="O213" s="83">
        <f t="shared" si="305"/>
        <v>0</v>
      </c>
      <c r="P213" s="83">
        <f t="shared" si="305"/>
        <v>0</v>
      </c>
      <c r="Q213" s="83">
        <f t="shared" si="305"/>
        <v>0</v>
      </c>
      <c r="R213" s="83">
        <f t="shared" si="305"/>
        <v>0</v>
      </c>
      <c r="S213" s="83">
        <f t="shared" si="305"/>
        <v>0</v>
      </c>
      <c r="T213" s="83">
        <f t="shared" si="305"/>
        <v>0</v>
      </c>
      <c r="U213" s="83">
        <f t="shared" si="305"/>
        <v>0</v>
      </c>
      <c r="V213" s="83">
        <f t="shared" si="305"/>
        <v>0</v>
      </c>
      <c r="W213" s="83">
        <f t="shared" si="305"/>
        <v>0</v>
      </c>
      <c r="X213" s="83">
        <f t="shared" si="305"/>
        <v>0</v>
      </c>
      <c r="Y213" s="83">
        <f t="shared" si="305"/>
        <v>0</v>
      </c>
      <c r="Z213" s="83">
        <f t="shared" si="305"/>
        <v>0</v>
      </c>
      <c r="AA213" s="83">
        <f t="shared" si="305"/>
        <v>0</v>
      </c>
    </row>
    <row r="214" spans="1:27" hidden="1" x14ac:dyDescent="0.25">
      <c r="A214" s="493" t="s">
        <v>95</v>
      </c>
      <c r="B214" s="493"/>
      <c r="C214" s="493"/>
      <c r="D214" s="410">
        <f>SUM(D190:D213)</f>
        <v>17726571.666666664</v>
      </c>
      <c r="E214" s="410">
        <f t="shared" ref="E214:AA244" si="326">SUM(E190:E213)</f>
        <v>14181257.333333334</v>
      </c>
      <c r="F214" s="410">
        <f t="shared" si="326"/>
        <v>10635943</v>
      </c>
      <c r="G214" s="410">
        <f t="shared" si="326"/>
        <v>7090628.666666667</v>
      </c>
      <c r="H214" s="410">
        <f t="shared" si="326"/>
        <v>3545314.3333333335</v>
      </c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</row>
    <row r="215" spans="1:27" hidden="1" x14ac:dyDescent="0.25">
      <c r="A215" s="59" t="s">
        <v>96</v>
      </c>
      <c r="B215" s="59"/>
      <c r="C215" s="59"/>
      <c r="D215" s="83">
        <f>D214</f>
        <v>17726571.666666664</v>
      </c>
      <c r="E215" s="83">
        <f>IF(E186&gt;$B$190+1,0,D215+E214)</f>
        <v>31907829</v>
      </c>
      <c r="F215" s="83">
        <f>IF(F186&gt;$B$190+1,0,E215+F214)</f>
        <v>42543772</v>
      </c>
      <c r="G215" s="83">
        <f>IF(G186&gt;$B$190+1,0,F215+G214)</f>
        <v>49634400.666666664</v>
      </c>
      <c r="H215" s="83">
        <f>IF(H186&gt;$B$190+1,0,G215+H214)</f>
        <v>53179715</v>
      </c>
      <c r="I215" s="494">
        <v>6</v>
      </c>
      <c r="J215" s="59">
        <v>7</v>
      </c>
      <c r="K215" s="59">
        <v>8</v>
      </c>
      <c r="L215" s="59">
        <v>9</v>
      </c>
      <c r="M215" s="59">
        <v>10</v>
      </c>
      <c r="N215" s="59">
        <v>11</v>
      </c>
      <c r="O215" s="59">
        <v>12</v>
      </c>
      <c r="P215" s="59">
        <v>13</v>
      </c>
      <c r="Q215" s="59">
        <v>14</v>
      </c>
      <c r="R215" s="59">
        <v>15</v>
      </c>
      <c r="S215" s="59">
        <v>16</v>
      </c>
      <c r="T215" s="59">
        <v>17</v>
      </c>
      <c r="U215" s="59">
        <v>18</v>
      </c>
      <c r="V215" s="59">
        <v>19</v>
      </c>
      <c r="W215" s="59">
        <v>20</v>
      </c>
      <c r="X215" s="59">
        <v>21</v>
      </c>
      <c r="Y215" s="59">
        <v>22</v>
      </c>
      <c r="Z215" s="59">
        <v>23</v>
      </c>
      <c r="AA215" s="59">
        <v>24</v>
      </c>
    </row>
    <row r="216" spans="1:27" hidden="1" x14ac:dyDescent="0.25">
      <c r="A216" s="59" t="s">
        <v>98</v>
      </c>
      <c r="B216" s="59"/>
      <c r="C216" s="59"/>
      <c r="D216" s="83">
        <f>C22-D215</f>
        <v>35453143.333333336</v>
      </c>
      <c r="E216" s="83">
        <f>D22+D216-E214</f>
        <v>21271886</v>
      </c>
      <c r="F216" s="83">
        <f>E22+E216-F214</f>
        <v>10635943</v>
      </c>
      <c r="G216" s="83">
        <f>F22+F216-G214</f>
        <v>3545314.333333333</v>
      </c>
      <c r="H216" s="83">
        <f>G22+G216-H214</f>
        <v>0</v>
      </c>
      <c r="I216" s="77"/>
      <c r="J216" s="77"/>
      <c r="K216" s="77"/>
    </row>
    <row r="217" spans="1:27" s="18" customFormat="1" x14ac:dyDescent="0.25">
      <c r="A217" s="84"/>
      <c r="B217" s="84"/>
      <c r="C217" s="84"/>
      <c r="D217" s="86"/>
      <c r="E217" s="86"/>
      <c r="F217" s="86"/>
      <c r="G217" s="86"/>
      <c r="H217" s="86"/>
      <c r="I217" s="77"/>
      <c r="J217" s="77"/>
      <c r="K217" s="77"/>
    </row>
    <row r="218" spans="1:27" s="18" customFormat="1" x14ac:dyDescent="0.25">
      <c r="A218" s="84"/>
      <c r="B218" s="84"/>
      <c r="C218" s="84"/>
      <c r="D218" s="86"/>
      <c r="E218" s="86"/>
      <c r="F218" s="86"/>
      <c r="G218" s="86"/>
      <c r="H218" s="86"/>
      <c r="I218" s="77"/>
      <c r="J218" s="77"/>
      <c r="K218" s="77"/>
    </row>
    <row r="219" spans="1:27" ht="23.25" x14ac:dyDescent="0.35">
      <c r="A219" s="459" t="s">
        <v>97</v>
      </c>
      <c r="B219" s="437" t="s">
        <v>93</v>
      </c>
      <c r="C219" s="82"/>
      <c r="D219" s="457">
        <f>+D1</f>
        <v>1</v>
      </c>
      <c r="E219" s="457">
        <f>+E1</f>
        <v>2</v>
      </c>
      <c r="F219" s="457">
        <f>+F1</f>
        <v>3</v>
      </c>
      <c r="G219" s="457">
        <f>+G1</f>
        <v>4</v>
      </c>
      <c r="H219" s="457">
        <f>+H1</f>
        <v>5</v>
      </c>
    </row>
    <row r="220" spans="1:27" ht="15.75" x14ac:dyDescent="0.25">
      <c r="A220" s="20" t="str">
        <f t="shared" ref="A220:A230" si="327">A189</f>
        <v>Años a proyectar</v>
      </c>
      <c r="B220" s="65"/>
      <c r="C220" s="82"/>
      <c r="D220" s="14"/>
      <c r="E220" s="14"/>
      <c r="F220" s="14"/>
      <c r="G220" s="14"/>
      <c r="H220" s="14"/>
      <c r="I220" s="76">
        <f>IF($B190&lt;I$66,0,((($B190-H186)/$C190)*$C$22))</f>
        <v>0</v>
      </c>
      <c r="J220" s="76">
        <f t="shared" ref="J220:AA220" si="328">IF($B190&lt;J$66,0,((($B190-I215)/$C190)*$C$22))</f>
        <v>0</v>
      </c>
      <c r="K220" s="76">
        <f t="shared" si="328"/>
        <v>0</v>
      </c>
      <c r="L220" s="76">
        <f t="shared" si="328"/>
        <v>0</v>
      </c>
      <c r="M220" s="76">
        <f t="shared" si="328"/>
        <v>0</v>
      </c>
      <c r="N220" s="76">
        <f t="shared" si="328"/>
        <v>0</v>
      </c>
      <c r="O220" s="76">
        <f t="shared" si="328"/>
        <v>0</v>
      </c>
      <c r="P220" s="76">
        <f t="shared" si="328"/>
        <v>0</v>
      </c>
      <c r="Q220" s="76">
        <f t="shared" si="328"/>
        <v>0</v>
      </c>
      <c r="R220" s="76">
        <f t="shared" si="328"/>
        <v>0</v>
      </c>
      <c r="S220" s="76">
        <f t="shared" si="328"/>
        <v>0</v>
      </c>
      <c r="T220" s="76">
        <f t="shared" si="328"/>
        <v>0</v>
      </c>
      <c r="U220" s="76">
        <f t="shared" si="328"/>
        <v>0</v>
      </c>
      <c r="V220" s="76">
        <f t="shared" si="328"/>
        <v>0</v>
      </c>
      <c r="W220" s="76">
        <f t="shared" si="328"/>
        <v>0</v>
      </c>
      <c r="X220" s="76">
        <f t="shared" si="328"/>
        <v>0</v>
      </c>
      <c r="Y220" s="76">
        <f t="shared" si="328"/>
        <v>0</v>
      </c>
      <c r="Z220" s="76">
        <f t="shared" si="328"/>
        <v>0</v>
      </c>
      <c r="AA220" s="76">
        <f t="shared" si="328"/>
        <v>0</v>
      </c>
    </row>
    <row r="221" spans="1:27" ht="15.75" x14ac:dyDescent="0.25">
      <c r="A221" s="81">
        <f t="shared" si="327"/>
        <v>1</v>
      </c>
      <c r="B221" s="88">
        <v>5</v>
      </c>
      <c r="D221" s="83">
        <f>IF(D$219&gt;$B221,0,C$22/$B221)</f>
        <v>10635943</v>
      </c>
      <c r="E221" s="83">
        <f>IF(E$219&gt;$B221,0,$C$22/$B221)</f>
        <v>10635943</v>
      </c>
      <c r="F221" s="83">
        <f>IF(F$219&gt;$B221,0,$C$22/$B221)</f>
        <v>10635943</v>
      </c>
      <c r="G221" s="83">
        <f>IF(G$219&gt;$B221,0,$C$22/$B221)</f>
        <v>10635943</v>
      </c>
      <c r="H221" s="83">
        <f>IF(H$219&gt;$B221,0,$C$22/$B221)</f>
        <v>10635943</v>
      </c>
      <c r="I221" s="76">
        <f>IF($B191&lt;(I$66-$D$66),0,(((($B191-G$186))/$C191)*$D$22))</f>
        <v>0</v>
      </c>
      <c r="J221" s="76">
        <f>IF($B191&lt;(J$66-$D$66),0,(((($B191-H$186))/$C191)*$D$22))</f>
        <v>0</v>
      </c>
      <c r="K221" s="76">
        <f t="shared" ref="K221:AA221" si="329">IF($B191&lt;(K$66-$D$66),0,(((($B191-I$215))/$C191)*$D$22))</f>
        <v>0</v>
      </c>
      <c r="L221" s="76">
        <f t="shared" si="329"/>
        <v>0</v>
      </c>
      <c r="M221" s="76">
        <f t="shared" si="329"/>
        <v>0</v>
      </c>
      <c r="N221" s="76">
        <f t="shared" si="329"/>
        <v>0</v>
      </c>
      <c r="O221" s="76">
        <f t="shared" si="329"/>
        <v>0</v>
      </c>
      <c r="P221" s="76">
        <f t="shared" si="329"/>
        <v>0</v>
      </c>
      <c r="Q221" s="76">
        <f t="shared" si="329"/>
        <v>0</v>
      </c>
      <c r="R221" s="76">
        <f t="shared" si="329"/>
        <v>0</v>
      </c>
      <c r="S221" s="76">
        <f t="shared" si="329"/>
        <v>0</v>
      </c>
      <c r="T221" s="76">
        <f t="shared" si="329"/>
        <v>0</v>
      </c>
      <c r="U221" s="76">
        <f t="shared" si="329"/>
        <v>0</v>
      </c>
      <c r="V221" s="76">
        <f t="shared" si="329"/>
        <v>0</v>
      </c>
      <c r="W221" s="76">
        <f t="shared" si="329"/>
        <v>0</v>
      </c>
      <c r="X221" s="76">
        <f t="shared" si="329"/>
        <v>0</v>
      </c>
      <c r="Y221" s="76">
        <f t="shared" si="329"/>
        <v>0</v>
      </c>
      <c r="Z221" s="76">
        <f t="shared" si="329"/>
        <v>0</v>
      </c>
      <c r="AA221" s="76">
        <f t="shared" si="329"/>
        <v>0</v>
      </c>
    </row>
    <row r="222" spans="1:27" ht="15.75" x14ac:dyDescent="0.25">
      <c r="A222" s="81">
        <f t="shared" si="327"/>
        <v>2</v>
      </c>
      <c r="B222" s="88">
        <v>5</v>
      </c>
      <c r="C222" s="38"/>
      <c r="D222" s="59"/>
      <c r="E222" s="83">
        <f>IF(E$219&gt;$B222,0,D$22/$B222)</f>
        <v>0</v>
      </c>
      <c r="F222" s="83">
        <f>IF(F$219-$D$219&gt;$B222,0,$D$22/$B222)</f>
        <v>0</v>
      </c>
      <c r="G222" s="83">
        <f>IF(G$219-$D$219&gt;$B222,0,$D$22/$B222)</f>
        <v>0</v>
      </c>
      <c r="H222" s="83">
        <f>IF(H$219-$D$219&gt;$B222,0,$D$22/$B222)</f>
        <v>0</v>
      </c>
      <c r="I222" s="76">
        <f>IF($B192&lt;(I$66-$D$66),0,(((($B192-G$186))/$C192)*$E$22))</f>
        <v>0</v>
      </c>
      <c r="J222" s="76">
        <f>IF($B192&lt;(J$66-$D$66),0,(((($B192-H$186))/$C192)*$E$22))</f>
        <v>0</v>
      </c>
      <c r="K222" s="76">
        <f t="shared" ref="K222:AA222" si="330">IF($B192&lt;(K$66-$D$66),0,(((($B192-I$215))/$C192)*$E$22))</f>
        <v>0</v>
      </c>
      <c r="L222" s="76">
        <f t="shared" si="330"/>
        <v>0</v>
      </c>
      <c r="M222" s="76">
        <f t="shared" si="330"/>
        <v>0</v>
      </c>
      <c r="N222" s="76">
        <f t="shared" si="330"/>
        <v>0</v>
      </c>
      <c r="O222" s="76">
        <f t="shared" si="330"/>
        <v>0</v>
      </c>
      <c r="P222" s="76">
        <f t="shared" si="330"/>
        <v>0</v>
      </c>
      <c r="Q222" s="76">
        <f t="shared" si="330"/>
        <v>0</v>
      </c>
      <c r="R222" s="76">
        <f t="shared" si="330"/>
        <v>0</v>
      </c>
      <c r="S222" s="76">
        <f t="shared" si="330"/>
        <v>0</v>
      </c>
      <c r="T222" s="76">
        <f t="shared" si="330"/>
        <v>0</v>
      </c>
      <c r="U222" s="76">
        <f t="shared" si="330"/>
        <v>0</v>
      </c>
      <c r="V222" s="76">
        <f t="shared" si="330"/>
        <v>0</v>
      </c>
      <c r="W222" s="76">
        <f t="shared" si="330"/>
        <v>0</v>
      </c>
      <c r="X222" s="76">
        <f t="shared" si="330"/>
        <v>0</v>
      </c>
      <c r="Y222" s="76">
        <f t="shared" si="330"/>
        <v>0</v>
      </c>
      <c r="Z222" s="76">
        <f t="shared" si="330"/>
        <v>0</v>
      </c>
      <c r="AA222" s="76">
        <f t="shared" si="330"/>
        <v>0</v>
      </c>
    </row>
    <row r="223" spans="1:27" s="399" customFormat="1" ht="15.75" x14ac:dyDescent="0.25">
      <c r="A223" s="81">
        <f t="shared" si="327"/>
        <v>3</v>
      </c>
      <c r="B223" s="88">
        <v>5</v>
      </c>
      <c r="C223" s="38"/>
      <c r="D223" s="59"/>
      <c r="E223" s="59"/>
      <c r="F223" s="83">
        <f>IF(F$219&gt;$B223,0,E$22/$B223)</f>
        <v>0</v>
      </c>
      <c r="G223" s="83">
        <f>IF(G$219-$E$219&gt;$B223,0,$E$22/$B223)</f>
        <v>0</v>
      </c>
      <c r="H223" s="83">
        <f>IF(H$219-$E$219&gt;$B223,0,$E$22/$B223)</f>
        <v>0</v>
      </c>
      <c r="I223" s="76">
        <f>IF($B193&lt;(I$66-$D$66),0,(((($B193-G$186))/$C193)*$F$22))</f>
        <v>0</v>
      </c>
      <c r="J223" s="76">
        <f>IF($B193&lt;(J$66-$D$66),0,(((($B193-H$186))/$C193)*$F$22))</f>
        <v>0</v>
      </c>
      <c r="K223" s="76">
        <f t="shared" ref="K223:AA223" si="331">IF($B193&lt;(K$66-$D$66),0,(((($B193-I$215))/$C193)*$F$22))</f>
        <v>0</v>
      </c>
      <c r="L223" s="76">
        <f t="shared" si="331"/>
        <v>0</v>
      </c>
      <c r="M223" s="76">
        <f t="shared" si="331"/>
        <v>0</v>
      </c>
      <c r="N223" s="76">
        <f t="shared" si="331"/>
        <v>0</v>
      </c>
      <c r="O223" s="76">
        <f t="shared" si="331"/>
        <v>0</v>
      </c>
      <c r="P223" s="76">
        <f t="shared" si="331"/>
        <v>0</v>
      </c>
      <c r="Q223" s="76">
        <f t="shared" si="331"/>
        <v>0</v>
      </c>
      <c r="R223" s="76">
        <f t="shared" si="331"/>
        <v>0</v>
      </c>
      <c r="S223" s="76">
        <f t="shared" si="331"/>
        <v>0</v>
      </c>
      <c r="T223" s="76">
        <f t="shared" si="331"/>
        <v>0</v>
      </c>
      <c r="U223" s="76">
        <f t="shared" si="331"/>
        <v>0</v>
      </c>
      <c r="V223" s="76">
        <f t="shared" si="331"/>
        <v>0</v>
      </c>
      <c r="W223" s="76">
        <f t="shared" si="331"/>
        <v>0</v>
      </c>
      <c r="X223" s="76">
        <f t="shared" si="331"/>
        <v>0</v>
      </c>
      <c r="Y223" s="76">
        <f t="shared" si="331"/>
        <v>0</v>
      </c>
      <c r="Z223" s="76">
        <f t="shared" si="331"/>
        <v>0</v>
      </c>
      <c r="AA223" s="76">
        <f t="shared" si="331"/>
        <v>0</v>
      </c>
    </row>
    <row r="224" spans="1:27" s="399" customFormat="1" ht="15.75" x14ac:dyDescent="0.25">
      <c r="A224" s="81">
        <f t="shared" si="327"/>
        <v>4</v>
      </c>
      <c r="B224" s="88">
        <v>5</v>
      </c>
      <c r="C224" s="38"/>
      <c r="D224" s="59"/>
      <c r="E224" s="59"/>
      <c r="F224" s="59"/>
      <c r="G224" s="83">
        <f>IF(G$219&gt;$B224,0,F$22/$B224)</f>
        <v>0</v>
      </c>
      <c r="H224" s="83">
        <f>IF(H$219&gt;$B224,0,$F$22/$B224)</f>
        <v>0</v>
      </c>
      <c r="I224" s="76">
        <f>IF($B194&lt;(I$66-$D$66),0,(((($B194-G$186))/$C194)*$G$22))</f>
        <v>0</v>
      </c>
      <c r="J224" s="76">
        <f>IF($B194&lt;(J$66-$D$66),0,(((($B194-H$186))/$C194)*$G$22))</f>
        <v>0</v>
      </c>
      <c r="K224" s="76">
        <f t="shared" ref="K224:AA224" si="332">IF($B194&lt;(K$66-$D$66),0,(((($B194-I$215))/$C194)*$G$22))</f>
        <v>0</v>
      </c>
      <c r="L224" s="76">
        <f t="shared" si="332"/>
        <v>0</v>
      </c>
      <c r="M224" s="76">
        <f t="shared" si="332"/>
        <v>0</v>
      </c>
      <c r="N224" s="76">
        <f t="shared" si="332"/>
        <v>0</v>
      </c>
      <c r="O224" s="76">
        <f t="shared" si="332"/>
        <v>0</v>
      </c>
      <c r="P224" s="76">
        <f t="shared" si="332"/>
        <v>0</v>
      </c>
      <c r="Q224" s="76">
        <f t="shared" si="332"/>
        <v>0</v>
      </c>
      <c r="R224" s="76">
        <f t="shared" si="332"/>
        <v>0</v>
      </c>
      <c r="S224" s="76">
        <f t="shared" si="332"/>
        <v>0</v>
      </c>
      <c r="T224" s="76">
        <f t="shared" si="332"/>
        <v>0</v>
      </c>
      <c r="U224" s="76">
        <f t="shared" si="332"/>
        <v>0</v>
      </c>
      <c r="V224" s="76">
        <f t="shared" si="332"/>
        <v>0</v>
      </c>
      <c r="W224" s="76">
        <f t="shared" si="332"/>
        <v>0</v>
      </c>
      <c r="X224" s="76">
        <f t="shared" si="332"/>
        <v>0</v>
      </c>
      <c r="Y224" s="76">
        <f t="shared" si="332"/>
        <v>0</v>
      </c>
      <c r="Z224" s="76">
        <f t="shared" si="332"/>
        <v>0</v>
      </c>
      <c r="AA224" s="76">
        <f t="shared" si="332"/>
        <v>0</v>
      </c>
    </row>
    <row r="225" spans="1:27" s="399" customFormat="1" ht="15.75" x14ac:dyDescent="0.25">
      <c r="A225" s="81">
        <f t="shared" si="327"/>
        <v>5</v>
      </c>
      <c r="B225" s="88">
        <v>5</v>
      </c>
      <c r="C225" s="38"/>
      <c r="D225" s="59"/>
      <c r="E225" s="59"/>
      <c r="F225" s="59"/>
      <c r="G225" s="59"/>
      <c r="H225" s="83">
        <f>IF(H$219&gt;$B225,0,G$22/$B225)</f>
        <v>0</v>
      </c>
      <c r="I225" s="76">
        <f>IF($B195&lt;I$66,0,(($B195/$C195)*H$22))</f>
        <v>0</v>
      </c>
      <c r="J225" s="76">
        <f>IF($B195&lt;(J$66-$D$66),0,(((($B195-H$186))/$C195)*$H$22))</f>
        <v>0</v>
      </c>
      <c r="K225" s="76">
        <f t="shared" ref="K225:AA225" si="333">IF($B195&lt;(K$66-$D$66),0,(((($B195-I$215))/$C195)*$H$22))</f>
        <v>0</v>
      </c>
      <c r="L225" s="76">
        <f t="shared" si="333"/>
        <v>0</v>
      </c>
      <c r="M225" s="76">
        <f t="shared" si="333"/>
        <v>0</v>
      </c>
      <c r="N225" s="76">
        <f t="shared" si="333"/>
        <v>0</v>
      </c>
      <c r="O225" s="76">
        <f t="shared" si="333"/>
        <v>0</v>
      </c>
      <c r="P225" s="76">
        <f t="shared" si="333"/>
        <v>0</v>
      </c>
      <c r="Q225" s="76">
        <f t="shared" si="333"/>
        <v>0</v>
      </c>
      <c r="R225" s="76">
        <f t="shared" si="333"/>
        <v>0</v>
      </c>
      <c r="S225" s="76">
        <f t="shared" si="333"/>
        <v>0</v>
      </c>
      <c r="T225" s="76">
        <f t="shared" si="333"/>
        <v>0</v>
      </c>
      <c r="U225" s="76">
        <f t="shared" si="333"/>
        <v>0</v>
      </c>
      <c r="V225" s="76">
        <f t="shared" si="333"/>
        <v>0</v>
      </c>
      <c r="W225" s="76">
        <f t="shared" si="333"/>
        <v>0</v>
      </c>
      <c r="X225" s="76">
        <f t="shared" si="333"/>
        <v>0</v>
      </c>
      <c r="Y225" s="76">
        <f t="shared" si="333"/>
        <v>0</v>
      </c>
      <c r="Z225" s="76">
        <f t="shared" si="333"/>
        <v>0</v>
      </c>
      <c r="AA225" s="76">
        <f t="shared" si="333"/>
        <v>0</v>
      </c>
    </row>
    <row r="226" spans="1:27" s="399" customFormat="1" ht="15.75" x14ac:dyDescent="0.25">
      <c r="A226" s="81">
        <f t="shared" si="327"/>
        <v>6</v>
      </c>
      <c r="B226" s="88">
        <v>5</v>
      </c>
      <c r="C226" s="38"/>
      <c r="D226" s="59"/>
      <c r="E226" s="59"/>
      <c r="F226" s="59"/>
      <c r="G226" s="59"/>
      <c r="H226" s="59"/>
      <c r="I226" s="398"/>
      <c r="J226" s="76">
        <f>IF($B196&lt;J$66,0,(($B196/$C196)*I$22))</f>
        <v>0</v>
      </c>
      <c r="K226" s="76">
        <f t="shared" ref="K226:AA226" si="334">IF($B196&lt;(K$66-$D$66),0,(((($B196-I$215))/$C196)*$I$22))</f>
        <v>0</v>
      </c>
      <c r="L226" s="76">
        <f t="shared" si="334"/>
        <v>0</v>
      </c>
      <c r="M226" s="76">
        <f t="shared" si="334"/>
        <v>0</v>
      </c>
      <c r="N226" s="76">
        <f t="shared" si="334"/>
        <v>0</v>
      </c>
      <c r="O226" s="76">
        <f t="shared" si="334"/>
        <v>0</v>
      </c>
      <c r="P226" s="76">
        <f t="shared" si="334"/>
        <v>0</v>
      </c>
      <c r="Q226" s="76">
        <f t="shared" si="334"/>
        <v>0</v>
      </c>
      <c r="R226" s="76">
        <f t="shared" si="334"/>
        <v>0</v>
      </c>
      <c r="S226" s="76">
        <f t="shared" si="334"/>
        <v>0</v>
      </c>
      <c r="T226" s="76">
        <f t="shared" si="334"/>
        <v>0</v>
      </c>
      <c r="U226" s="76">
        <f t="shared" si="334"/>
        <v>0</v>
      </c>
      <c r="V226" s="76">
        <f t="shared" si="334"/>
        <v>0</v>
      </c>
      <c r="W226" s="76">
        <f t="shared" si="334"/>
        <v>0</v>
      </c>
      <c r="X226" s="76">
        <f t="shared" si="334"/>
        <v>0</v>
      </c>
      <c r="Y226" s="76">
        <f t="shared" si="334"/>
        <v>0</v>
      </c>
      <c r="Z226" s="76">
        <f t="shared" si="334"/>
        <v>0</v>
      </c>
      <c r="AA226" s="76">
        <f t="shared" si="334"/>
        <v>0</v>
      </c>
    </row>
    <row r="227" spans="1:27" s="399" customFormat="1" ht="15.75" x14ac:dyDescent="0.25">
      <c r="A227" s="81">
        <f t="shared" si="327"/>
        <v>7</v>
      </c>
      <c r="B227" s="88">
        <v>5</v>
      </c>
      <c r="C227" s="38"/>
      <c r="D227" s="59"/>
      <c r="E227" s="59"/>
      <c r="F227" s="59"/>
      <c r="G227" s="59"/>
      <c r="H227" s="59"/>
      <c r="I227" s="398"/>
      <c r="J227" s="398"/>
      <c r="K227" s="76">
        <f>IF($B197&lt;K$66,0,(($B197/$C197)*J$22))</f>
        <v>0</v>
      </c>
      <c r="L227" s="76">
        <f t="shared" ref="L227:AA227" si="335">IF($B197&lt;(L$66-$D$66),0,(((($B197-J$215))/$C197)*$J$22))</f>
        <v>0</v>
      </c>
      <c r="M227" s="76">
        <f t="shared" si="335"/>
        <v>0</v>
      </c>
      <c r="N227" s="76">
        <f t="shared" si="335"/>
        <v>0</v>
      </c>
      <c r="O227" s="76">
        <f t="shared" si="335"/>
        <v>0</v>
      </c>
      <c r="P227" s="76">
        <f t="shared" si="335"/>
        <v>0</v>
      </c>
      <c r="Q227" s="76">
        <f t="shared" si="335"/>
        <v>0</v>
      </c>
      <c r="R227" s="76">
        <f t="shared" si="335"/>
        <v>0</v>
      </c>
      <c r="S227" s="76">
        <f t="shared" si="335"/>
        <v>0</v>
      </c>
      <c r="T227" s="76">
        <f t="shared" si="335"/>
        <v>0</v>
      </c>
      <c r="U227" s="76">
        <f t="shared" si="335"/>
        <v>0</v>
      </c>
      <c r="V227" s="76">
        <f t="shared" si="335"/>
        <v>0</v>
      </c>
      <c r="W227" s="76">
        <f t="shared" si="335"/>
        <v>0</v>
      </c>
      <c r="X227" s="76">
        <f t="shared" si="335"/>
        <v>0</v>
      </c>
      <c r="Y227" s="76">
        <f t="shared" si="335"/>
        <v>0</v>
      </c>
      <c r="Z227" s="76">
        <f t="shared" si="335"/>
        <v>0</v>
      </c>
      <c r="AA227" s="76">
        <f t="shared" si="335"/>
        <v>0</v>
      </c>
    </row>
    <row r="228" spans="1:27" s="399" customFormat="1" ht="15.75" x14ac:dyDescent="0.25">
      <c r="A228" s="81">
        <f t="shared" si="327"/>
        <v>8</v>
      </c>
      <c r="B228" s="88">
        <v>5</v>
      </c>
      <c r="C228" s="38"/>
      <c r="D228" s="59"/>
      <c r="E228" s="59"/>
      <c r="F228" s="59"/>
      <c r="G228" s="59"/>
      <c r="H228" s="59"/>
      <c r="I228" s="398"/>
      <c r="J228" s="398"/>
      <c r="K228" s="398"/>
      <c r="L228" s="76">
        <f>IF($B198&lt;L$66,0,(($B198/$C198)*K$22))</f>
        <v>0</v>
      </c>
      <c r="M228" s="76">
        <f t="shared" ref="M228:AA228" si="336">IF($B198&lt;(M$66-$D$66),0,(((($B198-K$215))/$C198)*$K$22))</f>
        <v>0</v>
      </c>
      <c r="N228" s="76">
        <f t="shared" si="336"/>
        <v>0</v>
      </c>
      <c r="O228" s="76">
        <f t="shared" si="336"/>
        <v>0</v>
      </c>
      <c r="P228" s="76">
        <f t="shared" si="336"/>
        <v>0</v>
      </c>
      <c r="Q228" s="76">
        <f t="shared" si="336"/>
        <v>0</v>
      </c>
      <c r="R228" s="76">
        <f t="shared" si="336"/>
        <v>0</v>
      </c>
      <c r="S228" s="76">
        <f t="shared" si="336"/>
        <v>0</v>
      </c>
      <c r="T228" s="76">
        <f t="shared" si="336"/>
        <v>0</v>
      </c>
      <c r="U228" s="76">
        <f t="shared" si="336"/>
        <v>0</v>
      </c>
      <c r="V228" s="76">
        <f t="shared" si="336"/>
        <v>0</v>
      </c>
      <c r="W228" s="76">
        <f t="shared" si="336"/>
        <v>0</v>
      </c>
      <c r="X228" s="76">
        <f t="shared" si="336"/>
        <v>0</v>
      </c>
      <c r="Y228" s="76">
        <f t="shared" si="336"/>
        <v>0</v>
      </c>
      <c r="Z228" s="76">
        <f t="shared" si="336"/>
        <v>0</v>
      </c>
      <c r="AA228" s="76">
        <f t="shared" si="336"/>
        <v>0</v>
      </c>
    </row>
    <row r="229" spans="1:27" s="399" customFormat="1" ht="15.75" x14ac:dyDescent="0.25">
      <c r="A229" s="81">
        <f t="shared" si="327"/>
        <v>9</v>
      </c>
      <c r="B229" s="88">
        <v>5</v>
      </c>
      <c r="C229" s="38"/>
      <c r="D229" s="59"/>
      <c r="E229" s="59"/>
      <c r="F229" s="59"/>
      <c r="G229" s="59"/>
      <c r="H229" s="59"/>
      <c r="I229" s="398"/>
      <c r="J229" s="398"/>
      <c r="K229" s="398"/>
      <c r="L229" s="398"/>
      <c r="M229" s="76">
        <f>IF($B199&lt;M$66,0,(($B199/$C199)*L$22))</f>
        <v>0</v>
      </c>
      <c r="N229" s="76">
        <f t="shared" ref="N229:AA229" si="337">IF($B199&lt;(N$66-$D$66),0,(((($B199-L$215))/$C199)*$L$22))</f>
        <v>0</v>
      </c>
      <c r="O229" s="76">
        <f t="shared" si="337"/>
        <v>0</v>
      </c>
      <c r="P229" s="76">
        <f t="shared" si="337"/>
        <v>0</v>
      </c>
      <c r="Q229" s="76">
        <f t="shared" si="337"/>
        <v>0</v>
      </c>
      <c r="R229" s="76">
        <f t="shared" si="337"/>
        <v>0</v>
      </c>
      <c r="S229" s="76">
        <f t="shared" si="337"/>
        <v>0</v>
      </c>
      <c r="T229" s="76">
        <f t="shared" si="337"/>
        <v>0</v>
      </c>
      <c r="U229" s="76">
        <f t="shared" si="337"/>
        <v>0</v>
      </c>
      <c r="V229" s="76">
        <f t="shared" si="337"/>
        <v>0</v>
      </c>
      <c r="W229" s="76">
        <f t="shared" si="337"/>
        <v>0</v>
      </c>
      <c r="X229" s="76">
        <f t="shared" si="337"/>
        <v>0</v>
      </c>
      <c r="Y229" s="76">
        <f t="shared" si="337"/>
        <v>0</v>
      </c>
      <c r="Z229" s="76">
        <f t="shared" si="337"/>
        <v>0</v>
      </c>
      <c r="AA229" s="76">
        <f t="shared" si="337"/>
        <v>0</v>
      </c>
    </row>
    <row r="230" spans="1:27" s="399" customFormat="1" ht="15.75" x14ac:dyDescent="0.25">
      <c r="A230" s="81">
        <f t="shared" si="327"/>
        <v>10</v>
      </c>
      <c r="B230" s="88">
        <v>5</v>
      </c>
      <c r="C230" s="38"/>
      <c r="D230" s="59"/>
      <c r="E230" s="59"/>
      <c r="F230" s="59"/>
      <c r="G230" s="59"/>
      <c r="H230" s="59"/>
      <c r="I230" s="400"/>
      <c r="J230" s="400"/>
      <c r="K230" s="400"/>
      <c r="L230" s="9"/>
      <c r="M230" s="398"/>
      <c r="N230" s="76">
        <f>IF($B200&lt;N$66,0,(($B200/$C200)*M$22))</f>
        <v>0</v>
      </c>
      <c r="O230" s="76">
        <f t="shared" ref="O230:AA230" si="338">IF($B200&lt;(O$66-$D$66),0,(((($B200-M$215))/$C200)*$M$22))</f>
        <v>0</v>
      </c>
      <c r="P230" s="76">
        <f t="shared" si="338"/>
        <v>0</v>
      </c>
      <c r="Q230" s="76">
        <f t="shared" si="338"/>
        <v>0</v>
      </c>
      <c r="R230" s="76">
        <f t="shared" si="338"/>
        <v>0</v>
      </c>
      <c r="S230" s="76">
        <f t="shared" si="338"/>
        <v>0</v>
      </c>
      <c r="T230" s="76">
        <f t="shared" si="338"/>
        <v>0</v>
      </c>
      <c r="U230" s="76">
        <f t="shared" si="338"/>
        <v>0</v>
      </c>
      <c r="V230" s="76">
        <f t="shared" si="338"/>
        <v>0</v>
      </c>
      <c r="W230" s="76">
        <f t="shared" si="338"/>
        <v>0</v>
      </c>
      <c r="X230" s="76">
        <f t="shared" si="338"/>
        <v>0</v>
      </c>
      <c r="Y230" s="76">
        <f t="shared" si="338"/>
        <v>0</v>
      </c>
      <c r="Z230" s="76">
        <f t="shared" si="338"/>
        <v>0</v>
      </c>
      <c r="AA230" s="76">
        <f t="shared" si="338"/>
        <v>0</v>
      </c>
    </row>
    <row r="231" spans="1:27" s="399" customFormat="1" ht="15.75" x14ac:dyDescent="0.25">
      <c r="A231" s="81">
        <v>11</v>
      </c>
      <c r="B231" s="88">
        <v>5</v>
      </c>
      <c r="C231" s="38"/>
      <c r="D231" s="59"/>
      <c r="E231" s="59"/>
      <c r="F231" s="59"/>
      <c r="G231" s="59"/>
      <c r="H231" s="59"/>
      <c r="I231" s="400"/>
      <c r="J231" s="400"/>
      <c r="K231" s="400"/>
      <c r="L231" s="9"/>
      <c r="M231" s="9"/>
      <c r="N231" s="9"/>
      <c r="O231" s="76">
        <f>IF($B201&lt;O$66,0,(($B201/$C201)*N$22))</f>
        <v>0</v>
      </c>
      <c r="P231" s="76">
        <f t="shared" ref="P231:AA231" si="339">IF($B201&lt;(P$66-$D$66),0,(((($B201-N$215))/$C201)*$N$22))</f>
        <v>0</v>
      </c>
      <c r="Q231" s="76">
        <f t="shared" si="339"/>
        <v>0</v>
      </c>
      <c r="R231" s="76">
        <f t="shared" si="339"/>
        <v>0</v>
      </c>
      <c r="S231" s="76">
        <f t="shared" si="339"/>
        <v>0</v>
      </c>
      <c r="T231" s="76">
        <f t="shared" si="339"/>
        <v>0</v>
      </c>
      <c r="U231" s="76">
        <f t="shared" si="339"/>
        <v>0</v>
      </c>
      <c r="V231" s="76">
        <f t="shared" si="339"/>
        <v>0</v>
      </c>
      <c r="W231" s="76">
        <f t="shared" si="339"/>
        <v>0</v>
      </c>
      <c r="X231" s="76">
        <f t="shared" si="339"/>
        <v>0</v>
      </c>
      <c r="Y231" s="76">
        <f t="shared" si="339"/>
        <v>0</v>
      </c>
      <c r="Z231" s="76">
        <f t="shared" si="339"/>
        <v>0</v>
      </c>
      <c r="AA231" s="76">
        <f t="shared" si="339"/>
        <v>0</v>
      </c>
    </row>
    <row r="232" spans="1:27" s="399" customFormat="1" ht="15.75" x14ac:dyDescent="0.25">
      <c r="A232" s="81">
        <v>12</v>
      </c>
      <c r="B232" s="88">
        <v>5</v>
      </c>
      <c r="C232" s="38"/>
      <c r="D232" s="59"/>
      <c r="E232" s="59"/>
      <c r="F232" s="59"/>
      <c r="G232" s="59"/>
      <c r="H232" s="59"/>
      <c r="I232" s="400"/>
      <c r="J232" s="400"/>
      <c r="K232" s="400"/>
      <c r="L232" s="9"/>
      <c r="M232" s="9"/>
      <c r="N232" s="9"/>
      <c r="O232" s="9"/>
      <c r="P232" s="76">
        <f>IF($B202&lt;P$66,0,(($B202/$C202)*O$22))</f>
        <v>0</v>
      </c>
      <c r="Q232" s="76">
        <f t="shared" ref="Q232:AA232" si="340">IF($B202&lt;(Q$66-$D$66),0,(((($B202-O$215))/$C202)*$O$22))</f>
        <v>0</v>
      </c>
      <c r="R232" s="76">
        <f t="shared" si="340"/>
        <v>0</v>
      </c>
      <c r="S232" s="76">
        <f t="shared" si="340"/>
        <v>0</v>
      </c>
      <c r="T232" s="76">
        <f t="shared" si="340"/>
        <v>0</v>
      </c>
      <c r="U232" s="76">
        <f t="shared" si="340"/>
        <v>0</v>
      </c>
      <c r="V232" s="76">
        <f t="shared" si="340"/>
        <v>0</v>
      </c>
      <c r="W232" s="76">
        <f t="shared" si="340"/>
        <v>0</v>
      </c>
      <c r="X232" s="76">
        <f t="shared" si="340"/>
        <v>0</v>
      </c>
      <c r="Y232" s="76">
        <f t="shared" si="340"/>
        <v>0</v>
      </c>
      <c r="Z232" s="76">
        <f t="shared" si="340"/>
        <v>0</v>
      </c>
      <c r="AA232" s="76">
        <f t="shared" si="340"/>
        <v>0</v>
      </c>
    </row>
    <row r="233" spans="1:27" s="399" customFormat="1" ht="15.75" x14ac:dyDescent="0.25">
      <c r="A233" s="81">
        <v>13</v>
      </c>
      <c r="B233" s="88">
        <v>5</v>
      </c>
      <c r="C233" s="38"/>
      <c r="D233" s="59"/>
      <c r="E233" s="59"/>
      <c r="F233" s="59"/>
      <c r="G233" s="59"/>
      <c r="H233" s="59"/>
      <c r="I233" s="400"/>
      <c r="J233" s="400"/>
      <c r="K233" s="400"/>
      <c r="L233" s="9"/>
      <c r="M233" s="9"/>
      <c r="N233" s="9"/>
      <c r="O233" s="9"/>
      <c r="P233" s="9"/>
      <c r="Q233" s="76">
        <f>IF($B203&lt;Q$66,0,(($B203/$C203)*P$22))</f>
        <v>0</v>
      </c>
      <c r="R233" s="76">
        <f t="shared" ref="R233:AA233" si="341">IF($B203&lt;(R$66-$D$66),0,(((($B203-P$215))/$C203)*$P$22))</f>
        <v>0</v>
      </c>
      <c r="S233" s="76">
        <f t="shared" si="341"/>
        <v>0</v>
      </c>
      <c r="T233" s="76">
        <f t="shared" si="341"/>
        <v>0</v>
      </c>
      <c r="U233" s="76">
        <f t="shared" si="341"/>
        <v>0</v>
      </c>
      <c r="V233" s="76">
        <f t="shared" si="341"/>
        <v>0</v>
      </c>
      <c r="W233" s="76">
        <f t="shared" si="341"/>
        <v>0</v>
      </c>
      <c r="X233" s="76">
        <f t="shared" si="341"/>
        <v>0</v>
      </c>
      <c r="Y233" s="76">
        <f t="shared" si="341"/>
        <v>0</v>
      </c>
      <c r="Z233" s="76">
        <f t="shared" si="341"/>
        <v>0</v>
      </c>
      <c r="AA233" s="76">
        <f t="shared" si="341"/>
        <v>0</v>
      </c>
    </row>
    <row r="234" spans="1:27" s="399" customFormat="1" ht="15.75" x14ac:dyDescent="0.25">
      <c r="A234" s="81">
        <v>14</v>
      </c>
      <c r="B234" s="88">
        <v>5</v>
      </c>
      <c r="C234" s="38"/>
      <c r="D234" s="59"/>
      <c r="E234" s="59"/>
      <c r="F234" s="59"/>
      <c r="G234" s="59"/>
      <c r="H234" s="59"/>
      <c r="I234" s="400"/>
      <c r="J234" s="400"/>
      <c r="K234" s="400"/>
      <c r="L234" s="9"/>
      <c r="M234" s="9"/>
      <c r="N234" s="9"/>
      <c r="O234" s="9"/>
      <c r="P234" s="9"/>
      <c r="Q234" s="9"/>
      <c r="R234" s="76">
        <f>IF($B204&lt;R$66,0,(($B204/$C204)*Q$22))</f>
        <v>0</v>
      </c>
      <c r="S234" s="76">
        <f t="shared" ref="S234:AA234" si="342">IF($B204&lt;(S$66-$D$66),0,(((($B204-Q$215))/$C204)*$Q$22))</f>
        <v>0</v>
      </c>
      <c r="T234" s="76">
        <f t="shared" si="342"/>
        <v>0</v>
      </c>
      <c r="U234" s="76">
        <f t="shared" si="342"/>
        <v>0</v>
      </c>
      <c r="V234" s="76">
        <f t="shared" si="342"/>
        <v>0</v>
      </c>
      <c r="W234" s="76">
        <f t="shared" si="342"/>
        <v>0</v>
      </c>
      <c r="X234" s="76">
        <f t="shared" si="342"/>
        <v>0</v>
      </c>
      <c r="Y234" s="76">
        <f t="shared" si="342"/>
        <v>0</v>
      </c>
      <c r="Z234" s="76">
        <f t="shared" si="342"/>
        <v>0</v>
      </c>
      <c r="AA234" s="76">
        <f t="shared" si="342"/>
        <v>0</v>
      </c>
    </row>
    <row r="235" spans="1:27" s="399" customFormat="1" ht="15.75" x14ac:dyDescent="0.25">
      <c r="A235" s="81">
        <v>15</v>
      </c>
      <c r="B235" s="88">
        <v>5</v>
      </c>
      <c r="C235" s="38"/>
      <c r="D235" s="59"/>
      <c r="E235" s="59"/>
      <c r="F235" s="59"/>
      <c r="G235" s="59"/>
      <c r="H235" s="59"/>
      <c r="I235" s="400"/>
      <c r="J235" s="400"/>
      <c r="K235" s="400"/>
      <c r="L235" s="9"/>
      <c r="M235" s="9"/>
      <c r="N235" s="9"/>
      <c r="O235" s="9"/>
      <c r="P235" s="9"/>
      <c r="Q235" s="9"/>
      <c r="R235" s="9"/>
      <c r="S235" s="76">
        <f>IF($B205&lt;S$66,0,(($B205/$C205)*R$22))</f>
        <v>0</v>
      </c>
      <c r="T235" s="76">
        <f t="shared" ref="T235:AA235" si="343">IF($B205&lt;(T$66-$D$66),0,(((($B205-R$215))/$C205)*$R$22))</f>
        <v>0</v>
      </c>
      <c r="U235" s="76">
        <f t="shared" si="343"/>
        <v>0</v>
      </c>
      <c r="V235" s="76">
        <f t="shared" si="343"/>
        <v>0</v>
      </c>
      <c r="W235" s="76">
        <f t="shared" si="343"/>
        <v>0</v>
      </c>
      <c r="X235" s="76">
        <f t="shared" si="343"/>
        <v>0</v>
      </c>
      <c r="Y235" s="76">
        <f t="shared" si="343"/>
        <v>0</v>
      </c>
      <c r="Z235" s="76">
        <f t="shared" si="343"/>
        <v>0</v>
      </c>
      <c r="AA235" s="76">
        <f t="shared" si="343"/>
        <v>0</v>
      </c>
    </row>
    <row r="236" spans="1:27" s="399" customFormat="1" ht="15.75" x14ac:dyDescent="0.25">
      <c r="A236" s="81">
        <v>16</v>
      </c>
      <c r="B236" s="88">
        <v>5</v>
      </c>
      <c r="C236" s="38"/>
      <c r="D236" s="59"/>
      <c r="E236" s="59"/>
      <c r="F236" s="59"/>
      <c r="G236" s="59"/>
      <c r="H236" s="59"/>
      <c r="I236" s="400"/>
      <c r="J236" s="400"/>
      <c r="K236" s="400"/>
      <c r="L236" s="9"/>
      <c r="M236" s="9"/>
      <c r="N236" s="9"/>
      <c r="O236" s="9"/>
      <c r="P236" s="9"/>
      <c r="Q236" s="9"/>
      <c r="R236" s="9"/>
      <c r="S236" s="9"/>
      <c r="T236" s="76">
        <f>IF($B206&lt;T$66,0,(($B206/$C206)*S$22))</f>
        <v>0</v>
      </c>
      <c r="U236" s="76">
        <f t="shared" ref="U236:AA236" si="344">IF($B206&lt;(U$66-$D$66),0,(((($B206-S$215))/$C206)*$S$22))</f>
        <v>0</v>
      </c>
      <c r="V236" s="76">
        <f t="shared" si="344"/>
        <v>0</v>
      </c>
      <c r="W236" s="76">
        <f t="shared" si="344"/>
        <v>0</v>
      </c>
      <c r="X236" s="76">
        <f t="shared" si="344"/>
        <v>0</v>
      </c>
      <c r="Y236" s="76">
        <f t="shared" si="344"/>
        <v>0</v>
      </c>
      <c r="Z236" s="76">
        <f t="shared" si="344"/>
        <v>0</v>
      </c>
      <c r="AA236" s="76">
        <f t="shared" si="344"/>
        <v>0</v>
      </c>
    </row>
    <row r="237" spans="1:27" s="399" customFormat="1" ht="15.75" x14ac:dyDescent="0.25">
      <c r="A237" s="81">
        <v>17</v>
      </c>
      <c r="B237" s="88">
        <v>5</v>
      </c>
      <c r="C237" s="38"/>
      <c r="D237" s="59"/>
      <c r="E237" s="59"/>
      <c r="F237" s="59"/>
      <c r="G237" s="59"/>
      <c r="H237" s="59"/>
      <c r="I237" s="400"/>
      <c r="J237" s="400"/>
      <c r="K237" s="400"/>
      <c r="L237" s="9"/>
      <c r="M237" s="9"/>
      <c r="N237" s="9"/>
      <c r="O237" s="9"/>
      <c r="P237" s="9"/>
      <c r="Q237" s="9"/>
      <c r="R237" s="9"/>
      <c r="S237" s="9"/>
      <c r="T237" s="9"/>
      <c r="U237" s="76">
        <f>IF($B207&lt;U$66,0,(($B207/$C207)*T$22))</f>
        <v>0</v>
      </c>
      <c r="V237" s="76">
        <f t="shared" ref="V237:AA237" si="345">IF($B207&lt;(V$66-$D$66),0,(((($B207-T$215))/$C207)*$T$22))</f>
        <v>0</v>
      </c>
      <c r="W237" s="76">
        <f t="shared" si="345"/>
        <v>0</v>
      </c>
      <c r="X237" s="76">
        <f t="shared" si="345"/>
        <v>0</v>
      </c>
      <c r="Y237" s="76">
        <f t="shared" si="345"/>
        <v>0</v>
      </c>
      <c r="Z237" s="76">
        <f t="shared" si="345"/>
        <v>0</v>
      </c>
      <c r="AA237" s="76">
        <f t="shared" si="345"/>
        <v>0</v>
      </c>
    </row>
    <row r="238" spans="1:27" s="399" customFormat="1" ht="15.75" x14ac:dyDescent="0.25">
      <c r="A238" s="81">
        <v>18</v>
      </c>
      <c r="B238" s="88">
        <v>5</v>
      </c>
      <c r="C238" s="38"/>
      <c r="D238" s="59"/>
      <c r="E238" s="59"/>
      <c r="F238" s="59"/>
      <c r="G238" s="59"/>
      <c r="H238" s="59"/>
      <c r="I238" s="400"/>
      <c r="J238" s="400"/>
      <c r="K238" s="400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76">
        <f>IF($B208&lt;V$66,0,(($B208/$C208)*U$22))</f>
        <v>0</v>
      </c>
      <c r="W238" s="76">
        <f>IF($B208&lt;(W$66-$D$66),0,(((($B208-U$215))/$C208)*$U$22))</f>
        <v>0</v>
      </c>
      <c r="X238" s="76">
        <f>IF($B208&lt;(X$66-$D$66),0,(((($B208-V$215))/$C208)*$U$22))</f>
        <v>0</v>
      </c>
      <c r="Y238" s="76">
        <f>IF($B208&lt;(Y$66-$D$66),0,(((($B208-W$215))/$C208)*$U$22))</f>
        <v>0</v>
      </c>
      <c r="Z238" s="76">
        <f>IF($B208&lt;(Z$66-$D$66),0,(((($B208-X$215))/$C208)*$U$22))</f>
        <v>0</v>
      </c>
      <c r="AA238" s="76">
        <f>IF($B208&lt;(AA$66-$D$66),0,(((($B208-Y$215))/$C208)*$U$22))</f>
        <v>0</v>
      </c>
    </row>
    <row r="239" spans="1:27" s="399" customFormat="1" ht="15.75" x14ac:dyDescent="0.25">
      <c r="A239" s="81">
        <v>19</v>
      </c>
      <c r="B239" s="88">
        <v>5</v>
      </c>
      <c r="C239" s="38"/>
      <c r="D239" s="59"/>
      <c r="E239" s="59"/>
      <c r="F239" s="59"/>
      <c r="G239" s="59"/>
      <c r="H239" s="59"/>
      <c r="I239" s="400"/>
      <c r="J239" s="400"/>
      <c r="K239" s="400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76">
        <f>IF($B209&lt;W$66,0,(($B209/$C209)*V$22))</f>
        <v>0</v>
      </c>
      <c r="X239" s="76">
        <f>IF($B209&lt;(X$66-$D$66),0,(((($B209-V$215))/$C209)*$V$22))</f>
        <v>0</v>
      </c>
      <c r="Y239" s="76">
        <f>IF($B209&lt;(Y$66-$D$66),0,(((($B209-W$215))/$C209)*$V$22))</f>
        <v>0</v>
      </c>
      <c r="Z239" s="76">
        <f>IF($B209&lt;(Z$66-$D$66),0,(((($B209-X$215))/$C209)*$V$22))</f>
        <v>0</v>
      </c>
      <c r="AA239" s="76">
        <f>IF($B209&lt;(AA$66-$D$66),0,(((($B209-Y$215))/$C209)*$V$22))</f>
        <v>0</v>
      </c>
    </row>
    <row r="240" spans="1:27" s="399" customFormat="1" ht="15.75" x14ac:dyDescent="0.25">
      <c r="A240" s="81">
        <v>20</v>
      </c>
      <c r="B240" s="88">
        <v>5</v>
      </c>
      <c r="C240" s="38"/>
      <c r="D240" s="59"/>
      <c r="E240" s="59"/>
      <c r="F240" s="59"/>
      <c r="G240" s="59"/>
      <c r="H240" s="59"/>
      <c r="I240" s="400"/>
      <c r="J240" s="400"/>
      <c r="K240" s="400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76">
        <f>IF($B210&lt;X$66,0,(($B210/$C210)*W$22))</f>
        <v>0</v>
      </c>
      <c r="Y240" s="76">
        <f>IF($B210&lt;(Y$66-$D$66),0,(((($B210-W$215))/$C210)*$W$22))</f>
        <v>0</v>
      </c>
      <c r="Z240" s="76">
        <f>IF($B210&lt;(Z$66-$D$66),0,(((($B210-X$215))/$C210)*$W$22))</f>
        <v>0</v>
      </c>
      <c r="AA240" s="76">
        <f>IF($B210&lt;(AA$66-$D$66),0,(((($B210-Y$215))/$C210)*$W$22))</f>
        <v>0</v>
      </c>
    </row>
    <row r="241" spans="1:27" s="399" customFormat="1" ht="15.75" x14ac:dyDescent="0.25">
      <c r="A241" s="81">
        <v>21</v>
      </c>
      <c r="B241" s="88">
        <v>5</v>
      </c>
      <c r="C241" s="38"/>
      <c r="D241" s="59"/>
      <c r="E241" s="59"/>
      <c r="F241" s="59"/>
      <c r="G241" s="59"/>
      <c r="H241" s="59"/>
      <c r="I241" s="400"/>
      <c r="J241" s="400"/>
      <c r="K241" s="400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76">
        <f>IF($B211&lt;Y$66,0,(($B211/$C211)*X$22))</f>
        <v>0</v>
      </c>
      <c r="Z241" s="76">
        <f>IF($B211&lt;(Z$66-$D$66),0,(((($B211-X$215))/$C211)*$X$22))</f>
        <v>0</v>
      </c>
      <c r="AA241" s="76">
        <f>IF($B211&lt;(AA$66-$D$66),0,(((($B211-Y$215))/$C211)*$X$22))</f>
        <v>0</v>
      </c>
    </row>
    <row r="242" spans="1:27" s="399" customFormat="1" ht="15.75" x14ac:dyDescent="0.25">
      <c r="A242" s="81">
        <v>22</v>
      </c>
      <c r="B242" s="88">
        <v>5</v>
      </c>
      <c r="C242" s="38"/>
      <c r="D242" s="59"/>
      <c r="E242" s="59"/>
      <c r="F242" s="59"/>
      <c r="G242" s="59"/>
      <c r="H242" s="59"/>
      <c r="I242" s="400"/>
      <c r="J242" s="400"/>
      <c r="K242" s="400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76">
        <f>IF($B212&lt;Z$66,0,(($B212/$C212)*Y$22))</f>
        <v>0</v>
      </c>
      <c r="AA242" s="76">
        <f>IF($B212&lt;(AA$66-$D$66),0,(((($B212-Y$215))/$C212)*$Y$22))</f>
        <v>0</v>
      </c>
    </row>
    <row r="243" spans="1:27" s="399" customFormat="1" ht="15.75" x14ac:dyDescent="0.25">
      <c r="A243" s="81">
        <v>23</v>
      </c>
      <c r="B243" s="88">
        <v>5</v>
      </c>
      <c r="C243" s="38"/>
      <c r="D243" s="59"/>
      <c r="E243" s="59"/>
      <c r="F243" s="59"/>
      <c r="G243" s="59"/>
      <c r="H243" s="59"/>
      <c r="I243" s="400"/>
      <c r="J243" s="400"/>
      <c r="K243" s="400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76">
        <f>IF($B213&lt;AA$66,0,(($B213/$C213)*Z$22))</f>
        <v>0</v>
      </c>
    </row>
    <row r="244" spans="1:27" ht="15.75" x14ac:dyDescent="0.25">
      <c r="A244" s="81">
        <v>24</v>
      </c>
      <c r="B244" s="88">
        <v>5</v>
      </c>
      <c r="C244" s="38"/>
      <c r="D244" s="59"/>
      <c r="E244" s="59"/>
      <c r="F244" s="59"/>
      <c r="G244" s="59"/>
      <c r="H244" s="59"/>
      <c r="I244" s="83">
        <f t="shared" si="326"/>
        <v>0</v>
      </c>
      <c r="J244" s="83">
        <f t="shared" si="326"/>
        <v>0</v>
      </c>
      <c r="K244" s="83">
        <f t="shared" si="326"/>
        <v>0</v>
      </c>
      <c r="L244" s="83">
        <f t="shared" si="326"/>
        <v>0</v>
      </c>
      <c r="M244" s="83">
        <f t="shared" si="326"/>
        <v>0</v>
      </c>
      <c r="N244" s="83">
        <f t="shared" si="326"/>
        <v>0</v>
      </c>
      <c r="O244" s="83">
        <f t="shared" si="326"/>
        <v>0</v>
      </c>
      <c r="P244" s="83">
        <f t="shared" si="326"/>
        <v>0</v>
      </c>
      <c r="Q244" s="83">
        <f t="shared" si="326"/>
        <v>0</v>
      </c>
      <c r="R244" s="83">
        <f t="shared" si="326"/>
        <v>0</v>
      </c>
      <c r="S244" s="83">
        <f t="shared" si="326"/>
        <v>0</v>
      </c>
      <c r="T244" s="83">
        <f t="shared" si="326"/>
        <v>0</v>
      </c>
      <c r="U244" s="83">
        <f t="shared" si="326"/>
        <v>0</v>
      </c>
      <c r="V244" s="83">
        <f t="shared" si="326"/>
        <v>0</v>
      </c>
      <c r="W244" s="83">
        <f t="shared" si="326"/>
        <v>0</v>
      </c>
      <c r="X244" s="83">
        <f t="shared" si="326"/>
        <v>0</v>
      </c>
      <c r="Y244" s="83">
        <f t="shared" si="326"/>
        <v>0</v>
      </c>
      <c r="Z244" s="83">
        <f t="shared" si="326"/>
        <v>0</v>
      </c>
      <c r="AA244" s="83">
        <f t="shared" si="326"/>
        <v>0</v>
      </c>
    </row>
    <row r="245" spans="1:27" x14ac:dyDescent="0.25">
      <c r="A245" s="59" t="s">
        <v>95</v>
      </c>
      <c r="B245" s="59"/>
      <c r="C245" s="59"/>
      <c r="D245" s="83">
        <f>SUM(D221:D244)</f>
        <v>10635943</v>
      </c>
      <c r="E245" s="83">
        <f t="shared" ref="E245:AA276" si="346">SUM(E221:E244)</f>
        <v>10635943</v>
      </c>
      <c r="F245" s="83">
        <f t="shared" si="346"/>
        <v>10635943</v>
      </c>
      <c r="G245" s="83">
        <f t="shared" si="346"/>
        <v>10635943</v>
      </c>
      <c r="H245" s="83">
        <f t="shared" si="346"/>
        <v>10635943</v>
      </c>
      <c r="I245" s="83">
        <f>IF(I215&gt;$B$190+1,0,H215+I244)</f>
        <v>53179715</v>
      </c>
      <c r="J245" s="83">
        <f t="shared" ref="J245:AA245" si="347">IF(J215&gt;$B$190+1,0,I245+J244)</f>
        <v>0</v>
      </c>
      <c r="K245" s="83">
        <f t="shared" si="347"/>
        <v>0</v>
      </c>
      <c r="L245" s="83">
        <f t="shared" si="347"/>
        <v>0</v>
      </c>
      <c r="M245" s="83">
        <f t="shared" si="347"/>
        <v>0</v>
      </c>
      <c r="N245" s="83">
        <f t="shared" si="347"/>
        <v>0</v>
      </c>
      <c r="O245" s="83">
        <f t="shared" si="347"/>
        <v>0</v>
      </c>
      <c r="P245" s="83">
        <f t="shared" si="347"/>
        <v>0</v>
      </c>
      <c r="Q245" s="83">
        <f t="shared" si="347"/>
        <v>0</v>
      </c>
      <c r="R245" s="83">
        <f t="shared" si="347"/>
        <v>0</v>
      </c>
      <c r="S245" s="83">
        <f t="shared" si="347"/>
        <v>0</v>
      </c>
      <c r="T245" s="83">
        <f t="shared" si="347"/>
        <v>0</v>
      </c>
      <c r="U245" s="83">
        <f t="shared" si="347"/>
        <v>0</v>
      </c>
      <c r="V245" s="83">
        <f t="shared" si="347"/>
        <v>0</v>
      </c>
      <c r="W245" s="83">
        <f t="shared" si="347"/>
        <v>0</v>
      </c>
      <c r="X245" s="83">
        <f t="shared" si="347"/>
        <v>0</v>
      </c>
      <c r="Y245" s="83">
        <f t="shared" si="347"/>
        <v>0</v>
      </c>
      <c r="Z245" s="83">
        <f t="shared" si="347"/>
        <v>0</v>
      </c>
      <c r="AA245" s="83">
        <f t="shared" si="347"/>
        <v>0</v>
      </c>
    </row>
    <row r="246" spans="1:27" x14ac:dyDescent="0.25">
      <c r="A246" s="59" t="s">
        <v>96</v>
      </c>
      <c r="B246" s="59"/>
      <c r="C246" s="59"/>
      <c r="D246" s="83">
        <f>D245</f>
        <v>10635943</v>
      </c>
      <c r="E246" s="83">
        <f>IF(E1&gt;$B$221+1,0,D246+E245)</f>
        <v>21271886</v>
      </c>
      <c r="F246" s="83">
        <f>IF(F1&gt;$B$221+1,0,E246+F245)</f>
        <v>31907829</v>
      </c>
      <c r="G246" s="83">
        <f>IF(G1&gt;$B$221+1,0,F246+G245)</f>
        <v>42543772</v>
      </c>
      <c r="H246" s="83">
        <f>IF(H1&gt;$B$221+1,0,G246+H245)</f>
        <v>53179715</v>
      </c>
      <c r="I246" s="83">
        <f>H22+H216-I244</f>
        <v>0</v>
      </c>
      <c r="J246" s="83">
        <f t="shared" ref="J246:AA246" si="348">I22+I246-J244</f>
        <v>0</v>
      </c>
      <c r="K246" s="83">
        <f t="shared" si="348"/>
        <v>0</v>
      </c>
      <c r="L246" s="83">
        <f t="shared" si="348"/>
        <v>0</v>
      </c>
      <c r="M246" s="83">
        <f t="shared" si="348"/>
        <v>0</v>
      </c>
      <c r="N246" s="83">
        <f t="shared" si="348"/>
        <v>0</v>
      </c>
      <c r="O246" s="83">
        <f t="shared" si="348"/>
        <v>0</v>
      </c>
      <c r="P246" s="83">
        <f t="shared" si="348"/>
        <v>0</v>
      </c>
      <c r="Q246" s="83">
        <f t="shared" si="348"/>
        <v>0</v>
      </c>
      <c r="R246" s="83">
        <f t="shared" si="348"/>
        <v>0</v>
      </c>
      <c r="S246" s="83">
        <f t="shared" si="348"/>
        <v>0</v>
      </c>
      <c r="T246" s="83">
        <f t="shared" si="348"/>
        <v>0</v>
      </c>
      <c r="U246" s="83">
        <f t="shared" si="348"/>
        <v>0</v>
      </c>
      <c r="V246" s="83">
        <f t="shared" si="348"/>
        <v>0</v>
      </c>
      <c r="W246" s="83">
        <f t="shared" si="348"/>
        <v>0</v>
      </c>
      <c r="X246" s="83">
        <f t="shared" si="348"/>
        <v>0</v>
      </c>
      <c r="Y246" s="83">
        <f t="shared" si="348"/>
        <v>0</v>
      </c>
      <c r="Z246" s="83">
        <f t="shared" si="348"/>
        <v>0</v>
      </c>
      <c r="AA246" s="83">
        <f t="shared" si="348"/>
        <v>0</v>
      </c>
    </row>
    <row r="247" spans="1:27" x14ac:dyDescent="0.25">
      <c r="A247" s="59" t="s">
        <v>98</v>
      </c>
      <c r="B247" s="59"/>
      <c r="C247" s="59"/>
      <c r="D247" s="83">
        <f>D22-D246</f>
        <v>-10635943</v>
      </c>
      <c r="E247" s="83">
        <f>E22+D247-E245</f>
        <v>-21271886</v>
      </c>
      <c r="F247" s="83">
        <f>F22+E247-F245</f>
        <v>-31907829</v>
      </c>
      <c r="G247" s="83">
        <f>G22+F247-G245</f>
        <v>-42543772</v>
      </c>
      <c r="H247" s="83">
        <f>H22+G247-H245</f>
        <v>-53179715</v>
      </c>
      <c r="I247" s="82"/>
      <c r="J247" s="82"/>
      <c r="K247" s="82"/>
    </row>
    <row r="248" spans="1:27" x14ac:dyDescent="0.25">
      <c r="A248" s="84"/>
      <c r="B248" s="84"/>
      <c r="C248" s="84"/>
      <c r="D248" s="86"/>
      <c r="E248" s="86"/>
      <c r="F248" s="86"/>
      <c r="G248" s="86"/>
      <c r="H248" s="86"/>
      <c r="I248" s="82"/>
      <c r="J248" s="82"/>
      <c r="K248" s="82"/>
    </row>
    <row r="249" spans="1:27" ht="31.5" x14ac:dyDescent="0.5">
      <c r="A249" s="458" t="str">
        <f>+A36</f>
        <v>Equipos de Computo, Comunicaciones, Redes de Datos</v>
      </c>
      <c r="B249" s="84"/>
      <c r="C249" s="84"/>
      <c r="D249" s="86"/>
      <c r="E249" s="86"/>
      <c r="F249" s="86"/>
      <c r="G249" s="86"/>
      <c r="H249" s="86"/>
      <c r="I249" s="82"/>
      <c r="J249" s="82"/>
      <c r="K249" s="82"/>
    </row>
    <row r="250" spans="1:27" ht="23.25" x14ac:dyDescent="0.35">
      <c r="A250" s="459" t="s">
        <v>97</v>
      </c>
      <c r="C250" s="82"/>
      <c r="D250" s="82"/>
      <c r="E250" s="82"/>
      <c r="F250" s="82"/>
      <c r="G250" s="82"/>
      <c r="H250" s="82"/>
      <c r="I250" s="457">
        <f t="shared" ref="I250:AA250" si="349">+I1</f>
        <v>6</v>
      </c>
      <c r="J250" s="457">
        <f t="shared" si="349"/>
        <v>7</v>
      </c>
      <c r="K250" s="457">
        <f t="shared" si="349"/>
        <v>8</v>
      </c>
      <c r="L250" s="457">
        <f t="shared" si="349"/>
        <v>9</v>
      </c>
      <c r="M250" s="457">
        <f t="shared" si="349"/>
        <v>10</v>
      </c>
      <c r="N250" s="457">
        <f t="shared" si="349"/>
        <v>11</v>
      </c>
      <c r="O250" s="457">
        <f t="shared" si="349"/>
        <v>12</v>
      </c>
      <c r="P250" s="457">
        <f t="shared" si="349"/>
        <v>13</v>
      </c>
      <c r="Q250" s="457">
        <f t="shared" si="349"/>
        <v>14</v>
      </c>
      <c r="R250" s="457">
        <f t="shared" si="349"/>
        <v>15</v>
      </c>
      <c r="S250" s="457">
        <f t="shared" si="349"/>
        <v>16</v>
      </c>
      <c r="T250" s="457">
        <f t="shared" si="349"/>
        <v>17</v>
      </c>
      <c r="U250" s="457">
        <f t="shared" si="349"/>
        <v>18</v>
      </c>
      <c r="V250" s="457">
        <f t="shared" si="349"/>
        <v>19</v>
      </c>
      <c r="W250" s="457">
        <f t="shared" si="349"/>
        <v>20</v>
      </c>
      <c r="X250" s="457">
        <f t="shared" si="349"/>
        <v>21</v>
      </c>
      <c r="Y250" s="457">
        <f t="shared" si="349"/>
        <v>22</v>
      </c>
      <c r="Z250" s="457">
        <f t="shared" si="349"/>
        <v>23</v>
      </c>
      <c r="AA250" s="457">
        <f t="shared" si="349"/>
        <v>24</v>
      </c>
    </row>
    <row r="251" spans="1:27" ht="15.75" x14ac:dyDescent="0.25">
      <c r="A251" s="20">
        <f t="shared" ref="A251:A261" si="350">A99</f>
        <v>1</v>
      </c>
      <c r="B251" s="437" t="s">
        <v>93</v>
      </c>
      <c r="C251" s="176"/>
      <c r="D251" s="14">
        <f>D40</f>
        <v>0</v>
      </c>
      <c r="E251" s="14">
        <f>E40</f>
        <v>0</v>
      </c>
      <c r="F251" s="14">
        <f>F40</f>
        <v>0</v>
      </c>
      <c r="G251" s="14">
        <f>G40</f>
        <v>0</v>
      </c>
      <c r="H251" s="14">
        <f>H40</f>
        <v>0</v>
      </c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</row>
    <row r="252" spans="1:27" ht="15.75" x14ac:dyDescent="0.25">
      <c r="A252" s="81">
        <f t="shared" si="350"/>
        <v>2</v>
      </c>
      <c r="B252" s="25">
        <v>5</v>
      </c>
      <c r="C252" s="3"/>
      <c r="D252" s="491">
        <f>($C$36/$B252)</f>
        <v>2922010</v>
      </c>
      <c r="E252" s="83">
        <f>IF(E251&gt;$B252,0,$C$36/$B252)</f>
        <v>2922010</v>
      </c>
      <c r="F252" s="83">
        <f>IF(F251&gt;$B252,0,$C$36/$B252)</f>
        <v>2922010</v>
      </c>
      <c r="G252" s="83">
        <f>IF(G251&gt;$B252,0,$C$36/$B252)</f>
        <v>2922010</v>
      </c>
      <c r="H252" s="83">
        <f>IF(H251&gt;$B252,0,$C$36/$B252)</f>
        <v>2922010</v>
      </c>
      <c r="I252" s="83">
        <f t="shared" ref="I252:AA252" si="351">IF(I$250&gt;$B221,0,$C$22/$B221)</f>
        <v>0</v>
      </c>
      <c r="J252" s="83">
        <f t="shared" si="351"/>
        <v>0</v>
      </c>
      <c r="K252" s="83">
        <f t="shared" si="351"/>
        <v>0</v>
      </c>
      <c r="L252" s="83">
        <f t="shared" si="351"/>
        <v>0</v>
      </c>
      <c r="M252" s="83">
        <f t="shared" si="351"/>
        <v>0</v>
      </c>
      <c r="N252" s="83">
        <f t="shared" si="351"/>
        <v>0</v>
      </c>
      <c r="O252" s="83">
        <f t="shared" si="351"/>
        <v>0</v>
      </c>
      <c r="P252" s="83">
        <f t="shared" si="351"/>
        <v>0</v>
      </c>
      <c r="Q252" s="83">
        <f t="shared" si="351"/>
        <v>0</v>
      </c>
      <c r="R252" s="83">
        <f t="shared" si="351"/>
        <v>0</v>
      </c>
      <c r="S252" s="83">
        <f t="shared" si="351"/>
        <v>0</v>
      </c>
      <c r="T252" s="83">
        <f t="shared" si="351"/>
        <v>0</v>
      </c>
      <c r="U252" s="83">
        <f t="shared" si="351"/>
        <v>0</v>
      </c>
      <c r="V252" s="83">
        <f t="shared" si="351"/>
        <v>0</v>
      </c>
      <c r="W252" s="83">
        <f t="shared" si="351"/>
        <v>0</v>
      </c>
      <c r="X252" s="83">
        <f t="shared" si="351"/>
        <v>0</v>
      </c>
      <c r="Y252" s="83">
        <f t="shared" si="351"/>
        <v>0</v>
      </c>
      <c r="Z252" s="83">
        <f t="shared" si="351"/>
        <v>0</v>
      </c>
      <c r="AA252" s="83">
        <f t="shared" si="351"/>
        <v>0</v>
      </c>
    </row>
    <row r="253" spans="1:27" ht="15.75" x14ac:dyDescent="0.25">
      <c r="A253" s="81">
        <f t="shared" si="350"/>
        <v>3</v>
      </c>
      <c r="B253" s="25">
        <v>5</v>
      </c>
      <c r="C253" s="59"/>
      <c r="D253" s="59"/>
      <c r="E253" s="83">
        <f>IF((E$98-$D$98)&gt;$B253,0,$D$15/$B253)</f>
        <v>0</v>
      </c>
      <c r="F253" s="83">
        <f>IF((F$98-$D$98)&gt;$B253,0,$D$15/$B253)</f>
        <v>0</v>
      </c>
      <c r="G253" s="83">
        <f>IF((G$98-$D$98)&gt;$B253,0,$D$15/$B253)</f>
        <v>0</v>
      </c>
      <c r="H253" s="83">
        <f>IF((H$98-$D$98)&gt;$B253,0,$D$15/$B253)</f>
        <v>0</v>
      </c>
      <c r="I253" s="83">
        <f t="shared" ref="I253:AA253" si="352">IF(I$250-$D$219&gt;$B222,0,$D$22/$B222)</f>
        <v>0</v>
      </c>
      <c r="J253" s="83">
        <f t="shared" si="352"/>
        <v>0</v>
      </c>
      <c r="K253" s="83">
        <f t="shared" si="352"/>
        <v>0</v>
      </c>
      <c r="L253" s="83">
        <f t="shared" si="352"/>
        <v>0</v>
      </c>
      <c r="M253" s="83">
        <f t="shared" si="352"/>
        <v>0</v>
      </c>
      <c r="N253" s="83">
        <f t="shared" si="352"/>
        <v>0</v>
      </c>
      <c r="O253" s="83">
        <f t="shared" si="352"/>
        <v>0</v>
      </c>
      <c r="P253" s="83">
        <f t="shared" si="352"/>
        <v>0</v>
      </c>
      <c r="Q253" s="83">
        <f t="shared" si="352"/>
        <v>0</v>
      </c>
      <c r="R253" s="83">
        <f t="shared" si="352"/>
        <v>0</v>
      </c>
      <c r="S253" s="83">
        <f t="shared" si="352"/>
        <v>0</v>
      </c>
      <c r="T253" s="83">
        <f t="shared" si="352"/>
        <v>0</v>
      </c>
      <c r="U253" s="83">
        <f t="shared" si="352"/>
        <v>0</v>
      </c>
      <c r="V253" s="83">
        <f t="shared" si="352"/>
        <v>0</v>
      </c>
      <c r="W253" s="83">
        <f t="shared" si="352"/>
        <v>0</v>
      </c>
      <c r="X253" s="83">
        <f t="shared" si="352"/>
        <v>0</v>
      </c>
      <c r="Y253" s="83">
        <f t="shared" si="352"/>
        <v>0</v>
      </c>
      <c r="Z253" s="83">
        <f t="shared" si="352"/>
        <v>0</v>
      </c>
      <c r="AA253" s="83">
        <f t="shared" si="352"/>
        <v>0</v>
      </c>
    </row>
    <row r="254" spans="1:27" ht="15.75" x14ac:dyDescent="0.25">
      <c r="A254" s="81">
        <f t="shared" si="350"/>
        <v>4</v>
      </c>
      <c r="B254" s="25">
        <v>5</v>
      </c>
      <c r="C254" s="59"/>
      <c r="D254" s="59"/>
      <c r="E254" s="59"/>
      <c r="F254" s="83">
        <f>IF((F$98-$E$98)&gt;$B254,0,$E$15/$B254)</f>
        <v>0</v>
      </c>
      <c r="G254" s="83">
        <f>IF((G$98-$E$98)&gt;$B254,0,$E$15/$B254)</f>
        <v>0</v>
      </c>
      <c r="H254" s="83">
        <f>IF((H$98-$E$98)&gt;$B254,0,$E$15/$B254)</f>
        <v>0</v>
      </c>
      <c r="I254" s="83">
        <f t="shared" ref="I254:AA254" si="353">IF(I$250-$E$219&gt;$B223,0,$E$22/$B223)</f>
        <v>0</v>
      </c>
      <c r="J254" s="83">
        <f t="shared" si="353"/>
        <v>0</v>
      </c>
      <c r="K254" s="83">
        <f t="shared" si="353"/>
        <v>0</v>
      </c>
      <c r="L254" s="83">
        <f t="shared" si="353"/>
        <v>0</v>
      </c>
      <c r="M254" s="83">
        <f t="shared" si="353"/>
        <v>0</v>
      </c>
      <c r="N254" s="83">
        <f t="shared" si="353"/>
        <v>0</v>
      </c>
      <c r="O254" s="83">
        <f t="shared" si="353"/>
        <v>0</v>
      </c>
      <c r="P254" s="83">
        <f t="shared" si="353"/>
        <v>0</v>
      </c>
      <c r="Q254" s="83">
        <f t="shared" si="353"/>
        <v>0</v>
      </c>
      <c r="R254" s="83">
        <f t="shared" si="353"/>
        <v>0</v>
      </c>
      <c r="S254" s="83">
        <f t="shared" si="353"/>
        <v>0</v>
      </c>
      <c r="T254" s="83">
        <f t="shared" si="353"/>
        <v>0</v>
      </c>
      <c r="U254" s="83">
        <f t="shared" si="353"/>
        <v>0</v>
      </c>
      <c r="V254" s="83">
        <f t="shared" si="353"/>
        <v>0</v>
      </c>
      <c r="W254" s="83">
        <f t="shared" si="353"/>
        <v>0</v>
      </c>
      <c r="X254" s="83">
        <f t="shared" si="353"/>
        <v>0</v>
      </c>
      <c r="Y254" s="83">
        <f t="shared" si="353"/>
        <v>0</v>
      </c>
      <c r="Z254" s="83">
        <f t="shared" si="353"/>
        <v>0</v>
      </c>
      <c r="AA254" s="83">
        <f t="shared" si="353"/>
        <v>0</v>
      </c>
    </row>
    <row r="255" spans="1:27" ht="15.75" x14ac:dyDescent="0.25">
      <c r="A255" s="81">
        <f t="shared" si="350"/>
        <v>5</v>
      </c>
      <c r="B255" s="25">
        <v>5</v>
      </c>
      <c r="C255" s="59"/>
      <c r="D255" s="59"/>
      <c r="E255" s="59"/>
      <c r="F255" s="59"/>
      <c r="G255" s="83">
        <f>IF((G$98-$F$98)&gt;$B255,0,$F$15/$B255)</f>
        <v>0</v>
      </c>
      <c r="H255" s="83">
        <f>IF((H$98-$F$98)&gt;$B255,0,$F$15/$B255)</f>
        <v>0</v>
      </c>
      <c r="I255" s="83">
        <f t="shared" ref="I255:AA255" si="354">IF(I$250&gt;$B224,0,$F$22/$B224)</f>
        <v>0</v>
      </c>
      <c r="J255" s="83">
        <f t="shared" si="354"/>
        <v>0</v>
      </c>
      <c r="K255" s="83">
        <f t="shared" si="354"/>
        <v>0</v>
      </c>
      <c r="L255" s="83">
        <f t="shared" si="354"/>
        <v>0</v>
      </c>
      <c r="M255" s="83">
        <f t="shared" si="354"/>
        <v>0</v>
      </c>
      <c r="N255" s="83">
        <f t="shared" si="354"/>
        <v>0</v>
      </c>
      <c r="O255" s="83">
        <f t="shared" si="354"/>
        <v>0</v>
      </c>
      <c r="P255" s="83">
        <f t="shared" si="354"/>
        <v>0</v>
      </c>
      <c r="Q255" s="83">
        <f t="shared" si="354"/>
        <v>0</v>
      </c>
      <c r="R255" s="83">
        <f t="shared" si="354"/>
        <v>0</v>
      </c>
      <c r="S255" s="83">
        <f t="shared" si="354"/>
        <v>0</v>
      </c>
      <c r="T255" s="83">
        <f t="shared" si="354"/>
        <v>0</v>
      </c>
      <c r="U255" s="83">
        <f t="shared" si="354"/>
        <v>0</v>
      </c>
      <c r="V255" s="83">
        <f t="shared" si="354"/>
        <v>0</v>
      </c>
      <c r="W255" s="83">
        <f t="shared" si="354"/>
        <v>0</v>
      </c>
      <c r="X255" s="83">
        <f t="shared" si="354"/>
        <v>0</v>
      </c>
      <c r="Y255" s="83">
        <f t="shared" si="354"/>
        <v>0</v>
      </c>
      <c r="Z255" s="83">
        <f t="shared" si="354"/>
        <v>0</v>
      </c>
      <c r="AA255" s="83">
        <f t="shared" si="354"/>
        <v>0</v>
      </c>
    </row>
    <row r="256" spans="1:27" ht="15.75" x14ac:dyDescent="0.25">
      <c r="A256" s="81">
        <f t="shared" si="350"/>
        <v>6</v>
      </c>
      <c r="B256" s="25">
        <v>5</v>
      </c>
      <c r="C256" s="59"/>
      <c r="D256" s="59"/>
      <c r="E256" s="59"/>
      <c r="F256" s="59"/>
      <c r="G256" s="59"/>
      <c r="H256" s="83">
        <f>IF((H$98-$G$98)&gt;$B256,0,$G$15/$B256)</f>
        <v>0</v>
      </c>
      <c r="I256" s="83">
        <f t="shared" ref="I256:AA256" si="355">IF(I$250&gt;$B225,0,$G$22/$B225)</f>
        <v>0</v>
      </c>
      <c r="J256" s="83">
        <f t="shared" si="355"/>
        <v>0</v>
      </c>
      <c r="K256" s="83">
        <f t="shared" si="355"/>
        <v>0</v>
      </c>
      <c r="L256" s="83">
        <f t="shared" si="355"/>
        <v>0</v>
      </c>
      <c r="M256" s="83">
        <f t="shared" si="355"/>
        <v>0</v>
      </c>
      <c r="N256" s="83">
        <f t="shared" si="355"/>
        <v>0</v>
      </c>
      <c r="O256" s="83">
        <f t="shared" si="355"/>
        <v>0</v>
      </c>
      <c r="P256" s="83">
        <f t="shared" si="355"/>
        <v>0</v>
      </c>
      <c r="Q256" s="83">
        <f t="shared" si="355"/>
        <v>0</v>
      </c>
      <c r="R256" s="83">
        <f t="shared" si="355"/>
        <v>0</v>
      </c>
      <c r="S256" s="83">
        <f t="shared" si="355"/>
        <v>0</v>
      </c>
      <c r="T256" s="83">
        <f t="shared" si="355"/>
        <v>0</v>
      </c>
      <c r="U256" s="83">
        <f t="shared" si="355"/>
        <v>0</v>
      </c>
      <c r="V256" s="83">
        <f t="shared" si="355"/>
        <v>0</v>
      </c>
      <c r="W256" s="83">
        <f t="shared" si="355"/>
        <v>0</v>
      </c>
      <c r="X256" s="83">
        <f t="shared" si="355"/>
        <v>0</v>
      </c>
      <c r="Y256" s="83">
        <f t="shared" si="355"/>
        <v>0</v>
      </c>
      <c r="Z256" s="83">
        <f t="shared" si="355"/>
        <v>0</v>
      </c>
      <c r="AA256" s="83">
        <f t="shared" si="355"/>
        <v>0</v>
      </c>
    </row>
    <row r="257" spans="1:27" ht="15.75" x14ac:dyDescent="0.25">
      <c r="A257" s="81">
        <f t="shared" si="350"/>
        <v>7</v>
      </c>
      <c r="B257" s="25">
        <v>5</v>
      </c>
      <c r="C257" s="59"/>
      <c r="D257" s="59"/>
      <c r="E257" s="59"/>
      <c r="F257" s="59"/>
      <c r="G257" s="59"/>
      <c r="H257" s="59"/>
      <c r="I257" s="83">
        <f>IF(I$250&gt;$B226,0,H$22/$B226)</f>
        <v>0</v>
      </c>
      <c r="J257" s="83">
        <f t="shared" ref="J257:AA257" si="356">IF(J$250&gt;$B226,0,$H$22/$B226)</f>
        <v>0</v>
      </c>
      <c r="K257" s="83">
        <f t="shared" si="356"/>
        <v>0</v>
      </c>
      <c r="L257" s="83">
        <f t="shared" si="356"/>
        <v>0</v>
      </c>
      <c r="M257" s="83">
        <f t="shared" si="356"/>
        <v>0</v>
      </c>
      <c r="N257" s="83">
        <f t="shared" si="356"/>
        <v>0</v>
      </c>
      <c r="O257" s="83">
        <f t="shared" si="356"/>
        <v>0</v>
      </c>
      <c r="P257" s="83">
        <f t="shared" si="356"/>
        <v>0</v>
      </c>
      <c r="Q257" s="83">
        <f t="shared" si="356"/>
        <v>0</v>
      </c>
      <c r="R257" s="83">
        <f t="shared" si="356"/>
        <v>0</v>
      </c>
      <c r="S257" s="83">
        <f t="shared" si="356"/>
        <v>0</v>
      </c>
      <c r="T257" s="83">
        <f t="shared" si="356"/>
        <v>0</v>
      </c>
      <c r="U257" s="83">
        <f t="shared" si="356"/>
        <v>0</v>
      </c>
      <c r="V257" s="83">
        <f t="shared" si="356"/>
        <v>0</v>
      </c>
      <c r="W257" s="83">
        <f t="shared" si="356"/>
        <v>0</v>
      </c>
      <c r="X257" s="83">
        <f t="shared" si="356"/>
        <v>0</v>
      </c>
      <c r="Y257" s="83">
        <f t="shared" si="356"/>
        <v>0</v>
      </c>
      <c r="Z257" s="83">
        <f t="shared" si="356"/>
        <v>0</v>
      </c>
      <c r="AA257" s="83">
        <f t="shared" si="356"/>
        <v>0</v>
      </c>
    </row>
    <row r="258" spans="1:27" ht="15.75" x14ac:dyDescent="0.25">
      <c r="A258" s="81">
        <f t="shared" si="350"/>
        <v>8</v>
      </c>
      <c r="B258" s="25">
        <v>5</v>
      </c>
      <c r="C258" s="59"/>
      <c r="D258" s="59"/>
      <c r="E258" s="59"/>
      <c r="F258" s="59"/>
      <c r="G258" s="59"/>
      <c r="H258" s="59"/>
      <c r="I258" s="59"/>
      <c r="J258" s="83">
        <f>IF(J$250&gt;$B227,0,I$22/$B227)</f>
        <v>0</v>
      </c>
      <c r="K258" s="83">
        <f t="shared" ref="K258:AA258" si="357">IF(K$250&gt;$B227,0,$I$22/$B227)</f>
        <v>0</v>
      </c>
      <c r="L258" s="83">
        <f t="shared" si="357"/>
        <v>0</v>
      </c>
      <c r="M258" s="83">
        <f t="shared" si="357"/>
        <v>0</v>
      </c>
      <c r="N258" s="83">
        <f t="shared" si="357"/>
        <v>0</v>
      </c>
      <c r="O258" s="83">
        <f t="shared" si="357"/>
        <v>0</v>
      </c>
      <c r="P258" s="83">
        <f t="shared" si="357"/>
        <v>0</v>
      </c>
      <c r="Q258" s="83">
        <f t="shared" si="357"/>
        <v>0</v>
      </c>
      <c r="R258" s="83">
        <f t="shared" si="357"/>
        <v>0</v>
      </c>
      <c r="S258" s="83">
        <f t="shared" si="357"/>
        <v>0</v>
      </c>
      <c r="T258" s="83">
        <f t="shared" si="357"/>
        <v>0</v>
      </c>
      <c r="U258" s="83">
        <f t="shared" si="357"/>
        <v>0</v>
      </c>
      <c r="V258" s="83">
        <f t="shared" si="357"/>
        <v>0</v>
      </c>
      <c r="W258" s="83">
        <f t="shared" si="357"/>
        <v>0</v>
      </c>
      <c r="X258" s="83">
        <f t="shared" si="357"/>
        <v>0</v>
      </c>
      <c r="Y258" s="83">
        <f t="shared" si="357"/>
        <v>0</v>
      </c>
      <c r="Z258" s="83">
        <f t="shared" si="357"/>
        <v>0</v>
      </c>
      <c r="AA258" s="83">
        <f t="shared" si="357"/>
        <v>0</v>
      </c>
    </row>
    <row r="259" spans="1:27" ht="15.75" x14ac:dyDescent="0.25">
      <c r="A259" s="81">
        <f t="shared" si="350"/>
        <v>9</v>
      </c>
      <c r="B259" s="25">
        <v>5</v>
      </c>
      <c r="C259" s="59"/>
      <c r="D259" s="59"/>
      <c r="E259" s="59"/>
      <c r="F259" s="59"/>
      <c r="G259" s="59"/>
      <c r="H259" s="59"/>
      <c r="I259" s="59"/>
      <c r="J259" s="59"/>
      <c r="K259" s="83">
        <f>IF(K$250&gt;$B228,0,J$22/$B228)</f>
        <v>0</v>
      </c>
      <c r="L259" s="83">
        <f t="shared" ref="L259:AA259" si="358">IF(L$250&gt;$B228,0,$J$22/$B228)</f>
        <v>0</v>
      </c>
      <c r="M259" s="83">
        <f t="shared" si="358"/>
        <v>0</v>
      </c>
      <c r="N259" s="83">
        <f t="shared" si="358"/>
        <v>0</v>
      </c>
      <c r="O259" s="83">
        <f t="shared" si="358"/>
        <v>0</v>
      </c>
      <c r="P259" s="83">
        <f t="shared" si="358"/>
        <v>0</v>
      </c>
      <c r="Q259" s="83">
        <f t="shared" si="358"/>
        <v>0</v>
      </c>
      <c r="R259" s="83">
        <f t="shared" si="358"/>
        <v>0</v>
      </c>
      <c r="S259" s="83">
        <f t="shared" si="358"/>
        <v>0</v>
      </c>
      <c r="T259" s="83">
        <f t="shared" si="358"/>
        <v>0</v>
      </c>
      <c r="U259" s="83">
        <f t="shared" si="358"/>
        <v>0</v>
      </c>
      <c r="V259" s="83">
        <f t="shared" si="358"/>
        <v>0</v>
      </c>
      <c r="W259" s="83">
        <f t="shared" si="358"/>
        <v>0</v>
      </c>
      <c r="X259" s="83">
        <f t="shared" si="358"/>
        <v>0</v>
      </c>
      <c r="Y259" s="83">
        <f t="shared" si="358"/>
        <v>0</v>
      </c>
      <c r="Z259" s="83">
        <f t="shared" si="358"/>
        <v>0</v>
      </c>
      <c r="AA259" s="83">
        <f t="shared" si="358"/>
        <v>0</v>
      </c>
    </row>
    <row r="260" spans="1:27" ht="15.75" x14ac:dyDescent="0.25">
      <c r="A260" s="81">
        <f t="shared" si="350"/>
        <v>10</v>
      </c>
      <c r="B260" s="25">
        <v>5</v>
      </c>
      <c r="C260" s="59"/>
      <c r="D260" s="59"/>
      <c r="E260" s="59"/>
      <c r="F260" s="59"/>
      <c r="G260" s="59"/>
      <c r="H260" s="59"/>
      <c r="I260" s="59"/>
      <c r="J260" s="59"/>
      <c r="K260" s="83"/>
      <c r="L260" s="83">
        <f>IF(L$250&gt;$B229,0,K$22/$B229)</f>
        <v>0</v>
      </c>
      <c r="M260" s="83">
        <f t="shared" ref="M260:AA260" si="359">IF(M$250&gt;$B229,0,$K$22/$B229)</f>
        <v>0</v>
      </c>
      <c r="N260" s="83">
        <f t="shared" si="359"/>
        <v>0</v>
      </c>
      <c r="O260" s="83">
        <f t="shared" si="359"/>
        <v>0</v>
      </c>
      <c r="P260" s="83">
        <f t="shared" si="359"/>
        <v>0</v>
      </c>
      <c r="Q260" s="83">
        <f t="shared" si="359"/>
        <v>0</v>
      </c>
      <c r="R260" s="83">
        <f t="shared" si="359"/>
        <v>0</v>
      </c>
      <c r="S260" s="83">
        <f t="shared" si="359"/>
        <v>0</v>
      </c>
      <c r="T260" s="83">
        <f t="shared" si="359"/>
        <v>0</v>
      </c>
      <c r="U260" s="83">
        <f t="shared" si="359"/>
        <v>0</v>
      </c>
      <c r="V260" s="83">
        <f t="shared" si="359"/>
        <v>0</v>
      </c>
      <c r="W260" s="83">
        <f t="shared" si="359"/>
        <v>0</v>
      </c>
      <c r="X260" s="83">
        <f t="shared" si="359"/>
        <v>0</v>
      </c>
      <c r="Y260" s="83">
        <f t="shared" si="359"/>
        <v>0</v>
      </c>
      <c r="Z260" s="83">
        <f t="shared" si="359"/>
        <v>0</v>
      </c>
      <c r="AA260" s="83">
        <f t="shared" si="359"/>
        <v>0</v>
      </c>
    </row>
    <row r="261" spans="1:27" ht="15.75" x14ac:dyDescent="0.25">
      <c r="A261" s="81">
        <f t="shared" si="350"/>
        <v>11</v>
      </c>
      <c r="B261" s="25">
        <v>5</v>
      </c>
      <c r="C261" s="59"/>
      <c r="D261" s="59"/>
      <c r="E261" s="59"/>
      <c r="F261" s="59"/>
      <c r="G261" s="59"/>
      <c r="H261" s="59"/>
      <c r="I261" s="59"/>
      <c r="J261" s="59"/>
      <c r="K261" s="83"/>
      <c r="L261" s="83"/>
      <c r="M261" s="83">
        <f>IF(M$250&gt;$B230,0,L$22/$B230)</f>
        <v>0</v>
      </c>
      <c r="N261" s="83">
        <f t="shared" ref="N261:AA261" si="360">IF(N$250&gt;$B230,0,$L$22/$B230)</f>
        <v>0</v>
      </c>
      <c r="O261" s="83">
        <f t="shared" si="360"/>
        <v>0</v>
      </c>
      <c r="P261" s="83">
        <f t="shared" si="360"/>
        <v>0</v>
      </c>
      <c r="Q261" s="83">
        <f t="shared" si="360"/>
        <v>0</v>
      </c>
      <c r="R261" s="83">
        <f t="shared" si="360"/>
        <v>0</v>
      </c>
      <c r="S261" s="83">
        <f t="shared" si="360"/>
        <v>0</v>
      </c>
      <c r="T261" s="83">
        <f t="shared" si="360"/>
        <v>0</v>
      </c>
      <c r="U261" s="83">
        <f t="shared" si="360"/>
        <v>0</v>
      </c>
      <c r="V261" s="83">
        <f t="shared" si="360"/>
        <v>0</v>
      </c>
      <c r="W261" s="83">
        <f t="shared" si="360"/>
        <v>0</v>
      </c>
      <c r="X261" s="83">
        <f t="shared" si="360"/>
        <v>0</v>
      </c>
      <c r="Y261" s="83">
        <f t="shared" si="360"/>
        <v>0</v>
      </c>
      <c r="Z261" s="83">
        <f t="shared" si="360"/>
        <v>0</v>
      </c>
      <c r="AA261" s="83">
        <f t="shared" si="360"/>
        <v>0</v>
      </c>
    </row>
    <row r="262" spans="1:27" ht="15.75" x14ac:dyDescent="0.25">
      <c r="A262" s="81">
        <v>11</v>
      </c>
      <c r="B262" s="25">
        <v>5</v>
      </c>
      <c r="C262" s="59"/>
      <c r="D262" s="59"/>
      <c r="E262" s="59"/>
      <c r="F262" s="59"/>
      <c r="G262" s="59"/>
      <c r="H262" s="59"/>
      <c r="I262" s="59"/>
      <c r="J262" s="59"/>
      <c r="K262" s="83"/>
      <c r="L262" s="83"/>
      <c r="M262" s="83"/>
      <c r="N262" s="83">
        <f>IF(N$250&gt;$B231,0,M$22/$B231)</f>
        <v>0</v>
      </c>
      <c r="O262" s="83">
        <f t="shared" ref="O262:AA262" si="361">IF(O$250&gt;$B231,0,$M$22/$B231)</f>
        <v>0</v>
      </c>
      <c r="P262" s="83">
        <f t="shared" si="361"/>
        <v>0</v>
      </c>
      <c r="Q262" s="83">
        <f t="shared" si="361"/>
        <v>0</v>
      </c>
      <c r="R262" s="83">
        <f t="shared" si="361"/>
        <v>0</v>
      </c>
      <c r="S262" s="83">
        <f t="shared" si="361"/>
        <v>0</v>
      </c>
      <c r="T262" s="83">
        <f t="shared" si="361"/>
        <v>0</v>
      </c>
      <c r="U262" s="83">
        <f t="shared" si="361"/>
        <v>0</v>
      </c>
      <c r="V262" s="83">
        <f t="shared" si="361"/>
        <v>0</v>
      </c>
      <c r="W262" s="83">
        <f t="shared" si="361"/>
        <v>0</v>
      </c>
      <c r="X262" s="83">
        <f t="shared" si="361"/>
        <v>0</v>
      </c>
      <c r="Y262" s="83">
        <f t="shared" si="361"/>
        <v>0</v>
      </c>
      <c r="Z262" s="83">
        <f t="shared" si="361"/>
        <v>0</v>
      </c>
      <c r="AA262" s="83">
        <f t="shared" si="361"/>
        <v>0</v>
      </c>
    </row>
    <row r="263" spans="1:27" ht="15.75" x14ac:dyDescent="0.25">
      <c r="A263" s="81">
        <v>12</v>
      </c>
      <c r="B263" s="25">
        <v>5</v>
      </c>
      <c r="C263" s="59"/>
      <c r="D263" s="59"/>
      <c r="E263" s="59"/>
      <c r="F263" s="59"/>
      <c r="G263" s="59"/>
      <c r="H263" s="59"/>
      <c r="I263" s="59"/>
      <c r="J263" s="59"/>
      <c r="K263" s="83"/>
      <c r="L263" s="83"/>
      <c r="M263" s="83"/>
      <c r="N263" s="83"/>
      <c r="O263" s="83">
        <f>IF(O$250&gt;$B232,0,N$22/$B232)</f>
        <v>0</v>
      </c>
      <c r="P263" s="83">
        <f t="shared" ref="P263:AA263" si="362">IF(P$250&gt;$B232,0,$N$22/$B232)</f>
        <v>0</v>
      </c>
      <c r="Q263" s="83">
        <f t="shared" si="362"/>
        <v>0</v>
      </c>
      <c r="R263" s="83">
        <f t="shared" si="362"/>
        <v>0</v>
      </c>
      <c r="S263" s="83">
        <f t="shared" si="362"/>
        <v>0</v>
      </c>
      <c r="T263" s="83">
        <f t="shared" si="362"/>
        <v>0</v>
      </c>
      <c r="U263" s="83">
        <f t="shared" si="362"/>
        <v>0</v>
      </c>
      <c r="V263" s="83">
        <f t="shared" si="362"/>
        <v>0</v>
      </c>
      <c r="W263" s="83">
        <f t="shared" si="362"/>
        <v>0</v>
      </c>
      <c r="X263" s="83">
        <f t="shared" si="362"/>
        <v>0</v>
      </c>
      <c r="Y263" s="83">
        <f t="shared" si="362"/>
        <v>0</v>
      </c>
      <c r="Z263" s="83">
        <f t="shared" si="362"/>
        <v>0</v>
      </c>
      <c r="AA263" s="83">
        <f t="shared" si="362"/>
        <v>0</v>
      </c>
    </row>
    <row r="264" spans="1:27" ht="15.75" x14ac:dyDescent="0.25">
      <c r="A264" s="81">
        <v>13</v>
      </c>
      <c r="B264" s="25">
        <v>5</v>
      </c>
      <c r="C264" s="59"/>
      <c r="D264" s="59"/>
      <c r="E264" s="59"/>
      <c r="F264" s="59"/>
      <c r="G264" s="59"/>
      <c r="H264" s="59"/>
      <c r="I264" s="59"/>
      <c r="J264" s="59"/>
      <c r="K264" s="83"/>
      <c r="L264" s="83"/>
      <c r="M264" s="83"/>
      <c r="N264" s="83"/>
      <c r="O264" s="83"/>
      <c r="P264" s="83">
        <f>IF(P$250&gt;$B233,0,O$22/$B233)</f>
        <v>0</v>
      </c>
      <c r="Q264" s="83">
        <f t="shared" ref="Q264:AA264" si="363">IF(Q$250&gt;$B233,0,$O$22/$B233)</f>
        <v>0</v>
      </c>
      <c r="R264" s="83">
        <f t="shared" si="363"/>
        <v>0</v>
      </c>
      <c r="S264" s="83">
        <f t="shared" si="363"/>
        <v>0</v>
      </c>
      <c r="T264" s="83">
        <f t="shared" si="363"/>
        <v>0</v>
      </c>
      <c r="U264" s="83">
        <f t="shared" si="363"/>
        <v>0</v>
      </c>
      <c r="V264" s="83">
        <f t="shared" si="363"/>
        <v>0</v>
      </c>
      <c r="W264" s="83">
        <f t="shared" si="363"/>
        <v>0</v>
      </c>
      <c r="X264" s="83">
        <f t="shared" si="363"/>
        <v>0</v>
      </c>
      <c r="Y264" s="83">
        <f t="shared" si="363"/>
        <v>0</v>
      </c>
      <c r="Z264" s="83">
        <f t="shared" si="363"/>
        <v>0</v>
      </c>
      <c r="AA264" s="83">
        <f t="shared" si="363"/>
        <v>0</v>
      </c>
    </row>
    <row r="265" spans="1:27" ht="15.75" x14ac:dyDescent="0.25">
      <c r="A265" s="81">
        <v>14</v>
      </c>
      <c r="B265" s="25">
        <v>5</v>
      </c>
      <c r="C265" s="59"/>
      <c r="D265" s="59"/>
      <c r="E265" s="59"/>
      <c r="F265" s="59"/>
      <c r="G265" s="59"/>
      <c r="H265" s="59"/>
      <c r="I265" s="59"/>
      <c r="J265" s="59"/>
      <c r="K265" s="83"/>
      <c r="L265" s="83"/>
      <c r="M265" s="83"/>
      <c r="N265" s="83"/>
      <c r="O265" s="83"/>
      <c r="P265" s="83"/>
      <c r="Q265" s="83">
        <f>IF(Q$250&gt;$B234,0,P$22/$B234)</f>
        <v>0</v>
      </c>
      <c r="R265" s="83">
        <f t="shared" ref="R265:AA265" si="364">IF(R$250&gt;$B234,0,$P$22/$B234)</f>
        <v>0</v>
      </c>
      <c r="S265" s="83">
        <f t="shared" si="364"/>
        <v>0</v>
      </c>
      <c r="T265" s="83">
        <f t="shared" si="364"/>
        <v>0</v>
      </c>
      <c r="U265" s="83">
        <f t="shared" si="364"/>
        <v>0</v>
      </c>
      <c r="V265" s="83">
        <f t="shared" si="364"/>
        <v>0</v>
      </c>
      <c r="W265" s="83">
        <f t="shared" si="364"/>
        <v>0</v>
      </c>
      <c r="X265" s="83">
        <f t="shared" si="364"/>
        <v>0</v>
      </c>
      <c r="Y265" s="83">
        <f t="shared" si="364"/>
        <v>0</v>
      </c>
      <c r="Z265" s="83">
        <f t="shared" si="364"/>
        <v>0</v>
      </c>
      <c r="AA265" s="83">
        <f t="shared" si="364"/>
        <v>0</v>
      </c>
    </row>
    <row r="266" spans="1:27" ht="15.75" x14ac:dyDescent="0.25">
      <c r="A266" s="81">
        <v>15</v>
      </c>
      <c r="B266" s="25">
        <v>5</v>
      </c>
      <c r="C266" s="59"/>
      <c r="D266" s="59"/>
      <c r="E266" s="59"/>
      <c r="F266" s="59"/>
      <c r="G266" s="59"/>
      <c r="H266" s="59"/>
      <c r="I266" s="59"/>
      <c r="J266" s="59"/>
      <c r="K266" s="83"/>
      <c r="L266" s="83"/>
      <c r="M266" s="83"/>
      <c r="N266" s="83"/>
      <c r="O266" s="83"/>
      <c r="P266" s="83"/>
      <c r="Q266" s="83"/>
      <c r="R266" s="83">
        <f>IF(R$250&gt;$B235,0,Q$22/$B235)</f>
        <v>0</v>
      </c>
      <c r="S266" s="83">
        <f t="shared" ref="S266:AA266" si="365">IF(S$250&gt;$B235,0,$Q$22/$B235)</f>
        <v>0</v>
      </c>
      <c r="T266" s="83">
        <f t="shared" si="365"/>
        <v>0</v>
      </c>
      <c r="U266" s="83">
        <f t="shared" si="365"/>
        <v>0</v>
      </c>
      <c r="V266" s="83">
        <f t="shared" si="365"/>
        <v>0</v>
      </c>
      <c r="W266" s="83">
        <f t="shared" si="365"/>
        <v>0</v>
      </c>
      <c r="X266" s="83">
        <f t="shared" si="365"/>
        <v>0</v>
      </c>
      <c r="Y266" s="83">
        <f t="shared" si="365"/>
        <v>0</v>
      </c>
      <c r="Z266" s="83">
        <f t="shared" si="365"/>
        <v>0</v>
      </c>
      <c r="AA266" s="83">
        <f t="shared" si="365"/>
        <v>0</v>
      </c>
    </row>
    <row r="267" spans="1:27" ht="15.75" x14ac:dyDescent="0.25">
      <c r="A267" s="81">
        <v>16</v>
      </c>
      <c r="B267" s="25">
        <v>5</v>
      </c>
      <c r="C267" s="59"/>
      <c r="D267" s="59"/>
      <c r="E267" s="59"/>
      <c r="F267" s="59"/>
      <c r="G267" s="59"/>
      <c r="H267" s="59"/>
      <c r="I267" s="59"/>
      <c r="J267" s="59"/>
      <c r="K267" s="83"/>
      <c r="L267" s="83"/>
      <c r="M267" s="83"/>
      <c r="N267" s="83"/>
      <c r="O267" s="83"/>
      <c r="P267" s="83"/>
      <c r="Q267" s="83"/>
      <c r="R267" s="83"/>
      <c r="S267" s="83">
        <f>IF(S$250&gt;$B236,0,R$22/$B236)</f>
        <v>0</v>
      </c>
      <c r="T267" s="83">
        <f t="shared" ref="T267:AA267" si="366">IF(T$250&gt;$B236,0,$R$22/$B236)</f>
        <v>0</v>
      </c>
      <c r="U267" s="83">
        <f t="shared" si="366"/>
        <v>0</v>
      </c>
      <c r="V267" s="83">
        <f t="shared" si="366"/>
        <v>0</v>
      </c>
      <c r="W267" s="83">
        <f t="shared" si="366"/>
        <v>0</v>
      </c>
      <c r="X267" s="83">
        <f t="shared" si="366"/>
        <v>0</v>
      </c>
      <c r="Y267" s="83">
        <f t="shared" si="366"/>
        <v>0</v>
      </c>
      <c r="Z267" s="83">
        <f t="shared" si="366"/>
        <v>0</v>
      </c>
      <c r="AA267" s="83">
        <f t="shared" si="366"/>
        <v>0</v>
      </c>
    </row>
    <row r="268" spans="1:27" ht="15.75" x14ac:dyDescent="0.25">
      <c r="A268" s="81">
        <v>17</v>
      </c>
      <c r="B268" s="25">
        <v>5</v>
      </c>
      <c r="C268" s="59"/>
      <c r="D268" s="59"/>
      <c r="E268" s="59"/>
      <c r="F268" s="59"/>
      <c r="G268" s="59"/>
      <c r="H268" s="59"/>
      <c r="I268" s="59"/>
      <c r="J268" s="59"/>
      <c r="K268" s="83"/>
      <c r="L268" s="83"/>
      <c r="M268" s="83"/>
      <c r="N268" s="83"/>
      <c r="O268" s="83"/>
      <c r="P268" s="83"/>
      <c r="Q268" s="83"/>
      <c r="R268" s="83"/>
      <c r="S268" s="83"/>
      <c r="T268" s="83">
        <f>IF(T$250&gt;$B237,0,S$22/$B237)</f>
        <v>0</v>
      </c>
      <c r="U268" s="83">
        <f t="shared" ref="U268:AA268" si="367">IF(U$250&gt;$B237,0,$S$22/$B237)</f>
        <v>0</v>
      </c>
      <c r="V268" s="83">
        <f t="shared" si="367"/>
        <v>0</v>
      </c>
      <c r="W268" s="83">
        <f t="shared" si="367"/>
        <v>0</v>
      </c>
      <c r="X268" s="83">
        <f t="shared" si="367"/>
        <v>0</v>
      </c>
      <c r="Y268" s="83">
        <f t="shared" si="367"/>
        <v>0</v>
      </c>
      <c r="Z268" s="83">
        <f t="shared" si="367"/>
        <v>0</v>
      </c>
      <c r="AA268" s="83">
        <f t="shared" si="367"/>
        <v>0</v>
      </c>
    </row>
    <row r="269" spans="1:27" ht="15.75" x14ac:dyDescent="0.25">
      <c r="A269" s="81">
        <v>18</v>
      </c>
      <c r="B269" s="25">
        <v>5</v>
      </c>
      <c r="C269" s="59"/>
      <c r="D269" s="59"/>
      <c r="E269" s="59"/>
      <c r="F269" s="59"/>
      <c r="G269" s="59"/>
      <c r="H269" s="59"/>
      <c r="I269" s="59"/>
      <c r="J269" s="59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>
        <f>IF(U$250&gt;$B238,0,T$22/$B238)</f>
        <v>0</v>
      </c>
      <c r="V269" s="83">
        <f t="shared" ref="V269:AA269" si="368">IF(V$250&gt;$B238,0,$T$22/$B238)</f>
        <v>0</v>
      </c>
      <c r="W269" s="83">
        <f t="shared" si="368"/>
        <v>0</v>
      </c>
      <c r="X269" s="83">
        <f t="shared" si="368"/>
        <v>0</v>
      </c>
      <c r="Y269" s="83">
        <f t="shared" si="368"/>
        <v>0</v>
      </c>
      <c r="Z269" s="83">
        <f t="shared" si="368"/>
        <v>0</v>
      </c>
      <c r="AA269" s="83">
        <f t="shared" si="368"/>
        <v>0</v>
      </c>
    </row>
    <row r="270" spans="1:27" ht="15.75" x14ac:dyDescent="0.25">
      <c r="A270" s="81">
        <v>19</v>
      </c>
      <c r="B270" s="25">
        <v>5</v>
      </c>
      <c r="C270" s="59"/>
      <c r="D270" s="59"/>
      <c r="E270" s="59"/>
      <c r="F270" s="59"/>
      <c r="G270" s="59"/>
      <c r="H270" s="59"/>
      <c r="I270" s="59"/>
      <c r="J270" s="59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>
        <f>IF(V$250&gt;$B239,0,U$22/$B239)</f>
        <v>0</v>
      </c>
      <c r="W270" s="83">
        <f>IF(W$250&gt;$B239,0,$U$22/$B239)</f>
        <v>0</v>
      </c>
      <c r="X270" s="83">
        <f>IF(X$250&gt;$B239,0,$U$22/$B239)</f>
        <v>0</v>
      </c>
      <c r="Y270" s="83">
        <f>IF(Y$250&gt;$B239,0,$U$22/$B239)</f>
        <v>0</v>
      </c>
      <c r="Z270" s="83">
        <f>IF(Z$250&gt;$B239,0,$U$22/$B239)</f>
        <v>0</v>
      </c>
      <c r="AA270" s="83">
        <f>IF(AA$250&gt;$B239,0,$U$22/$B239)</f>
        <v>0</v>
      </c>
    </row>
    <row r="271" spans="1:27" ht="15.75" x14ac:dyDescent="0.25">
      <c r="A271" s="81">
        <v>20</v>
      </c>
      <c r="B271" s="25">
        <v>5</v>
      </c>
      <c r="C271" s="59"/>
      <c r="D271" s="59"/>
      <c r="E271" s="59"/>
      <c r="F271" s="59"/>
      <c r="G271" s="59"/>
      <c r="H271" s="59"/>
      <c r="I271" s="59"/>
      <c r="J271" s="59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>
        <f>IF(W$250&gt;$B240,0,V$22/$B240)</f>
        <v>0</v>
      </c>
      <c r="X271" s="83">
        <f>IF(X$250&gt;$B240,0,$V$22/$B240)</f>
        <v>0</v>
      </c>
      <c r="Y271" s="83">
        <f>IF(Y$250&gt;$B240,0,$V$22/$B240)</f>
        <v>0</v>
      </c>
      <c r="Z271" s="83">
        <f>IF(Z$250&gt;$B240,0,$V$22/$B240)</f>
        <v>0</v>
      </c>
      <c r="AA271" s="83">
        <f>IF(AA$250&gt;$B240,0,$V$22/$B240)</f>
        <v>0</v>
      </c>
    </row>
    <row r="272" spans="1:27" ht="15.75" x14ac:dyDescent="0.25">
      <c r="A272" s="81">
        <v>21</v>
      </c>
      <c r="B272" s="25">
        <v>5</v>
      </c>
      <c r="C272" s="59"/>
      <c r="D272" s="59"/>
      <c r="E272" s="59"/>
      <c r="F272" s="59"/>
      <c r="G272" s="59"/>
      <c r="H272" s="59"/>
      <c r="I272" s="59"/>
      <c r="J272" s="59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>
        <f>IF(X$250&gt;$B241,0,W$22/$B241)</f>
        <v>0</v>
      </c>
      <c r="Y272" s="83">
        <f>IF(Y$250&gt;$B241,0,$W$22/$B241)</f>
        <v>0</v>
      </c>
      <c r="Z272" s="83">
        <f>IF(Z$250&gt;$B241,0,$W$22/$B241)</f>
        <v>0</v>
      </c>
      <c r="AA272" s="83">
        <f>IF(AA$250&gt;$B241,0,$W$22/$B241)</f>
        <v>0</v>
      </c>
    </row>
    <row r="273" spans="1:27" ht="15.75" x14ac:dyDescent="0.25">
      <c r="A273" s="81">
        <v>22</v>
      </c>
      <c r="B273" s="25">
        <v>5</v>
      </c>
      <c r="C273" s="59"/>
      <c r="D273" s="59"/>
      <c r="E273" s="59"/>
      <c r="F273" s="59"/>
      <c r="G273" s="59"/>
      <c r="H273" s="59"/>
      <c r="I273" s="59"/>
      <c r="J273" s="59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>
        <f>IF(Y$250&gt;$B242,0,X$22/$B242)</f>
        <v>0</v>
      </c>
      <c r="Z273" s="83">
        <f>IF(Z$250&gt;$B242,0,$X$22/$B242)</f>
        <v>0</v>
      </c>
      <c r="AA273" s="83">
        <f>IF(AA$250&gt;$B242,0,$X$22/$B242)</f>
        <v>0</v>
      </c>
    </row>
    <row r="274" spans="1:27" ht="15.75" x14ac:dyDescent="0.25">
      <c r="A274" s="81">
        <v>23</v>
      </c>
      <c r="B274" s="25">
        <v>5</v>
      </c>
      <c r="C274" s="59"/>
      <c r="D274" s="59"/>
      <c r="E274" s="59"/>
      <c r="F274" s="59"/>
      <c r="G274" s="59"/>
      <c r="H274" s="59"/>
      <c r="I274" s="59"/>
      <c r="J274" s="59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>
        <f>IF(Z$250&gt;$B243,0,Y$22/$B243)</f>
        <v>0</v>
      </c>
      <c r="AA274" s="83">
        <f>IF(AA$250&gt;$B243,0,$Y$22/$B243)</f>
        <v>0</v>
      </c>
    </row>
    <row r="275" spans="1:27" ht="15.75" x14ac:dyDescent="0.25">
      <c r="A275" s="81">
        <v>24</v>
      </c>
      <c r="B275" s="25">
        <v>5</v>
      </c>
      <c r="C275" s="59"/>
      <c r="D275" s="59"/>
      <c r="E275" s="59"/>
      <c r="F275" s="59"/>
      <c r="G275" s="59"/>
      <c r="H275" s="59"/>
      <c r="I275" s="59"/>
      <c r="J275" s="59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>
        <f>IF(AA$250&gt;$B244,0,Z$22/$B244)</f>
        <v>0</v>
      </c>
    </row>
    <row r="276" spans="1:27" x14ac:dyDescent="0.25">
      <c r="A276" s="59" t="s">
        <v>95</v>
      </c>
      <c r="B276" s="59"/>
      <c r="C276" s="59"/>
      <c r="D276" s="83">
        <f t="shared" ref="D276:H276" si="369">SUM(D252:D275)</f>
        <v>2922010</v>
      </c>
      <c r="E276" s="83">
        <f t="shared" si="369"/>
        <v>2922010</v>
      </c>
      <c r="F276" s="83">
        <f t="shared" si="369"/>
        <v>2922010</v>
      </c>
      <c r="G276" s="83">
        <f t="shared" si="369"/>
        <v>2922010</v>
      </c>
      <c r="H276" s="83">
        <f t="shared" si="369"/>
        <v>2922010</v>
      </c>
      <c r="I276" s="83">
        <f t="shared" si="346"/>
        <v>0</v>
      </c>
      <c r="J276" s="83">
        <f t="shared" si="346"/>
        <v>0</v>
      </c>
      <c r="K276" s="83">
        <f t="shared" si="346"/>
        <v>0</v>
      </c>
      <c r="L276" s="83">
        <f t="shared" si="346"/>
        <v>0</v>
      </c>
      <c r="M276" s="83">
        <f t="shared" si="346"/>
        <v>0</v>
      </c>
      <c r="N276" s="83">
        <f>SUM(N252:N275)</f>
        <v>0</v>
      </c>
      <c r="O276" s="83">
        <f t="shared" si="346"/>
        <v>0</v>
      </c>
      <c r="P276" s="83">
        <f t="shared" si="346"/>
        <v>0</v>
      </c>
      <c r="Q276" s="83">
        <f t="shared" si="346"/>
        <v>0</v>
      </c>
      <c r="R276" s="83">
        <f t="shared" si="346"/>
        <v>0</v>
      </c>
      <c r="S276" s="83">
        <f t="shared" si="346"/>
        <v>0</v>
      </c>
      <c r="T276" s="83">
        <f t="shared" si="346"/>
        <v>0</v>
      </c>
      <c r="U276" s="83">
        <f t="shared" si="346"/>
        <v>0</v>
      </c>
      <c r="V276" s="83">
        <f t="shared" si="346"/>
        <v>0</v>
      </c>
      <c r="W276" s="83">
        <f t="shared" si="346"/>
        <v>0</v>
      </c>
      <c r="X276" s="83">
        <f t="shared" si="346"/>
        <v>0</v>
      </c>
      <c r="Y276" s="83">
        <f t="shared" si="346"/>
        <v>0</v>
      </c>
      <c r="Z276" s="83">
        <f t="shared" si="346"/>
        <v>0</v>
      </c>
      <c r="AA276" s="83">
        <f t="shared" si="346"/>
        <v>0</v>
      </c>
    </row>
    <row r="277" spans="1:27" x14ac:dyDescent="0.25">
      <c r="A277" s="59" t="s">
        <v>96</v>
      </c>
      <c r="B277" s="59"/>
      <c r="C277" s="59"/>
      <c r="D277" s="83">
        <f>D276</f>
        <v>2922010</v>
      </c>
      <c r="E277" s="83">
        <f>D277+E276</f>
        <v>5844020</v>
      </c>
      <c r="F277" s="83">
        <f t="shared" ref="F277" si="370">E277+F276</f>
        <v>8766030</v>
      </c>
      <c r="G277" s="83">
        <f t="shared" ref="G277" si="371">F277+G276</f>
        <v>11688040</v>
      </c>
      <c r="H277" s="83">
        <f t="shared" ref="H277" si="372">G277+H276</f>
        <v>14610050</v>
      </c>
      <c r="I277" s="83">
        <f>IF(I1&gt;$B$221+1,0,H246+I276)</f>
        <v>53179715</v>
      </c>
      <c r="J277" s="83">
        <f t="shared" ref="J277:AA277" si="373">IF(J1&gt;$B$221+1,0,I277+J276)</f>
        <v>0</v>
      </c>
      <c r="K277" s="83">
        <f t="shared" si="373"/>
        <v>0</v>
      </c>
      <c r="L277" s="83">
        <f t="shared" si="373"/>
        <v>0</v>
      </c>
      <c r="M277" s="83">
        <f t="shared" si="373"/>
        <v>0</v>
      </c>
      <c r="N277" s="83">
        <f t="shared" si="373"/>
        <v>0</v>
      </c>
      <c r="O277" s="83">
        <f t="shared" si="373"/>
        <v>0</v>
      </c>
      <c r="P277" s="83">
        <f t="shared" si="373"/>
        <v>0</v>
      </c>
      <c r="Q277" s="83">
        <f t="shared" si="373"/>
        <v>0</v>
      </c>
      <c r="R277" s="83">
        <f t="shared" si="373"/>
        <v>0</v>
      </c>
      <c r="S277" s="83">
        <f t="shared" si="373"/>
        <v>0</v>
      </c>
      <c r="T277" s="83">
        <f t="shared" si="373"/>
        <v>0</v>
      </c>
      <c r="U277" s="83">
        <f t="shared" si="373"/>
        <v>0</v>
      </c>
      <c r="V277" s="83">
        <f t="shared" si="373"/>
        <v>0</v>
      </c>
      <c r="W277" s="83">
        <f t="shared" si="373"/>
        <v>0</v>
      </c>
      <c r="X277" s="83">
        <f t="shared" si="373"/>
        <v>0</v>
      </c>
      <c r="Y277" s="83">
        <f t="shared" si="373"/>
        <v>0</v>
      </c>
      <c r="Z277" s="83">
        <f t="shared" si="373"/>
        <v>0</v>
      </c>
      <c r="AA277" s="83">
        <f t="shared" si="373"/>
        <v>0</v>
      </c>
    </row>
    <row r="278" spans="1:27" x14ac:dyDescent="0.25">
      <c r="A278" s="59" t="s">
        <v>98</v>
      </c>
      <c r="B278" s="59"/>
      <c r="C278" s="59"/>
      <c r="D278" s="83">
        <f>C36-D277</f>
        <v>11688040</v>
      </c>
      <c r="E278" s="83">
        <f>D53+D278-E276</f>
        <v>8766030</v>
      </c>
      <c r="F278" s="83">
        <f>E53+E278-F276</f>
        <v>5844020</v>
      </c>
      <c r="G278" s="83">
        <f>F53+F278-G276</f>
        <v>2922010</v>
      </c>
      <c r="H278" s="83">
        <f>G53+G278-H276</f>
        <v>0</v>
      </c>
      <c r="I278" s="83">
        <f>I22+H247-I276</f>
        <v>-53179715</v>
      </c>
      <c r="J278" s="83">
        <f t="shared" ref="J278:AA278" si="374">J22+I278-J276</f>
        <v>-53179715</v>
      </c>
      <c r="K278" s="83">
        <f t="shared" si="374"/>
        <v>-53179715</v>
      </c>
      <c r="L278" s="83">
        <f t="shared" si="374"/>
        <v>-53179715</v>
      </c>
      <c r="M278" s="83">
        <f t="shared" si="374"/>
        <v>-53179715</v>
      </c>
      <c r="N278" s="83">
        <f t="shared" si="374"/>
        <v>-53179715</v>
      </c>
      <c r="O278" s="83">
        <f t="shared" si="374"/>
        <v>-53179715</v>
      </c>
      <c r="P278" s="83">
        <f t="shared" si="374"/>
        <v>-53179715</v>
      </c>
      <c r="Q278" s="83">
        <f t="shared" si="374"/>
        <v>-53179715</v>
      </c>
      <c r="R278" s="83">
        <f t="shared" si="374"/>
        <v>-53179715</v>
      </c>
      <c r="S278" s="83">
        <f t="shared" si="374"/>
        <v>-53179715</v>
      </c>
      <c r="T278" s="83">
        <f t="shared" si="374"/>
        <v>-53179715</v>
      </c>
      <c r="U278" s="83">
        <f t="shared" si="374"/>
        <v>-53179715</v>
      </c>
      <c r="V278" s="83">
        <f t="shared" si="374"/>
        <v>-53179715</v>
      </c>
      <c r="W278" s="83">
        <f t="shared" si="374"/>
        <v>-53179715</v>
      </c>
      <c r="X278" s="83">
        <f t="shared" si="374"/>
        <v>-53179715</v>
      </c>
      <c r="Y278" s="83">
        <f t="shared" si="374"/>
        <v>-53179715</v>
      </c>
      <c r="Z278" s="83">
        <f t="shared" si="374"/>
        <v>-53179715</v>
      </c>
      <c r="AA278" s="83">
        <f t="shared" si="374"/>
        <v>-53179715</v>
      </c>
    </row>
    <row r="279" spans="1:27" ht="23.25" x14ac:dyDescent="0.35">
      <c r="B279" s="79"/>
    </row>
    <row r="280" spans="1:27" ht="23.25" x14ac:dyDescent="0.35">
      <c r="A280" s="459" t="s">
        <v>126</v>
      </c>
      <c r="B280" s="105"/>
      <c r="C280" s="398">
        <f>C22</f>
        <v>53179715</v>
      </c>
      <c r="D280" s="398"/>
      <c r="E280" s="398">
        <f t="shared" ref="E280:AA280" si="375">E22</f>
        <v>0</v>
      </c>
      <c r="F280" s="398">
        <f t="shared" si="375"/>
        <v>0</v>
      </c>
      <c r="G280" s="398">
        <f t="shared" si="375"/>
        <v>0</v>
      </c>
      <c r="H280" s="398">
        <f t="shared" si="375"/>
        <v>0</v>
      </c>
      <c r="I280" s="398">
        <f t="shared" si="375"/>
        <v>0</v>
      </c>
      <c r="J280" s="398">
        <f t="shared" si="375"/>
        <v>0</v>
      </c>
      <c r="K280" s="398">
        <f t="shared" si="375"/>
        <v>0</v>
      </c>
      <c r="L280" s="398">
        <f t="shared" si="375"/>
        <v>0</v>
      </c>
      <c r="M280" s="398">
        <f t="shared" si="375"/>
        <v>0</v>
      </c>
      <c r="N280" s="398">
        <f t="shared" si="375"/>
        <v>0</v>
      </c>
      <c r="O280" s="398">
        <f t="shared" si="375"/>
        <v>0</v>
      </c>
      <c r="P280" s="398">
        <f t="shared" si="375"/>
        <v>0</v>
      </c>
      <c r="Q280" s="398">
        <f t="shared" si="375"/>
        <v>0</v>
      </c>
      <c r="R280" s="398">
        <f t="shared" si="375"/>
        <v>0</v>
      </c>
      <c r="S280" s="398">
        <f t="shared" si="375"/>
        <v>0</v>
      </c>
      <c r="T280" s="398">
        <f t="shared" si="375"/>
        <v>0</v>
      </c>
      <c r="U280" s="398">
        <f t="shared" si="375"/>
        <v>0</v>
      </c>
      <c r="V280" s="398">
        <f t="shared" si="375"/>
        <v>0</v>
      </c>
      <c r="W280" s="398">
        <f t="shared" si="375"/>
        <v>0</v>
      </c>
      <c r="X280" s="398">
        <f t="shared" si="375"/>
        <v>0</v>
      </c>
      <c r="Y280" s="398">
        <f t="shared" si="375"/>
        <v>0</v>
      </c>
      <c r="Z280" s="398">
        <f t="shared" si="375"/>
        <v>0</v>
      </c>
      <c r="AA280" s="398">
        <f t="shared" si="375"/>
        <v>0</v>
      </c>
    </row>
    <row r="281" spans="1:27" ht="15.75" x14ac:dyDescent="0.25">
      <c r="A281" t="s">
        <v>123</v>
      </c>
      <c r="B281" s="106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</row>
    <row r="282" spans="1:27" x14ac:dyDescent="0.25">
      <c r="A282" t="s">
        <v>124</v>
      </c>
      <c r="B282" s="403">
        <v>0.1</v>
      </c>
      <c r="C282" s="105">
        <f t="shared" ref="C282:AA282" si="376">C$280*$B$282</f>
        <v>5317971.5</v>
      </c>
      <c r="D282" s="105">
        <f t="shared" si="376"/>
        <v>0</v>
      </c>
      <c r="E282" s="105">
        <f t="shared" si="376"/>
        <v>0</v>
      </c>
      <c r="F282" s="105">
        <f t="shared" si="376"/>
        <v>0</v>
      </c>
      <c r="G282" s="105">
        <f t="shared" si="376"/>
        <v>0</v>
      </c>
      <c r="H282" s="105">
        <f t="shared" si="376"/>
        <v>0</v>
      </c>
      <c r="I282" s="105">
        <f t="shared" si="376"/>
        <v>0</v>
      </c>
      <c r="J282" s="105">
        <f t="shared" si="376"/>
        <v>0</v>
      </c>
      <c r="K282" s="105">
        <f t="shared" si="376"/>
        <v>0</v>
      </c>
      <c r="L282" s="105">
        <f t="shared" si="376"/>
        <v>0</v>
      </c>
      <c r="M282" s="105">
        <f t="shared" si="376"/>
        <v>0</v>
      </c>
      <c r="N282" s="105">
        <f t="shared" si="376"/>
        <v>0</v>
      </c>
      <c r="O282" s="105">
        <f t="shared" si="376"/>
        <v>0</v>
      </c>
      <c r="P282" s="105">
        <f t="shared" si="376"/>
        <v>0</v>
      </c>
      <c r="Q282" s="105">
        <f t="shared" si="376"/>
        <v>0</v>
      </c>
      <c r="R282" s="105">
        <f t="shared" si="376"/>
        <v>0</v>
      </c>
      <c r="S282" s="105">
        <f t="shared" si="376"/>
        <v>0</v>
      </c>
      <c r="T282" s="105">
        <f t="shared" si="376"/>
        <v>0</v>
      </c>
      <c r="U282" s="105">
        <f t="shared" si="376"/>
        <v>0</v>
      </c>
      <c r="V282" s="105">
        <f t="shared" si="376"/>
        <v>0</v>
      </c>
      <c r="W282" s="105">
        <f t="shared" si="376"/>
        <v>0</v>
      </c>
      <c r="X282" s="105">
        <f t="shared" si="376"/>
        <v>0</v>
      </c>
      <c r="Y282" s="105">
        <f t="shared" si="376"/>
        <v>0</v>
      </c>
      <c r="Z282" s="105">
        <f t="shared" si="376"/>
        <v>0</v>
      </c>
      <c r="AA282" s="105">
        <f t="shared" si="376"/>
        <v>0</v>
      </c>
    </row>
    <row r="283" spans="1:27" s="3" customFormat="1" x14ac:dyDescent="0.25">
      <c r="A283" s="165" t="s">
        <v>125</v>
      </c>
      <c r="D283" s="404">
        <f t="shared" ref="D283:AA283" si="377">IF(C$280=0,0,(1-(C282/C280)^(1/$B286)))</f>
        <v>0.36904265551980675</v>
      </c>
      <c r="E283" s="404">
        <f t="shared" si="377"/>
        <v>0</v>
      </c>
      <c r="F283" s="404">
        <f t="shared" si="377"/>
        <v>0</v>
      </c>
      <c r="G283" s="404">
        <f t="shared" si="377"/>
        <v>0</v>
      </c>
      <c r="H283" s="404">
        <f t="shared" si="377"/>
        <v>0</v>
      </c>
      <c r="I283" s="404">
        <f t="shared" si="377"/>
        <v>0</v>
      </c>
      <c r="J283" s="404">
        <f t="shared" si="377"/>
        <v>0</v>
      </c>
      <c r="K283" s="404">
        <f t="shared" si="377"/>
        <v>0</v>
      </c>
      <c r="L283" s="404">
        <f t="shared" si="377"/>
        <v>0</v>
      </c>
      <c r="M283" s="404">
        <f t="shared" si="377"/>
        <v>0</v>
      </c>
      <c r="N283" s="404">
        <f t="shared" si="377"/>
        <v>0</v>
      </c>
      <c r="O283" s="404">
        <f t="shared" si="377"/>
        <v>0</v>
      </c>
      <c r="P283" s="404">
        <f t="shared" si="377"/>
        <v>0</v>
      </c>
      <c r="Q283" s="404">
        <f t="shared" si="377"/>
        <v>0</v>
      </c>
      <c r="R283" s="404">
        <f t="shared" si="377"/>
        <v>0</v>
      </c>
      <c r="S283" s="404">
        <f t="shared" si="377"/>
        <v>0</v>
      </c>
      <c r="T283" s="404">
        <f t="shared" si="377"/>
        <v>0</v>
      </c>
      <c r="U283" s="404">
        <f t="shared" si="377"/>
        <v>0</v>
      </c>
      <c r="V283" s="404">
        <f t="shared" si="377"/>
        <v>0</v>
      </c>
      <c r="W283" s="404">
        <f t="shared" si="377"/>
        <v>0</v>
      </c>
      <c r="X283" s="404">
        <f t="shared" si="377"/>
        <v>0</v>
      </c>
      <c r="Y283" s="404">
        <f t="shared" si="377"/>
        <v>0</v>
      </c>
      <c r="Z283" s="404">
        <f t="shared" si="377"/>
        <v>0</v>
      </c>
      <c r="AA283" s="404">
        <f t="shared" si="377"/>
        <v>0</v>
      </c>
    </row>
    <row r="284" spans="1:27" s="3" customFormat="1" ht="15.75" x14ac:dyDescent="0.25">
      <c r="A284" s="81" t="str">
        <f>A219</f>
        <v>Linea Recta</v>
      </c>
      <c r="D284" s="404"/>
      <c r="E284" s="404"/>
      <c r="F284" s="404"/>
      <c r="G284" s="404"/>
      <c r="H284" s="404"/>
      <c r="I284" s="404"/>
      <c r="J284" s="404"/>
      <c r="K284" s="404"/>
      <c r="L284" s="404"/>
      <c r="M284" s="404"/>
      <c r="N284" s="404"/>
      <c r="O284" s="404"/>
      <c r="P284" s="404"/>
      <c r="Q284" s="404"/>
      <c r="R284" s="404"/>
      <c r="S284" s="404"/>
      <c r="T284" s="404"/>
      <c r="U284" s="404"/>
      <c r="V284" s="404"/>
      <c r="W284" s="404"/>
      <c r="X284" s="404"/>
      <c r="Y284" s="404"/>
      <c r="Z284" s="404"/>
      <c r="AA284" s="404"/>
    </row>
    <row r="285" spans="1:27" s="3" customFormat="1" ht="15.75" x14ac:dyDescent="0.25">
      <c r="A285" s="81" t="str">
        <f>A220</f>
        <v>Años a proyectar</v>
      </c>
      <c r="B285" s="65"/>
      <c r="C285" s="176"/>
      <c r="D285" s="14">
        <v>1</v>
      </c>
      <c r="E285" s="14">
        <v>2</v>
      </c>
      <c r="F285" s="14">
        <v>3</v>
      </c>
      <c r="G285" s="14">
        <v>4</v>
      </c>
      <c r="H285" s="14">
        <v>5</v>
      </c>
      <c r="I285" s="14">
        <v>6</v>
      </c>
      <c r="J285" s="14">
        <v>7</v>
      </c>
      <c r="K285" s="14">
        <v>8</v>
      </c>
      <c r="L285" s="14">
        <v>9</v>
      </c>
      <c r="M285" s="14">
        <v>10</v>
      </c>
      <c r="N285" s="14">
        <v>11</v>
      </c>
      <c r="O285" s="14">
        <v>12</v>
      </c>
      <c r="P285" s="14">
        <v>13</v>
      </c>
      <c r="Q285" s="14">
        <v>14</v>
      </c>
      <c r="R285" s="14">
        <v>15</v>
      </c>
      <c r="S285" s="14">
        <v>16</v>
      </c>
      <c r="T285" s="14">
        <v>17</v>
      </c>
      <c r="U285" s="14">
        <v>18</v>
      </c>
      <c r="V285" s="14">
        <v>19</v>
      </c>
      <c r="W285" s="14">
        <v>20</v>
      </c>
      <c r="X285" s="14">
        <v>21</v>
      </c>
      <c r="Y285" s="14">
        <v>22</v>
      </c>
      <c r="Z285" s="14">
        <v>23</v>
      </c>
      <c r="AA285" s="14">
        <v>24</v>
      </c>
    </row>
    <row r="286" spans="1:27" s="3" customFormat="1" ht="15.75" x14ac:dyDescent="0.25">
      <c r="A286" s="81">
        <v>1</v>
      </c>
      <c r="B286" s="25">
        <v>5</v>
      </c>
      <c r="D286" s="83">
        <f>IF(D$285&gt;$B286,0,C$280*D$283)</f>
        <v>19625583.2433865</v>
      </c>
      <c r="E286" s="83">
        <f>IF((E$285-$D$285)&gt;$B286,0,($D280-D$286)*$D283)</f>
        <v>-7242677.3562643761</v>
      </c>
      <c r="F286" s="83">
        <f>IF((F$285-$D$285)&gt;$B286,0,($C280-SUM($D$286:E$286))*$D283)</f>
        <v>15055762.771751102</v>
      </c>
      <c r="G286" s="83">
        <f>IF((G$285-$D$285)&gt;$B286,0,($C280-SUM($D$286:F$286))*$D283)</f>
        <v>9499544.0975878295</v>
      </c>
      <c r="H286" s="83">
        <f>IF((H$285-$D$285)&gt;$B286,0,($C280-SUM($D$286:G$286))*$D283)</f>
        <v>5993807.1175865121</v>
      </c>
      <c r="I286" s="83">
        <f>IF((I$285-$D$285)&gt;$B286,0,($C280-SUM($D$286:H$286))*$D283)</f>
        <v>3781836.6222388679</v>
      </c>
      <c r="J286" s="83">
        <f>IF((J$285-$D$285)&gt;$B286,0,($C280-SUM($I$286:I$286))*$D283)</f>
        <v>0</v>
      </c>
      <c r="K286" s="83">
        <f>IF((K$285-$D$285)&gt;$B286,0,($C280-SUM($I$286:J$286))*$D283)</f>
        <v>0</v>
      </c>
      <c r="L286" s="83">
        <f>IF((L$285-$D$285)&gt;$B286,0,($C280-SUM($I$286:K$286))*$D283)</f>
        <v>0</v>
      </c>
      <c r="M286" s="83">
        <f>IF((M$285-$D$285)&gt;$B286,0,($C280-SUM($I$286:L$286))*$D283)</f>
        <v>0</v>
      </c>
      <c r="N286" s="83">
        <f>IF((N$285-$D$285)&gt;$B286,0,($C280-SUM($I$286:M$286))*$D283)</f>
        <v>0</v>
      </c>
      <c r="O286" s="83">
        <f>IF((O$285-$D$285)&gt;$B286,0,($C280-SUM($I$286:N$286))*$D283)</f>
        <v>0</v>
      </c>
      <c r="P286" s="83">
        <f>IF((P$285-$D$285)&gt;$B286,0,($C280-SUM($I$286:O$286))*$D283)</f>
        <v>0</v>
      </c>
      <c r="Q286" s="83">
        <f>IF((Q$285-$D$285)&gt;$B286,0,($C280-SUM($I$286:P$286))*$D283)</f>
        <v>0</v>
      </c>
      <c r="R286" s="83">
        <f>IF((R$285-$D$285)&gt;$B286,0,($C280-SUM($I$286:Q$286))*$D283)</f>
        <v>0</v>
      </c>
      <c r="S286" s="83">
        <f>IF((S$285-$D$285)&gt;$B286,0,($C280-SUM($I$286:R$286))*$D283)</f>
        <v>0</v>
      </c>
      <c r="T286" s="83">
        <f>IF((T$285-$D$285)&gt;$B286,0,($C280-SUM($I$286:S$286))*$D283)</f>
        <v>0</v>
      </c>
      <c r="U286" s="83">
        <f>IF((U$285-$D$285)&gt;$B286,0,($C280-SUM($I$286:T$286))*$D283)</f>
        <v>0</v>
      </c>
      <c r="V286" s="83">
        <f>IF((V$285-$D$285)&gt;$B286,0,($C280-SUM($I$286:U$286))*$D283)</f>
        <v>0</v>
      </c>
      <c r="W286" s="83">
        <f>IF((W$285-$D$285)&gt;$B286,0,($C280-SUM($I$286:V$286))*$D283)</f>
        <v>0</v>
      </c>
      <c r="X286" s="83">
        <f>IF((X$285-$D$285)&gt;$B286,0,($C280-SUM($I$286:W$286))*$D283)</f>
        <v>0</v>
      </c>
      <c r="Y286" s="83">
        <f>IF((Y$285-$D$285)&gt;$B286,0,($C280-SUM($I$286:X$286))*$D283)</f>
        <v>0</v>
      </c>
      <c r="Z286" s="83">
        <f>IF((Z$285-$D$285)&gt;$B286,0,($C280-SUM($I$286:Y$286))*$D283)</f>
        <v>0</v>
      </c>
      <c r="AA286" s="83">
        <f>IF((AA$285-$D$285)&gt;$B286,0,($C280-SUM($I$286:Z$286))*$D283)</f>
        <v>0</v>
      </c>
    </row>
    <row r="287" spans="1:27" s="3" customFormat="1" x14ac:dyDescent="0.25">
      <c r="A287" s="14">
        <v>2</v>
      </c>
      <c r="B287" s="25">
        <v>5</v>
      </c>
      <c r="C287" s="59"/>
      <c r="D287" s="59"/>
      <c r="E287" s="83">
        <f>IF(E$285&gt;$B287,0,D$280*E$283)</f>
        <v>0</v>
      </c>
      <c r="F287" s="83">
        <f>IF((F$285-$D$285)&gt;$B287,0,($D280-E$287)*$E283)</f>
        <v>0</v>
      </c>
      <c r="G287" s="83">
        <f>IF((G$285-$D$285)&gt;$B287,0,($D280-SUM($E$287:F287))*$E283)</f>
        <v>0</v>
      </c>
      <c r="H287" s="83">
        <f>IF((H$285-$D$285)&gt;$B287,0,($D280-SUM($E$287:G287))*$E283)</f>
        <v>0</v>
      </c>
      <c r="I287" s="83">
        <f>IF((I$285-$D$285)&gt;$B287,0,($D280-SUM($E$287:H287))*$E283)</f>
        <v>0</v>
      </c>
      <c r="J287" s="83">
        <f>IF((J$285-$D$285)&gt;$B287,0,($D280-SUM($I$287:I287))*$E283)</f>
        <v>0</v>
      </c>
      <c r="K287" s="83">
        <f>IF((K$285-$D$285)&gt;$B287,0,($D280-SUM($I$287:J287))*$E283)</f>
        <v>0</v>
      </c>
      <c r="L287" s="83">
        <f>IF((L$285-$D$285)&gt;$B287,0,($D280-SUM($I$287:K287))*$E283)</f>
        <v>0</v>
      </c>
      <c r="M287" s="83">
        <f>IF((M$285-$D$285)&gt;$B287,0,($D280-SUM($I$287:L287))*$E283)</f>
        <v>0</v>
      </c>
      <c r="N287" s="83">
        <f>IF((N$285-$D$285)&gt;$B287,0,($D280-SUM($I$287:M287))*$E283)</f>
        <v>0</v>
      </c>
      <c r="O287" s="83">
        <f>IF((O$285-$D$285)&gt;$B287,0,($D280-SUM($I$287:N287))*$E283)</f>
        <v>0</v>
      </c>
      <c r="P287" s="83">
        <f>IF((P$285-$D$285)&gt;$B287,0,($D280-SUM($I$287:O287))*$E283)</f>
        <v>0</v>
      </c>
      <c r="Q287" s="83">
        <f>IF((Q$285-$D$285)&gt;$B287,0,($D280-SUM($I$287:P287))*$E283)</f>
        <v>0</v>
      </c>
      <c r="R287" s="83">
        <f>IF((R$285-$D$285)&gt;$B287,0,($D280-SUM($I$287:Q287))*$E283)</f>
        <v>0</v>
      </c>
      <c r="S287" s="83">
        <f>IF((S$285-$D$285)&gt;$B287,0,($D280-SUM($I$287:R287))*$E283)</f>
        <v>0</v>
      </c>
      <c r="T287" s="83">
        <f>IF((T$285-$D$285)&gt;$B287,0,($D280-SUM($I$287:S287))*$E283)</f>
        <v>0</v>
      </c>
      <c r="U287" s="83">
        <f>IF((U$285-$D$285)&gt;$B287,0,($D280-SUM($I$287:T287))*$E283)</f>
        <v>0</v>
      </c>
      <c r="V287" s="83">
        <f>IF((V$285-$D$285)&gt;$B287,0,($D280-SUM($I$287:U287))*$E283)</f>
        <v>0</v>
      </c>
      <c r="W287" s="83">
        <f>IF((W$285-$D$285)&gt;$B287,0,($D280-SUM($I$287:V287))*$E283)</f>
        <v>0</v>
      </c>
      <c r="X287" s="83">
        <f>IF((X$285-$D$285)&gt;$B287,0,($D280-SUM($I$287:W287))*$E283)</f>
        <v>0</v>
      </c>
      <c r="Y287" s="83">
        <f>IF((Y$285-$D$285)&gt;$B287,0,($D280-SUM($I$287:X287))*$E283)</f>
        <v>0</v>
      </c>
      <c r="Z287" s="83">
        <f>IF((Z$285-$D$285)&gt;$B287,0,($D280-SUM($I$287:Y287))*$E283)</f>
        <v>0</v>
      </c>
      <c r="AA287" s="83">
        <f>IF((AA$285-$D$285)&gt;$B287,0,($D280-SUM($I$287:Z287))*$E283)</f>
        <v>0</v>
      </c>
    </row>
    <row r="288" spans="1:27" s="3" customFormat="1" x14ac:dyDescent="0.25">
      <c r="A288" s="14">
        <v>3</v>
      </c>
      <c r="B288" s="25">
        <v>5</v>
      </c>
      <c r="C288" s="59"/>
      <c r="D288" s="59"/>
      <c r="E288" s="59"/>
      <c r="F288" s="83">
        <f>IF(F$285&gt;$B288,0,E$280*F$283)</f>
        <v>0</v>
      </c>
      <c r="G288" s="83">
        <f>IF((G$98-$E$98)&gt;$B288,0,($E280-SUM($F288:F288))*$F283)</f>
        <v>0</v>
      </c>
      <c r="H288" s="83">
        <f>IF((H$98-$E$98)&gt;$B288,0,($E280-SUM($F288:G288))*$F283)</f>
        <v>0</v>
      </c>
      <c r="I288" s="83">
        <f>IF((I$98-$E$98)&gt;$B288,0,($E280-SUM($F288:H288))*$F283)</f>
        <v>0</v>
      </c>
      <c r="J288" s="83">
        <f>IF((J$98-$E$98)&gt;$B288,0,($E280-SUM($I288:I288))*$F283)</f>
        <v>0</v>
      </c>
      <c r="K288" s="83">
        <f>IF((K$98-$E$98)&gt;$B288,0,($E280-SUM($I288:J288))*$F283)</f>
        <v>0</v>
      </c>
      <c r="L288" s="83">
        <f>IF((L$98-$E$98)&gt;$B288,0,($E280-SUM($I288:K288))*$F283)</f>
        <v>0</v>
      </c>
      <c r="M288" s="83">
        <f>IF((M$98-$E$98)&gt;$B288,0,($E280-SUM($I288:L288))*$F283)</f>
        <v>0</v>
      </c>
      <c r="N288" s="83">
        <f>IF((N$98-$E$98)&gt;$B288,0,($E280-SUM($I288:M288))*$F283)</f>
        <v>0</v>
      </c>
      <c r="O288" s="83">
        <f>IF((O$98-$E$98)&gt;$B288,0,($E280-SUM($I288:N288))*$F283)</f>
        <v>0</v>
      </c>
      <c r="P288" s="83">
        <f>IF((P$98-$E$98)&gt;$B288,0,($E280-SUM($I288:O288))*$F283)</f>
        <v>0</v>
      </c>
      <c r="Q288" s="83">
        <f>IF((Q$98-$E$98)&gt;$B288,0,($E280-SUM($I288:P288))*$F283)</f>
        <v>0</v>
      </c>
      <c r="R288" s="83">
        <f>IF((R$98-$E$98)&gt;$B288,0,($E280-SUM($I288:Q288))*$F283)</f>
        <v>0</v>
      </c>
      <c r="S288" s="83">
        <f>IF((S$98-$E$98)&gt;$B288,0,($E280-SUM($I288:R288))*$F283)</f>
        <v>0</v>
      </c>
      <c r="T288" s="83">
        <f>IF((T$98-$E$98)&gt;$B288,0,($E280-SUM($I288:S288))*$F283)</f>
        <v>0</v>
      </c>
      <c r="U288" s="83">
        <f>IF((U$98-$E$98)&gt;$B288,0,($E280-SUM($I288:T288))*$F283)</f>
        <v>0</v>
      </c>
      <c r="V288" s="83">
        <f>IF((V$98-$E$98)&gt;$B288,0,($E280-SUM($I288:U288))*$F283)</f>
        <v>0</v>
      </c>
      <c r="W288" s="83">
        <f>IF((W$98-$E$98)&gt;$B288,0,($E280-SUM($I288:V288))*$F283)</f>
        <v>0</v>
      </c>
      <c r="X288" s="83">
        <f>IF((X$98-$E$98)&gt;$B288,0,($E280-SUM($I288:W288))*$F283)</f>
        <v>0</v>
      </c>
      <c r="Y288" s="83">
        <f>IF((Y$98-$E$98)&gt;$B288,0,($E280-SUM($I288:X288))*$F283)</f>
        <v>0</v>
      </c>
      <c r="Z288" s="83">
        <f>IF((Z$98-$E$98)&gt;$B288,0,($E280-SUM($I288:Y288))*$F283)</f>
        <v>0</v>
      </c>
      <c r="AA288" s="83">
        <f>IF((AA$98-$E$98)&gt;$B288,0,($E280-SUM($I288:Z288))*$F283)</f>
        <v>0</v>
      </c>
    </row>
    <row r="289" spans="1:27" s="3" customFormat="1" x14ac:dyDescent="0.25">
      <c r="A289" s="14">
        <v>4</v>
      </c>
      <c r="B289" s="25">
        <v>5</v>
      </c>
      <c r="C289" s="59"/>
      <c r="D289" s="59"/>
      <c r="E289" s="59"/>
      <c r="F289" s="59"/>
      <c r="G289" s="83">
        <f>IF(G$285&gt;$B289,0,F$280*G$283)</f>
        <v>0</v>
      </c>
      <c r="H289" s="83">
        <f>IF((H$98-$F$98)&gt;$B289,0,($F$131-SUM($G289:G289))*$G283)</f>
        <v>0</v>
      </c>
      <c r="I289" s="83">
        <f>IF((I$98-$F$98)&gt;$B289,0,($F$131-SUM($G289:H289))*$G283)</f>
        <v>0</v>
      </c>
      <c r="J289" s="83">
        <f>IF((J$98-$F$98)&gt;$B289,0,($F$131-SUM($I289:I289))*$G283)</f>
        <v>0</v>
      </c>
      <c r="K289" s="83">
        <f>IF((K$98-$F$98)&gt;$B289,0,($F$131-SUM($I289:J289))*$G283)</f>
        <v>0</v>
      </c>
      <c r="L289" s="83">
        <f>IF((L$98-$F$98)&gt;$B289,0,($F$131-SUM($I289:K289))*$G283)</f>
        <v>0</v>
      </c>
      <c r="M289" s="83">
        <f>IF((M$98-$F$98)&gt;$B289,0,($F$131-SUM($I289:L289))*$G283)</f>
        <v>0</v>
      </c>
      <c r="N289" s="83">
        <f>IF((N$98-$F$98)&gt;$B289,0,($F$131-SUM($I289:M289))*$G283)</f>
        <v>0</v>
      </c>
      <c r="O289" s="83">
        <f>IF((O$98-$F$98)&gt;$B289,0,($F$131-SUM($I289:N289))*$G283)</f>
        <v>0</v>
      </c>
      <c r="P289" s="83">
        <f>IF((P$98-$F$98)&gt;$B289,0,($F$131-SUM($I289:O289))*$G283)</f>
        <v>0</v>
      </c>
      <c r="Q289" s="83">
        <f>IF((Q$98-$F$98)&gt;$B289,0,($F$131-SUM($I289:P289))*$G283)</f>
        <v>0</v>
      </c>
      <c r="R289" s="83">
        <f>IF((R$98-$F$98)&gt;$B289,0,($F$131-SUM($I289:Q289))*$G283)</f>
        <v>0</v>
      </c>
      <c r="S289" s="83">
        <f>IF((S$98-$F$98)&gt;$B289,0,($F$131-SUM($I289:R289))*$G283)</f>
        <v>0</v>
      </c>
      <c r="T289" s="83">
        <f>IF((T$98-$F$98)&gt;$B289,0,($F$131-SUM($I289:S289))*$G283)</f>
        <v>0</v>
      </c>
      <c r="U289" s="83">
        <f>IF((U$98-$F$98)&gt;$B289,0,($F$131-SUM($I289:T289))*$G283)</f>
        <v>0</v>
      </c>
      <c r="V289" s="83">
        <f>IF((V$98-$F$98)&gt;$B289,0,($F$131-SUM($I289:U289))*$G283)</f>
        <v>0</v>
      </c>
      <c r="W289" s="83">
        <f>IF((W$98-$F$98)&gt;$B289,0,($F$131-SUM($I289:V289))*$G283)</f>
        <v>0</v>
      </c>
      <c r="X289" s="83">
        <f>IF((X$98-$F$98)&gt;$B289,0,($F$131-SUM($I289:W289))*$G283)</f>
        <v>0</v>
      </c>
      <c r="Y289" s="83">
        <f>IF((Y$98-$F$98)&gt;$B289,0,($F$131-SUM($I289:X289))*$G283)</f>
        <v>0</v>
      </c>
      <c r="Z289" s="83">
        <f>IF((Z$98-$F$98)&gt;$B289,0,($F$131-SUM($I289:Y289))*$G283)</f>
        <v>0</v>
      </c>
      <c r="AA289" s="83">
        <f>IF((AA$98-$F$98)&gt;$B289,0,($F$131-SUM($I289:Z289))*$G283)</f>
        <v>0</v>
      </c>
    </row>
    <row r="290" spans="1:27" s="3" customFormat="1" ht="15.75" x14ac:dyDescent="0.25">
      <c r="A290" s="81">
        <v>5</v>
      </c>
      <c r="B290" s="25">
        <v>5</v>
      </c>
      <c r="C290" s="59"/>
      <c r="D290" s="59"/>
      <c r="E290" s="59"/>
      <c r="F290" s="59"/>
      <c r="G290" s="59"/>
      <c r="H290" s="83">
        <f>IF(H$285&gt;$B290,0,G$280*H$283)</f>
        <v>0</v>
      </c>
      <c r="I290" s="83">
        <f>IF((I$98-$G$98)&gt;$B290,0,($G$131-SUM($H290:H290))*$H283)</f>
        <v>0</v>
      </c>
      <c r="J290" s="83">
        <f>IF((J$98-$G$98)&gt;$B290,0,($G$131-SUM($I290:I290))*$H283)</f>
        <v>0</v>
      </c>
      <c r="K290" s="83">
        <f>IF((K$98-$G$98)&gt;$B290,0,($G$131-SUM($I290:J290))*$H283)</f>
        <v>0</v>
      </c>
      <c r="L290" s="83">
        <f>IF((L$98-$G$98)&gt;$B290,0,($G$131-SUM($I290:K290))*$H283)</f>
        <v>0</v>
      </c>
      <c r="M290" s="83">
        <f>IF((M$98-$G$98)&gt;$B290,0,($G$131-SUM($I290:L290))*$H283)</f>
        <v>0</v>
      </c>
      <c r="N290" s="83">
        <f>IF((N$98-$G$98)&gt;$B290,0,($G$131-SUM($I290:M290))*$H283)</f>
        <v>0</v>
      </c>
      <c r="O290" s="83">
        <f>IF((O$98-$G$98)&gt;$B290,0,($G$131-SUM($I290:N290))*$H283)</f>
        <v>0</v>
      </c>
      <c r="P290" s="83">
        <f>IF((P$98-$G$98)&gt;$B290,0,($G$131-SUM($I290:O290))*$H283)</f>
        <v>0</v>
      </c>
      <c r="Q290" s="83">
        <f>IF((Q$98-$G$98)&gt;$B290,0,($G$131-SUM($I290:P290))*$H283)</f>
        <v>0</v>
      </c>
      <c r="R290" s="83">
        <f>IF((R$98-$G$98)&gt;$B290,0,($G$131-SUM($I290:Q290))*$H283)</f>
        <v>0</v>
      </c>
      <c r="S290" s="83">
        <f>IF((S$98-$G$98)&gt;$B290,0,($G$131-SUM($I290:R290))*$H283)</f>
        <v>0</v>
      </c>
      <c r="T290" s="83">
        <f>IF((T$98-$G$98)&gt;$B290,0,($G$131-SUM($I290:S290))*$H283)</f>
        <v>0</v>
      </c>
      <c r="U290" s="83">
        <f>IF((U$98-$G$98)&gt;$B290,0,($G$131-SUM($I290:T290))*$H283)</f>
        <v>0</v>
      </c>
      <c r="V290" s="83">
        <f>IF((V$98-$G$98)&gt;$B290,0,($G$131-SUM($I290:U290))*$H283)</f>
        <v>0</v>
      </c>
      <c r="W290" s="83">
        <f>IF((W$98-$G$98)&gt;$B290,0,($G$131-SUM($I290:V290))*$H283)</f>
        <v>0</v>
      </c>
      <c r="X290" s="83">
        <f>IF((X$98-$G$98)&gt;$B290,0,($G$131-SUM($I290:W290))*$H283)</f>
        <v>0</v>
      </c>
      <c r="Y290" s="83">
        <f>IF((Y$98-$G$98)&gt;$B290,0,($G$131-SUM($I290:X290))*$H283)</f>
        <v>0</v>
      </c>
      <c r="Z290" s="83">
        <f>IF((Z$98-$G$98)&gt;$B290,0,($G$131-SUM($I290:Y290))*$H283)</f>
        <v>0</v>
      </c>
      <c r="AA290" s="83">
        <f>IF((AA$98-$G$98)&gt;$B290,0,($G$131-SUM($I290:Z290))*$H283)</f>
        <v>0</v>
      </c>
    </row>
    <row r="291" spans="1:27" s="3" customFormat="1" x14ac:dyDescent="0.25">
      <c r="A291" s="14">
        <v>6</v>
      </c>
      <c r="B291" s="25">
        <v>5</v>
      </c>
      <c r="C291" s="59"/>
      <c r="D291" s="59"/>
      <c r="E291" s="59"/>
      <c r="F291" s="59"/>
      <c r="G291" s="59"/>
      <c r="H291" s="59"/>
      <c r="I291" s="83">
        <f>IF(I$285&gt;$B291,0,H$280*I$283)</f>
        <v>0</v>
      </c>
      <c r="J291" s="83">
        <f>IF((J$98-$H$98)&gt;$B291,0,($H$131-SUM($I291:I291))*$I283)</f>
        <v>0</v>
      </c>
      <c r="K291" s="83">
        <f>IF((K$98-$H$98)&gt;$B291,0,($H$131-SUM($I291:J291))*$I283)</f>
        <v>0</v>
      </c>
      <c r="L291" s="83">
        <f>IF((L$98-$H$98)&gt;$B291,0,($H$131-SUM($I291:K291))*$I283)</f>
        <v>0</v>
      </c>
      <c r="M291" s="83">
        <f>IF((M$98-$H$98)&gt;$B291,0,($H$131-SUM($I291:L291))*$I283)</f>
        <v>0</v>
      </c>
      <c r="N291" s="83">
        <f>IF((N$98-$H$98)&gt;$B291,0,($H$131-SUM($I291:M291))*$I283)</f>
        <v>0</v>
      </c>
      <c r="O291" s="83">
        <f>IF((O$98-$H$98)&gt;$B291,0,($H$131-SUM($I291:N291))*$I283)</f>
        <v>0</v>
      </c>
      <c r="P291" s="83">
        <f>IF((P$98-$H$98)&gt;$B291,0,($H$131-SUM($I291:O291))*$I283)</f>
        <v>0</v>
      </c>
      <c r="Q291" s="83">
        <f>IF((Q$98-$H$98)&gt;$B291,0,($H$131-SUM($I291:P291))*$I283)</f>
        <v>0</v>
      </c>
      <c r="R291" s="83">
        <f>IF((R$98-$H$98)&gt;$B291,0,($H$131-SUM($I291:Q291))*$I283)</f>
        <v>0</v>
      </c>
      <c r="S291" s="83">
        <f>IF((S$98-$H$98)&gt;$B291,0,($H$131-SUM($I291:R291))*$I283)</f>
        <v>0</v>
      </c>
      <c r="T291" s="83">
        <f>IF((T$98-$H$98)&gt;$B291,0,($H$131-SUM($I291:S291))*$I283)</f>
        <v>0</v>
      </c>
      <c r="U291" s="83">
        <f>IF((U$98-$H$98)&gt;$B291,0,($H$131-SUM($I291:T291))*$I283)</f>
        <v>0</v>
      </c>
      <c r="V291" s="83">
        <f>IF((V$98-$H$98)&gt;$B291,0,($H$131-SUM($I291:U291))*$I283)</f>
        <v>0</v>
      </c>
      <c r="W291" s="83">
        <f>IF((W$98-$H$98)&gt;$B291,0,($H$131-SUM($I291:V291))*$I283)</f>
        <v>0</v>
      </c>
      <c r="X291" s="83">
        <f>IF((X$98-$H$98)&gt;$B291,0,($H$131-SUM($I291:W291))*$I283)</f>
        <v>0</v>
      </c>
      <c r="Y291" s="83">
        <f>IF((Y$98-$H$98)&gt;$B291,0,($H$131-SUM($I291:X291))*$I283)</f>
        <v>0</v>
      </c>
      <c r="Z291" s="83">
        <f>IF((Z$98-$H$98)&gt;$B291,0,($H$131-SUM($I291:Y291))*$I283)</f>
        <v>0</v>
      </c>
      <c r="AA291" s="83">
        <f>IF((AA$98-$H$98)&gt;$B291,0,($H$131-SUM($I291:Z291))*$I283)</f>
        <v>0</v>
      </c>
    </row>
    <row r="292" spans="1:27" s="3" customFormat="1" x14ac:dyDescent="0.25">
      <c r="A292" s="14">
        <v>7</v>
      </c>
      <c r="B292" s="25">
        <v>5</v>
      </c>
      <c r="C292" s="59"/>
      <c r="D292" s="59"/>
      <c r="E292" s="59"/>
      <c r="F292" s="59"/>
      <c r="G292" s="59"/>
      <c r="H292" s="59"/>
      <c r="I292" s="59"/>
      <c r="J292" s="83">
        <f>IF(J$285&gt;$B292,0,I$280*J$283)</f>
        <v>0</v>
      </c>
      <c r="K292" s="83">
        <f>IF((K$98-$I$98)&gt;$B292,0,($I$160-SUM($J292:J292))*$J283)</f>
        <v>0</v>
      </c>
      <c r="L292" s="83">
        <f>IF((L$98-$I$98)&gt;$B292,0,($I$160-SUM($J292:K292))*$J283)</f>
        <v>0</v>
      </c>
      <c r="M292" s="83">
        <f>IF((M$98-$I$98)&gt;$B292,0,($I$160-SUM($J292:L292))*$J283)</f>
        <v>0</v>
      </c>
      <c r="N292" s="83">
        <f>IF((N$98-$I$98)&gt;$B292,0,($I$160-SUM($J292:M292))*$J283)</f>
        <v>0</v>
      </c>
      <c r="O292" s="83">
        <f>IF((O$98-$I$98)&gt;$B292,0,($I$160-SUM($J292:N292))*$J283)</f>
        <v>0</v>
      </c>
      <c r="P292" s="83">
        <f>IF((P$98-$I$98)&gt;$B292,0,($I$160-SUM($J292:O292))*$J283)</f>
        <v>0</v>
      </c>
      <c r="Q292" s="83">
        <f>IF((Q$98-$I$98)&gt;$B292,0,($I$160-SUM($J292:P292))*$J283)</f>
        <v>0</v>
      </c>
      <c r="R292" s="83">
        <f>IF((R$98-$I$98)&gt;$B292,0,($I$160-SUM($J292:Q292))*$J283)</f>
        <v>0</v>
      </c>
      <c r="S292" s="83">
        <f>IF((S$98-$I$98)&gt;$B292,0,($I$160-SUM($J292:R292))*$J283)</f>
        <v>0</v>
      </c>
      <c r="T292" s="83">
        <f>IF((T$98-$I$98)&gt;$B292,0,($I$160-SUM($J292:S292))*$J283)</f>
        <v>0</v>
      </c>
      <c r="U292" s="83">
        <f>IF((U$98-$I$98)&gt;$B292,0,($I$160-SUM($J292:T292))*$J283)</f>
        <v>0</v>
      </c>
      <c r="V292" s="83">
        <f>IF((V$98-$I$98)&gt;$B292,0,($I$160-SUM($J292:U292))*$J283)</f>
        <v>0</v>
      </c>
      <c r="W292" s="83">
        <f>IF((W$98-$I$98)&gt;$B292,0,($I$160-SUM($J292:V292))*$J283)</f>
        <v>0</v>
      </c>
      <c r="X292" s="83">
        <f>IF((X$98-$I$98)&gt;$B292,0,($I$160-SUM($J292:W292))*$J283)</f>
        <v>0</v>
      </c>
      <c r="Y292" s="83">
        <f>IF((Y$98-$I$98)&gt;$B292,0,($I$160-SUM($J292:X292))*$J283)</f>
        <v>0</v>
      </c>
      <c r="Z292" s="83">
        <f>IF((Z$98-$I$98)&gt;$B292,0,($I$160-SUM($J292:Y292))*$J283)</f>
        <v>0</v>
      </c>
      <c r="AA292" s="83">
        <f>IF((AA$98-$I$98)&gt;$B292,0,($I$160-SUM($J292:Z292))*$J283)</f>
        <v>0</v>
      </c>
    </row>
    <row r="293" spans="1:27" s="3" customFormat="1" ht="15.75" x14ac:dyDescent="0.25">
      <c r="A293" s="81">
        <v>8</v>
      </c>
      <c r="B293" s="25">
        <v>5</v>
      </c>
      <c r="C293" s="59"/>
      <c r="D293" s="59"/>
      <c r="E293" s="59"/>
      <c r="F293" s="59"/>
      <c r="G293" s="59"/>
      <c r="H293" s="59"/>
      <c r="I293" s="59"/>
      <c r="J293" s="59"/>
      <c r="K293" s="83">
        <f>IF(K$285&gt;$B293,0,J$280*K$283)</f>
        <v>0</v>
      </c>
      <c r="L293" s="83">
        <f>IF((L$98-$J$98)&gt;$B293,0,($J$160-SUM($K293:K293))*$K283)</f>
        <v>0</v>
      </c>
      <c r="M293" s="83">
        <f>IF((M$98-$J$98)&gt;$B293,0,($J$160-SUM($K293:L293))*$K283)</f>
        <v>0</v>
      </c>
      <c r="N293" s="83">
        <f>IF((N$98-$J$98)&gt;$B293,0,($J$160-SUM($K293:M293))*$K283)</f>
        <v>0</v>
      </c>
      <c r="O293" s="83">
        <f>IF((O$98-$J$98)&gt;$B293,0,($J$160-SUM($K293:N293))*$K283)</f>
        <v>0</v>
      </c>
      <c r="P293" s="83">
        <f>IF((P$98-$J$98)&gt;$B293,0,($J$160-SUM($K293:O293))*$K283)</f>
        <v>0</v>
      </c>
      <c r="Q293" s="83">
        <f>IF((Q$98-$J$98)&gt;$B293,0,($J$160-SUM($K293:P293))*$K283)</f>
        <v>0</v>
      </c>
      <c r="R293" s="83">
        <f>IF((R$98-$J$98)&gt;$B293,0,($J$160-SUM($K293:Q293))*$K283)</f>
        <v>0</v>
      </c>
      <c r="S293" s="83">
        <f>IF((S$98-$J$98)&gt;$B293,0,($J$160-SUM($K293:R293))*$K283)</f>
        <v>0</v>
      </c>
      <c r="T293" s="83">
        <f>IF((T$98-$J$98)&gt;$B293,0,($J$160-SUM($K293:S293))*$K283)</f>
        <v>0</v>
      </c>
      <c r="U293" s="83">
        <f>IF((U$98-$J$98)&gt;$B293,0,($J$160-SUM($K293:T293))*$K283)</f>
        <v>0</v>
      </c>
      <c r="V293" s="83">
        <f>IF((V$98-$J$98)&gt;$B293,0,($J$160-SUM($K293:U293))*$K283)</f>
        <v>0</v>
      </c>
      <c r="W293" s="83">
        <f>IF((W$98-$J$98)&gt;$B293,0,($J$160-SUM($K293:V293))*$K283)</f>
        <v>0</v>
      </c>
      <c r="X293" s="83">
        <f>IF((X$98-$J$98)&gt;$B293,0,($J$160-SUM($K293:W293))*$K283)</f>
        <v>0</v>
      </c>
      <c r="Y293" s="83">
        <f>IF((Y$98-$J$98)&gt;$B293,0,($J$160-SUM($K293:X293))*$K283)</f>
        <v>0</v>
      </c>
      <c r="Z293" s="83">
        <f>IF((Z$98-$J$98)&gt;$B293,0,($J$160-SUM($K293:Y293))*$K283)</f>
        <v>0</v>
      </c>
      <c r="AA293" s="83">
        <f>IF((AA$98-$J$98)&gt;$B293,0,($J$160-SUM($K293:Z293))*$K283)</f>
        <v>0</v>
      </c>
    </row>
    <row r="294" spans="1:27" s="3" customFormat="1" ht="15.75" x14ac:dyDescent="0.25">
      <c r="A294" s="81">
        <v>9</v>
      </c>
      <c r="B294" s="25">
        <v>5</v>
      </c>
      <c r="C294" s="59"/>
      <c r="D294" s="59"/>
      <c r="E294" s="59"/>
      <c r="F294" s="59"/>
      <c r="G294" s="59"/>
      <c r="H294" s="59"/>
      <c r="I294" s="59"/>
      <c r="J294" s="59"/>
      <c r="K294" s="83"/>
      <c r="L294" s="83">
        <f>IF(L$285&gt;$B294,0,K$280*L$283)</f>
        <v>0</v>
      </c>
      <c r="M294" s="83">
        <f>IF((M$98-$K$98)&gt;$B293,0,($K$160-SUM(L294:L294))*$L283)</f>
        <v>0</v>
      </c>
      <c r="N294" s="83">
        <f>IF((N$98-$K$98)&gt;$B293,0,($K$160*$L283))</f>
        <v>0</v>
      </c>
      <c r="O294" s="83">
        <f>IF((O$98-$K$98)&gt;$B293,0,($K$160-SUM(N294:N294))*$L283)</f>
        <v>0</v>
      </c>
      <c r="P294" s="83">
        <f>IF((P$98-$K$98)&gt;$B293,0,($K$160*$L283))</f>
        <v>0</v>
      </c>
      <c r="Q294" s="83">
        <f>IF((Q$98-$K$98)&gt;$B293,0,($K$160-SUM(P294:P294))*$L283)</f>
        <v>0</v>
      </c>
      <c r="R294" s="83">
        <f>IF((R$98-$K$98)&gt;$B293,0,($K$160*$L283))</f>
        <v>0</v>
      </c>
      <c r="S294" s="83">
        <f>IF((S$98-$K$98)&gt;$B293,0,($K$160-SUM(R294:R294))*$L283)</f>
        <v>0</v>
      </c>
      <c r="T294" s="83">
        <f>IF((T$98-$K$98)&gt;$B293,0,($K$160*$L283))</f>
        <v>0</v>
      </c>
      <c r="U294" s="83">
        <f>IF((U$98-$K$98)&gt;$B293,0,($K$160-SUM(T294:T294))*$L283)</f>
        <v>0</v>
      </c>
      <c r="V294" s="83">
        <f>IF((V$98-$K$98)&gt;$B293,0,($K$160*$L283))</f>
        <v>0</v>
      </c>
      <c r="W294" s="83">
        <f>IF((W$98-$K$98)&gt;$B293,0,($K$160-SUM(V294:V294))*$L283)</f>
        <v>0</v>
      </c>
      <c r="X294" s="83">
        <f>IF((X$98-$K$98)&gt;$B293,0,($K$160-SUM(W294:W294))*$L283)</f>
        <v>0</v>
      </c>
      <c r="Y294" s="83">
        <f>IF((Y$98-$K$98)&gt;$B293,0,($K$160*$L283))</f>
        <v>0</v>
      </c>
      <c r="Z294" s="83">
        <f>IF((Z$98-$K$98)&gt;$B293,0,($K$160-SUM(Y294:Y294))*$L283)</f>
        <v>0</v>
      </c>
      <c r="AA294" s="83">
        <f>IF((AA$98-$K$98)&gt;$B293,0,($K$160-SUM(Z294:Z294))*$L283)</f>
        <v>0</v>
      </c>
    </row>
    <row r="295" spans="1:27" s="3" customFormat="1" ht="15.75" x14ac:dyDescent="0.25">
      <c r="A295" s="81">
        <v>10</v>
      </c>
      <c r="B295" s="25">
        <v>5</v>
      </c>
      <c r="C295" s="59"/>
      <c r="D295" s="59"/>
      <c r="E295" s="59"/>
      <c r="F295" s="59"/>
      <c r="G295" s="59"/>
      <c r="H295" s="59"/>
      <c r="I295" s="59"/>
      <c r="J295" s="59"/>
      <c r="K295" s="83"/>
      <c r="L295" s="83"/>
      <c r="M295" s="83">
        <f>IF(M$285&gt;$B295,0,L$280*M$283)</f>
        <v>0</v>
      </c>
      <c r="N295" s="83"/>
      <c r="O295" s="83">
        <f>IF((O$98-$L$98)&gt;$B293,0,$L$160*$M283)</f>
        <v>0</v>
      </c>
      <c r="P295" s="83"/>
      <c r="Q295" s="83">
        <f>IF((Q$98-$L$98)&gt;$B293,0,$L$160*$M283)</f>
        <v>0</v>
      </c>
      <c r="R295" s="83"/>
      <c r="S295" s="83">
        <f>IF((S$98-$L$98)&gt;$B293,0,$L$160*$M283)</f>
        <v>0</v>
      </c>
      <c r="T295" s="83"/>
      <c r="U295" s="83">
        <f>IF((U$98-$L$98)&gt;$B293,0,$L$160*$M283)</f>
        <v>0</v>
      </c>
      <c r="V295" s="83"/>
      <c r="W295" s="83">
        <f>IF((W$98-$L$98)&gt;$B293,0,$L$160*$M283)</f>
        <v>0</v>
      </c>
      <c r="X295" s="83">
        <f>IF((X$98-$L$98)&gt;$B293,0,$L$160*$M283)</f>
        <v>0</v>
      </c>
      <c r="Y295" s="83"/>
      <c r="Z295" s="83">
        <f>IF((Z$98-$L$98)&gt;$B293,0,$L$160*$M283)</f>
        <v>0</v>
      </c>
      <c r="AA295" s="83">
        <f>IF((AA$98-$L$98)&gt;$B293,0,$L$160*$M283)</f>
        <v>0</v>
      </c>
    </row>
    <row r="296" spans="1:27" s="3" customFormat="1" ht="15.75" x14ac:dyDescent="0.25">
      <c r="A296" s="81">
        <v>11</v>
      </c>
      <c r="B296" s="25">
        <v>5</v>
      </c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3">
        <f>IF(N$285&gt;$B296,0,M$280*N$283)</f>
        <v>0</v>
      </c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</row>
    <row r="297" spans="1:27" s="3" customFormat="1" ht="15.75" x14ac:dyDescent="0.25">
      <c r="A297" s="81">
        <v>12</v>
      </c>
      <c r="B297" s="25">
        <v>5</v>
      </c>
      <c r="C297" s="59"/>
      <c r="D297" s="59"/>
      <c r="E297" s="59"/>
      <c r="F297" s="59"/>
      <c r="G297" s="59"/>
      <c r="H297" s="59"/>
      <c r="I297" s="59"/>
      <c r="J297" s="59"/>
      <c r="K297" s="83"/>
      <c r="O297" s="83">
        <f>IF(O$285&gt;$B297,0,N$280*O$283)</f>
        <v>0</v>
      </c>
    </row>
    <row r="298" spans="1:27" s="3" customFormat="1" ht="15.75" x14ac:dyDescent="0.25">
      <c r="A298" s="81">
        <v>13</v>
      </c>
      <c r="B298" s="25">
        <v>5</v>
      </c>
      <c r="C298" s="59"/>
      <c r="D298" s="176"/>
      <c r="E298" s="176"/>
      <c r="F298" s="176"/>
      <c r="G298" s="176"/>
      <c r="H298" s="176"/>
      <c r="I298" s="176"/>
      <c r="J298" s="176"/>
      <c r="K298" s="176"/>
      <c r="P298" s="83">
        <f>IF(P$285&gt;$B298,0,O$280*P$283)</f>
        <v>0</v>
      </c>
    </row>
    <row r="299" spans="1:27" s="3" customFormat="1" ht="15.75" x14ac:dyDescent="0.25">
      <c r="A299" s="396">
        <v>14</v>
      </c>
      <c r="B299" s="25">
        <v>5</v>
      </c>
      <c r="Q299" s="83">
        <f>IF(Q$285&gt;$B299,0,P$280*Q$283)</f>
        <v>0</v>
      </c>
    </row>
    <row r="300" spans="1:27" s="3" customFormat="1" ht="15.75" x14ac:dyDescent="0.25">
      <c r="A300" s="396">
        <v>15</v>
      </c>
      <c r="B300" s="25">
        <v>5</v>
      </c>
      <c r="R300" s="83">
        <f>IF(R$285&gt;$B300,0,Q$280*R$283)</f>
        <v>0</v>
      </c>
    </row>
    <row r="301" spans="1:27" s="3" customFormat="1" ht="15.75" x14ac:dyDescent="0.25">
      <c r="A301" s="396">
        <v>16</v>
      </c>
      <c r="B301" s="25">
        <v>5</v>
      </c>
      <c r="S301" s="83">
        <f>IF(S$285&gt;$B301,0,R$280*S$283)</f>
        <v>0</v>
      </c>
    </row>
    <row r="302" spans="1:27" s="3" customFormat="1" ht="15.75" x14ac:dyDescent="0.25">
      <c r="A302" s="396">
        <v>17</v>
      </c>
      <c r="B302" s="25">
        <v>5</v>
      </c>
      <c r="T302" s="83">
        <f>IF(T$285&gt;$B302,0,S$280*T$283)</f>
        <v>0</v>
      </c>
    </row>
    <row r="303" spans="1:27" s="3" customFormat="1" ht="15.75" x14ac:dyDescent="0.25">
      <c r="A303" s="396">
        <v>18</v>
      </c>
      <c r="B303" s="25">
        <v>5</v>
      </c>
      <c r="U303" s="83">
        <f>IF(U$285&gt;$B303,0,T$280*U$283)</f>
        <v>0</v>
      </c>
    </row>
    <row r="304" spans="1:27" s="3" customFormat="1" ht="15.75" x14ac:dyDescent="0.25">
      <c r="A304" s="396">
        <v>19</v>
      </c>
      <c r="B304" s="25">
        <v>5</v>
      </c>
      <c r="V304" s="83">
        <f>IF(V$285&gt;$B304,0,U$280*V$283)</f>
        <v>0</v>
      </c>
    </row>
    <row r="305" spans="1:50" s="3" customFormat="1" ht="15.75" x14ac:dyDescent="0.25">
      <c r="A305" s="396">
        <v>20</v>
      </c>
      <c r="B305" s="25">
        <v>5</v>
      </c>
      <c r="W305" s="83">
        <f>IF(W$285&gt;$B305,0,V$280*W$283)</f>
        <v>0</v>
      </c>
    </row>
    <row r="306" spans="1:50" s="3" customFormat="1" ht="15.75" x14ac:dyDescent="0.25">
      <c r="A306" s="396">
        <v>21</v>
      </c>
      <c r="B306" s="25">
        <v>5</v>
      </c>
      <c r="X306" s="83">
        <f>IF(X$285&gt;$B306,0,W$280*X$283)</f>
        <v>0</v>
      </c>
    </row>
    <row r="307" spans="1:50" s="3" customFormat="1" ht="15.75" x14ac:dyDescent="0.25">
      <c r="A307" s="396">
        <v>22</v>
      </c>
      <c r="B307" s="25">
        <v>5</v>
      </c>
      <c r="Y307" s="83">
        <f>IF(Y$285&gt;$B307,0,X$280*Y$283)</f>
        <v>0</v>
      </c>
    </row>
    <row r="308" spans="1:50" s="3" customFormat="1" ht="15.75" x14ac:dyDescent="0.25">
      <c r="A308" s="396">
        <v>23</v>
      </c>
      <c r="B308" s="25">
        <v>5</v>
      </c>
      <c r="Z308" s="83">
        <f>IF(Z$285&gt;$B308,0,Y$280*Z$283)</f>
        <v>0</v>
      </c>
    </row>
    <row r="309" spans="1:50" s="3" customFormat="1" ht="15.75" x14ac:dyDescent="0.25">
      <c r="A309" s="396">
        <v>24</v>
      </c>
      <c r="B309" s="25">
        <v>5</v>
      </c>
      <c r="AA309" s="83">
        <f>IF(AA$285&gt;$B309,0,Z$280*AA$283)</f>
        <v>0</v>
      </c>
    </row>
    <row r="310" spans="1:50" s="3" customFormat="1" ht="15.75" x14ac:dyDescent="0.25">
      <c r="A310" s="81" t="str">
        <f>A214</f>
        <v>Gasto Depreciacion</v>
      </c>
      <c r="D310" s="401">
        <f>SUM(D286:D309)</f>
        <v>19625583.2433865</v>
      </c>
      <c r="E310" s="401">
        <f>SUM(E286:E309)</f>
        <v>-7242677.3562643761</v>
      </c>
      <c r="F310" s="401">
        <f t="shared" ref="F310:AA310" si="378">SUM(F286:F309)</f>
        <v>15055762.771751102</v>
      </c>
      <c r="G310" s="401">
        <f t="shared" si="378"/>
        <v>9499544.0975878295</v>
      </c>
      <c r="H310" s="401">
        <f t="shared" si="378"/>
        <v>5993807.1175865121</v>
      </c>
      <c r="I310" s="401">
        <f t="shared" si="378"/>
        <v>3781836.6222388679</v>
      </c>
      <c r="J310" s="401">
        <f t="shared" si="378"/>
        <v>0</v>
      </c>
      <c r="K310" s="401">
        <f t="shared" si="378"/>
        <v>0</v>
      </c>
      <c r="L310" s="401">
        <f t="shared" si="378"/>
        <v>0</v>
      </c>
      <c r="M310" s="401">
        <f t="shared" si="378"/>
        <v>0</v>
      </c>
      <c r="N310" s="401">
        <f t="shared" si="378"/>
        <v>0</v>
      </c>
      <c r="O310" s="401">
        <f t="shared" si="378"/>
        <v>0</v>
      </c>
      <c r="P310" s="401">
        <f t="shared" si="378"/>
        <v>0</v>
      </c>
      <c r="Q310" s="401">
        <f t="shared" si="378"/>
        <v>0</v>
      </c>
      <c r="R310" s="401">
        <f t="shared" si="378"/>
        <v>0</v>
      </c>
      <c r="S310" s="401">
        <f t="shared" si="378"/>
        <v>0</v>
      </c>
      <c r="T310" s="401">
        <f t="shared" si="378"/>
        <v>0</v>
      </c>
      <c r="U310" s="401">
        <f t="shared" si="378"/>
        <v>0</v>
      </c>
      <c r="V310" s="401">
        <f t="shared" si="378"/>
        <v>0</v>
      </c>
      <c r="W310" s="401">
        <f t="shared" si="378"/>
        <v>0</v>
      </c>
      <c r="X310" s="401">
        <f t="shared" si="378"/>
        <v>0</v>
      </c>
      <c r="Y310" s="401">
        <f t="shared" si="378"/>
        <v>0</v>
      </c>
      <c r="Z310" s="401">
        <f t="shared" si="378"/>
        <v>0</v>
      </c>
      <c r="AA310" s="401">
        <f t="shared" si="378"/>
        <v>0</v>
      </c>
    </row>
    <row r="311" spans="1:50" s="3" customFormat="1" ht="15.75" x14ac:dyDescent="0.25">
      <c r="A311" s="81" t="str">
        <f>A215</f>
        <v>Depreciación Acumulada</v>
      </c>
      <c r="D311" s="401">
        <f>D310</f>
        <v>19625583.2433865</v>
      </c>
      <c r="E311" s="402">
        <f t="shared" ref="E311:AA311" si="379">IF(E285&gt;$B$286+1,0,E310+D311)</f>
        <v>12382905.887122124</v>
      </c>
      <c r="F311" s="402">
        <f t="shared" si="379"/>
        <v>27438668.658873226</v>
      </c>
      <c r="G311" s="402">
        <f t="shared" si="379"/>
        <v>36938212.756461054</v>
      </c>
      <c r="H311" s="402">
        <f t="shared" si="379"/>
        <v>42932019.874047562</v>
      </c>
      <c r="I311" s="402">
        <f t="shared" si="379"/>
        <v>46713856.496286429</v>
      </c>
      <c r="J311" s="402">
        <f t="shared" si="379"/>
        <v>0</v>
      </c>
      <c r="K311" s="402">
        <f t="shared" si="379"/>
        <v>0</v>
      </c>
      <c r="L311" s="402">
        <f t="shared" si="379"/>
        <v>0</v>
      </c>
      <c r="M311" s="402">
        <f t="shared" si="379"/>
        <v>0</v>
      </c>
      <c r="N311" s="402">
        <f t="shared" si="379"/>
        <v>0</v>
      </c>
      <c r="O311" s="402">
        <f t="shared" si="379"/>
        <v>0</v>
      </c>
      <c r="P311" s="402">
        <f t="shared" si="379"/>
        <v>0</v>
      </c>
      <c r="Q311" s="402">
        <f t="shared" si="379"/>
        <v>0</v>
      </c>
      <c r="R311" s="402">
        <f t="shared" si="379"/>
        <v>0</v>
      </c>
      <c r="S311" s="402">
        <f t="shared" si="379"/>
        <v>0</v>
      </c>
      <c r="T311" s="402">
        <f t="shared" si="379"/>
        <v>0</v>
      </c>
      <c r="U311" s="402">
        <f t="shared" si="379"/>
        <v>0</v>
      </c>
      <c r="V311" s="402">
        <f t="shared" si="379"/>
        <v>0</v>
      </c>
      <c r="W311" s="402">
        <f t="shared" si="379"/>
        <v>0</v>
      </c>
      <c r="X311" s="402">
        <f t="shared" si="379"/>
        <v>0</v>
      </c>
      <c r="Y311" s="402">
        <f t="shared" si="379"/>
        <v>0</v>
      </c>
      <c r="Z311" s="402">
        <f t="shared" si="379"/>
        <v>0</v>
      </c>
      <c r="AA311" s="402">
        <f t="shared" si="379"/>
        <v>0</v>
      </c>
    </row>
    <row r="312" spans="1:50" s="3" customFormat="1" ht="15.75" x14ac:dyDescent="0.25">
      <c r="A312" s="81" t="str">
        <f>A216</f>
        <v>Valor en libros</v>
      </c>
      <c r="D312" s="401">
        <f>D280</f>
        <v>0</v>
      </c>
      <c r="E312" s="402">
        <f>E280+D312-E310</f>
        <v>7242677.3562643761</v>
      </c>
      <c r="F312" s="402">
        <f t="shared" ref="F312:AA312" si="380">F280+E312-F310</f>
        <v>-7813085.415486726</v>
      </c>
      <c r="G312" s="402">
        <f t="shared" si="380"/>
        <v>-17312629.513074555</v>
      </c>
      <c r="H312" s="402">
        <f t="shared" si="380"/>
        <v>-23306436.630661067</v>
      </c>
      <c r="I312" s="402">
        <f>I280+H312-I310</f>
        <v>-27088273.252899934</v>
      </c>
      <c r="J312" s="402">
        <f t="shared" si="380"/>
        <v>-27088273.252899934</v>
      </c>
      <c r="K312" s="402">
        <f t="shared" si="380"/>
        <v>-27088273.252899934</v>
      </c>
      <c r="L312" s="402">
        <f t="shared" si="380"/>
        <v>-27088273.252899934</v>
      </c>
      <c r="M312" s="402">
        <f t="shared" si="380"/>
        <v>-27088273.252899934</v>
      </c>
      <c r="N312" s="402">
        <f t="shared" si="380"/>
        <v>-27088273.252899934</v>
      </c>
      <c r="O312" s="402">
        <f t="shared" si="380"/>
        <v>-27088273.252899934</v>
      </c>
      <c r="P312" s="402">
        <f t="shared" si="380"/>
        <v>-27088273.252899934</v>
      </c>
      <c r="Q312" s="402">
        <f t="shared" si="380"/>
        <v>-27088273.252899934</v>
      </c>
      <c r="R312" s="402">
        <f t="shared" si="380"/>
        <v>-27088273.252899934</v>
      </c>
      <c r="S312" s="402">
        <f t="shared" si="380"/>
        <v>-27088273.252899934</v>
      </c>
      <c r="T312" s="402">
        <f t="shared" si="380"/>
        <v>-27088273.252899934</v>
      </c>
      <c r="U312" s="402">
        <f t="shared" si="380"/>
        <v>-27088273.252899934</v>
      </c>
      <c r="V312" s="402">
        <f t="shared" si="380"/>
        <v>-27088273.252899934</v>
      </c>
      <c r="W312" s="402">
        <f t="shared" si="380"/>
        <v>-27088273.252899934</v>
      </c>
      <c r="X312" s="402">
        <f t="shared" si="380"/>
        <v>-27088273.252899934</v>
      </c>
      <c r="Y312" s="402">
        <f t="shared" si="380"/>
        <v>-27088273.252899934</v>
      </c>
      <c r="Z312" s="402">
        <f t="shared" si="380"/>
        <v>-27088273.252899934</v>
      </c>
      <c r="AA312" s="402">
        <f t="shared" si="380"/>
        <v>-27088273.252899934</v>
      </c>
    </row>
    <row r="313" spans="1:50" ht="31.5" x14ac:dyDescent="0.5">
      <c r="A313" s="456" t="s">
        <v>352</v>
      </c>
    </row>
    <row r="314" spans="1:50" ht="31.5" x14ac:dyDescent="0.5">
      <c r="A314" s="458" t="str">
        <f>A45</f>
        <v>Licencias</v>
      </c>
      <c r="B314" s="52"/>
      <c r="C314" s="78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</row>
    <row r="315" spans="1:50" x14ac:dyDescent="0.25">
      <c r="A315" s="59" t="s">
        <v>92</v>
      </c>
      <c r="B315" s="59"/>
      <c r="C315" s="59">
        <v>0</v>
      </c>
      <c r="D315" s="59">
        <v>1</v>
      </c>
      <c r="E315" s="59">
        <v>2</v>
      </c>
      <c r="F315" s="59">
        <v>3</v>
      </c>
      <c r="G315" s="59">
        <v>4</v>
      </c>
      <c r="H315" s="59">
        <v>5</v>
      </c>
      <c r="I315" s="59">
        <v>6</v>
      </c>
      <c r="J315" s="59">
        <v>7</v>
      </c>
      <c r="K315" s="59">
        <v>8</v>
      </c>
      <c r="L315" s="59">
        <v>9</v>
      </c>
      <c r="M315" s="59">
        <v>10</v>
      </c>
      <c r="N315" s="59">
        <v>11</v>
      </c>
      <c r="O315" s="59">
        <v>12</v>
      </c>
      <c r="P315" s="59">
        <v>13</v>
      </c>
      <c r="Q315" s="59">
        <v>14</v>
      </c>
      <c r="R315" s="59">
        <v>15</v>
      </c>
      <c r="S315" s="59">
        <v>16</v>
      </c>
      <c r="T315" s="59">
        <v>17</v>
      </c>
      <c r="U315" s="59">
        <v>18</v>
      </c>
      <c r="V315" s="59">
        <v>19</v>
      </c>
      <c r="W315" s="59">
        <v>20</v>
      </c>
      <c r="X315" s="59">
        <v>21</v>
      </c>
      <c r="Y315" s="59">
        <v>22</v>
      </c>
      <c r="Z315" s="59">
        <v>23</v>
      </c>
      <c r="AA315" s="59">
        <v>24</v>
      </c>
    </row>
    <row r="316" spans="1:50" ht="23.25" x14ac:dyDescent="0.35">
      <c r="A316" s="459" t="s">
        <v>88</v>
      </c>
      <c r="B316" s="77"/>
      <c r="C316" s="77"/>
      <c r="D316" s="77"/>
      <c r="E316" s="77"/>
      <c r="F316" s="77"/>
      <c r="G316" s="77"/>
      <c r="H316" s="77"/>
      <c r="I316" s="77"/>
      <c r="J316" s="77"/>
      <c r="K316" s="77"/>
    </row>
    <row r="317" spans="1:50" ht="15.75" x14ac:dyDescent="0.25">
      <c r="A317" s="20" t="s">
        <v>91</v>
      </c>
      <c r="B317" s="285" t="s">
        <v>93</v>
      </c>
      <c r="C317" s="19" t="s">
        <v>94</v>
      </c>
    </row>
    <row r="318" spans="1:50" ht="15.75" x14ac:dyDescent="0.25">
      <c r="A318" s="81">
        <f>D$9</f>
        <v>1</v>
      </c>
      <c r="B318" s="25">
        <v>20</v>
      </c>
      <c r="C318" s="59">
        <f>(B318*(B318+1))/2</f>
        <v>210</v>
      </c>
      <c r="D318" s="76">
        <f t="shared" ref="D318:AA318" si="381">IF($B318&lt;D$1,0,((($B318-C$315)/$C318)*$C$45))</f>
        <v>0</v>
      </c>
      <c r="E318" s="76">
        <f t="shared" si="381"/>
        <v>0</v>
      </c>
      <c r="F318" s="76">
        <f t="shared" si="381"/>
        <v>0</v>
      </c>
      <c r="G318" s="76">
        <f t="shared" si="381"/>
        <v>0</v>
      </c>
      <c r="H318" s="76">
        <f t="shared" si="381"/>
        <v>0</v>
      </c>
      <c r="I318" s="76">
        <f t="shared" si="381"/>
        <v>0</v>
      </c>
      <c r="J318" s="76">
        <f t="shared" si="381"/>
        <v>0</v>
      </c>
      <c r="K318" s="76">
        <f t="shared" si="381"/>
        <v>0</v>
      </c>
      <c r="L318" s="76">
        <f t="shared" si="381"/>
        <v>0</v>
      </c>
      <c r="M318" s="76">
        <f t="shared" si="381"/>
        <v>0</v>
      </c>
      <c r="N318" s="76">
        <f t="shared" si="381"/>
        <v>0</v>
      </c>
      <c r="O318" s="76">
        <f t="shared" si="381"/>
        <v>0</v>
      </c>
      <c r="P318" s="76">
        <f t="shared" si="381"/>
        <v>0</v>
      </c>
      <c r="Q318" s="76">
        <f t="shared" si="381"/>
        <v>0</v>
      </c>
      <c r="R318" s="76">
        <f t="shared" si="381"/>
        <v>0</v>
      </c>
      <c r="S318" s="76">
        <f t="shared" si="381"/>
        <v>0</v>
      </c>
      <c r="T318" s="76">
        <f t="shared" si="381"/>
        <v>0</v>
      </c>
      <c r="U318" s="76">
        <f t="shared" si="381"/>
        <v>0</v>
      </c>
      <c r="V318" s="76">
        <f t="shared" si="381"/>
        <v>0</v>
      </c>
      <c r="W318" s="76">
        <f t="shared" si="381"/>
        <v>0</v>
      </c>
      <c r="X318" s="76">
        <f t="shared" si="381"/>
        <v>0</v>
      </c>
      <c r="Y318" s="76">
        <f t="shared" si="381"/>
        <v>0</v>
      </c>
      <c r="Z318" s="76">
        <f t="shared" si="381"/>
        <v>0</v>
      </c>
      <c r="AA318" s="76">
        <f t="shared" si="381"/>
        <v>0</v>
      </c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</row>
    <row r="319" spans="1:50" ht="15.75" x14ac:dyDescent="0.25">
      <c r="A319" s="81">
        <f>E$9</f>
        <v>2</v>
      </c>
      <c r="B319" s="25">
        <v>20</v>
      </c>
      <c r="C319" s="59">
        <f t="shared" ref="C319:C327" si="382">(B319*(B319+1))/2</f>
        <v>210</v>
      </c>
      <c r="D319" s="3"/>
      <c r="E319" s="76">
        <f t="shared" ref="E319:AB319" si="383">IF($B319&lt;D$1,0,((($B319-C$315)/$C319)*$D$45))</f>
        <v>0</v>
      </c>
      <c r="F319" s="76">
        <f t="shared" si="383"/>
        <v>0</v>
      </c>
      <c r="G319" s="76">
        <f t="shared" si="383"/>
        <v>0</v>
      </c>
      <c r="H319" s="76">
        <f t="shared" si="383"/>
        <v>0</v>
      </c>
      <c r="I319" s="76">
        <f t="shared" si="383"/>
        <v>0</v>
      </c>
      <c r="J319" s="76">
        <f t="shared" si="383"/>
        <v>0</v>
      </c>
      <c r="K319" s="76">
        <f t="shared" si="383"/>
        <v>0</v>
      </c>
      <c r="L319" s="76">
        <f t="shared" si="383"/>
        <v>0</v>
      </c>
      <c r="M319" s="76">
        <f t="shared" si="383"/>
        <v>0</v>
      </c>
      <c r="N319" s="76">
        <f t="shared" si="383"/>
        <v>0</v>
      </c>
      <c r="O319" s="76">
        <f t="shared" si="383"/>
        <v>0</v>
      </c>
      <c r="P319" s="76">
        <f t="shared" si="383"/>
        <v>0</v>
      </c>
      <c r="Q319" s="76">
        <f t="shared" si="383"/>
        <v>0</v>
      </c>
      <c r="R319" s="76">
        <f t="shared" si="383"/>
        <v>0</v>
      </c>
      <c r="S319" s="76">
        <f t="shared" si="383"/>
        <v>0</v>
      </c>
      <c r="T319" s="76">
        <f t="shared" si="383"/>
        <v>0</v>
      </c>
      <c r="U319" s="76">
        <f t="shared" si="383"/>
        <v>0</v>
      </c>
      <c r="V319" s="76">
        <f t="shared" si="383"/>
        <v>0</v>
      </c>
      <c r="W319" s="76">
        <f t="shared" si="383"/>
        <v>0</v>
      </c>
      <c r="X319" s="76">
        <f t="shared" si="383"/>
        <v>0</v>
      </c>
      <c r="Y319" s="76">
        <f t="shared" si="383"/>
        <v>0</v>
      </c>
      <c r="Z319" s="76">
        <f t="shared" si="383"/>
        <v>0</v>
      </c>
      <c r="AA319" s="76">
        <f t="shared" si="383"/>
        <v>0</v>
      </c>
      <c r="AB319" s="76">
        <f t="shared" si="383"/>
        <v>0</v>
      </c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</row>
    <row r="320" spans="1:50" ht="15.75" x14ac:dyDescent="0.25">
      <c r="A320" s="81">
        <f>F$9</f>
        <v>3</v>
      </c>
      <c r="B320" s="25">
        <v>20</v>
      </c>
      <c r="C320" s="59">
        <f t="shared" si="382"/>
        <v>210</v>
      </c>
      <c r="D320" s="3"/>
      <c r="E320" s="3"/>
      <c r="F320" s="76">
        <f t="shared" ref="F320:AC320" si="384">IF($B320&lt;D$1,0,((($B320-C$315)/$C320)*$E$45))</f>
        <v>0</v>
      </c>
      <c r="G320" s="76">
        <f t="shared" si="384"/>
        <v>0</v>
      </c>
      <c r="H320" s="76">
        <f t="shared" si="384"/>
        <v>0</v>
      </c>
      <c r="I320" s="76">
        <f t="shared" si="384"/>
        <v>0</v>
      </c>
      <c r="J320" s="76">
        <f t="shared" si="384"/>
        <v>0</v>
      </c>
      <c r="K320" s="76">
        <f t="shared" si="384"/>
        <v>0</v>
      </c>
      <c r="L320" s="76">
        <f t="shared" si="384"/>
        <v>0</v>
      </c>
      <c r="M320" s="76">
        <f t="shared" si="384"/>
        <v>0</v>
      </c>
      <c r="N320" s="76">
        <f t="shared" si="384"/>
        <v>0</v>
      </c>
      <c r="O320" s="76">
        <f t="shared" si="384"/>
        <v>0</v>
      </c>
      <c r="P320" s="76">
        <f t="shared" si="384"/>
        <v>0</v>
      </c>
      <c r="Q320" s="76">
        <f t="shared" si="384"/>
        <v>0</v>
      </c>
      <c r="R320" s="76">
        <f t="shared" si="384"/>
        <v>0</v>
      </c>
      <c r="S320" s="76">
        <f t="shared" si="384"/>
        <v>0</v>
      </c>
      <c r="T320" s="76">
        <f t="shared" si="384"/>
        <v>0</v>
      </c>
      <c r="U320" s="76">
        <f t="shared" si="384"/>
        <v>0</v>
      </c>
      <c r="V320" s="76">
        <f t="shared" si="384"/>
        <v>0</v>
      </c>
      <c r="W320" s="76">
        <f t="shared" si="384"/>
        <v>0</v>
      </c>
      <c r="X320" s="76">
        <f t="shared" si="384"/>
        <v>0</v>
      </c>
      <c r="Y320" s="76">
        <f t="shared" si="384"/>
        <v>0</v>
      </c>
      <c r="Z320" s="76">
        <f t="shared" si="384"/>
        <v>0</v>
      </c>
      <c r="AA320" s="76">
        <f t="shared" si="384"/>
        <v>0</v>
      </c>
      <c r="AB320" s="76">
        <f t="shared" si="384"/>
        <v>0</v>
      </c>
      <c r="AC320" s="76">
        <f t="shared" si="384"/>
        <v>0</v>
      </c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</row>
    <row r="321" spans="1:50" ht="15.75" x14ac:dyDescent="0.25">
      <c r="A321" s="81">
        <f>G$9</f>
        <v>4</v>
      </c>
      <c r="B321" s="25">
        <v>20</v>
      </c>
      <c r="C321" s="59">
        <f t="shared" si="382"/>
        <v>210</v>
      </c>
      <c r="D321" s="3"/>
      <c r="E321" s="3"/>
      <c r="F321" s="3"/>
      <c r="G321" s="76">
        <f t="shared" ref="G321:AD321" si="385">IF($B321&lt;D$1,0,((($B321-C$315)/$C321)*$F$45))</f>
        <v>0</v>
      </c>
      <c r="H321" s="76">
        <f t="shared" si="385"/>
        <v>0</v>
      </c>
      <c r="I321" s="76">
        <f t="shared" si="385"/>
        <v>0</v>
      </c>
      <c r="J321" s="76">
        <f t="shared" si="385"/>
        <v>0</v>
      </c>
      <c r="K321" s="76">
        <f t="shared" si="385"/>
        <v>0</v>
      </c>
      <c r="L321" s="76">
        <f t="shared" si="385"/>
        <v>0</v>
      </c>
      <c r="M321" s="76">
        <f t="shared" si="385"/>
        <v>0</v>
      </c>
      <c r="N321" s="76">
        <f t="shared" si="385"/>
        <v>0</v>
      </c>
      <c r="O321" s="76">
        <f t="shared" si="385"/>
        <v>0</v>
      </c>
      <c r="P321" s="76">
        <f t="shared" si="385"/>
        <v>0</v>
      </c>
      <c r="Q321" s="76">
        <f t="shared" si="385"/>
        <v>0</v>
      </c>
      <c r="R321" s="76">
        <f t="shared" si="385"/>
        <v>0</v>
      </c>
      <c r="S321" s="76">
        <f t="shared" si="385"/>
        <v>0</v>
      </c>
      <c r="T321" s="76">
        <f t="shared" si="385"/>
        <v>0</v>
      </c>
      <c r="U321" s="76">
        <f t="shared" si="385"/>
        <v>0</v>
      </c>
      <c r="V321" s="76">
        <f t="shared" si="385"/>
        <v>0</v>
      </c>
      <c r="W321" s="76">
        <f t="shared" si="385"/>
        <v>0</v>
      </c>
      <c r="X321" s="76">
        <f t="shared" si="385"/>
        <v>0</v>
      </c>
      <c r="Y321" s="76">
        <f t="shared" si="385"/>
        <v>0</v>
      </c>
      <c r="Z321" s="76">
        <f t="shared" si="385"/>
        <v>0</v>
      </c>
      <c r="AA321" s="76">
        <f t="shared" si="385"/>
        <v>0</v>
      </c>
      <c r="AB321" s="76">
        <f t="shared" si="385"/>
        <v>0</v>
      </c>
      <c r="AC321" s="76">
        <f t="shared" si="385"/>
        <v>0</v>
      </c>
      <c r="AD321" s="76">
        <f t="shared" si="385"/>
        <v>0</v>
      </c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</row>
    <row r="322" spans="1:50" ht="15.75" x14ac:dyDescent="0.25">
      <c r="A322" s="81">
        <f>H$9</f>
        <v>5</v>
      </c>
      <c r="B322" s="25">
        <v>20</v>
      </c>
      <c r="C322" s="59">
        <f t="shared" si="382"/>
        <v>210</v>
      </c>
      <c r="D322" s="3"/>
      <c r="E322" s="3"/>
      <c r="F322" s="3"/>
      <c r="G322" s="3"/>
      <c r="H322" s="76">
        <f t="shared" ref="H322:AE322" si="386">IF($B322&lt;D$1,0,((($B322-C$315)/$C322)*$G$45))</f>
        <v>0</v>
      </c>
      <c r="I322" s="76">
        <f t="shared" si="386"/>
        <v>0</v>
      </c>
      <c r="J322" s="76">
        <f t="shared" si="386"/>
        <v>0</v>
      </c>
      <c r="K322" s="76">
        <f t="shared" si="386"/>
        <v>0</v>
      </c>
      <c r="L322" s="76">
        <f t="shared" si="386"/>
        <v>0</v>
      </c>
      <c r="M322" s="76">
        <f t="shared" si="386"/>
        <v>0</v>
      </c>
      <c r="N322" s="76">
        <f t="shared" si="386"/>
        <v>0</v>
      </c>
      <c r="O322" s="76">
        <f t="shared" si="386"/>
        <v>0</v>
      </c>
      <c r="P322" s="76">
        <f t="shared" si="386"/>
        <v>0</v>
      </c>
      <c r="Q322" s="76">
        <f t="shared" si="386"/>
        <v>0</v>
      </c>
      <c r="R322" s="76">
        <f t="shared" si="386"/>
        <v>0</v>
      </c>
      <c r="S322" s="76">
        <f t="shared" si="386"/>
        <v>0</v>
      </c>
      <c r="T322" s="76">
        <f t="shared" si="386"/>
        <v>0</v>
      </c>
      <c r="U322" s="76">
        <f t="shared" si="386"/>
        <v>0</v>
      </c>
      <c r="V322" s="76">
        <f t="shared" si="386"/>
        <v>0</v>
      </c>
      <c r="W322" s="76">
        <f t="shared" si="386"/>
        <v>0</v>
      </c>
      <c r="X322" s="76">
        <f t="shared" si="386"/>
        <v>0</v>
      </c>
      <c r="Y322" s="76">
        <f t="shared" si="386"/>
        <v>0</v>
      </c>
      <c r="Z322" s="76">
        <f t="shared" si="386"/>
        <v>0</v>
      </c>
      <c r="AA322" s="76">
        <f t="shared" si="386"/>
        <v>0</v>
      </c>
      <c r="AB322" s="76">
        <f t="shared" si="386"/>
        <v>0</v>
      </c>
      <c r="AC322" s="76">
        <f t="shared" si="386"/>
        <v>0</v>
      </c>
      <c r="AD322" s="76">
        <f t="shared" si="386"/>
        <v>0</v>
      </c>
      <c r="AE322" s="76">
        <f t="shared" si="386"/>
        <v>0</v>
      </c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</row>
    <row r="323" spans="1:50" ht="15.75" x14ac:dyDescent="0.25">
      <c r="A323" s="81">
        <f>I$9</f>
        <v>6</v>
      </c>
      <c r="B323" s="25">
        <v>20</v>
      </c>
      <c r="C323" s="59">
        <f t="shared" si="382"/>
        <v>210</v>
      </c>
      <c r="D323" s="3"/>
      <c r="E323" s="3"/>
      <c r="F323" s="3"/>
      <c r="G323" s="3"/>
      <c r="H323" s="3"/>
      <c r="I323" s="76">
        <f t="shared" ref="I323:AF323" si="387">IF($B323&lt;D$1,0,((($B323-C$315)/$C323)*$H$45))</f>
        <v>0</v>
      </c>
      <c r="J323" s="76">
        <f t="shared" si="387"/>
        <v>0</v>
      </c>
      <c r="K323" s="76">
        <f t="shared" si="387"/>
        <v>0</v>
      </c>
      <c r="L323" s="76">
        <f t="shared" si="387"/>
        <v>0</v>
      </c>
      <c r="M323" s="76">
        <f t="shared" si="387"/>
        <v>0</v>
      </c>
      <c r="N323" s="76">
        <f t="shared" si="387"/>
        <v>0</v>
      </c>
      <c r="O323" s="76">
        <f t="shared" si="387"/>
        <v>0</v>
      </c>
      <c r="P323" s="76">
        <f t="shared" si="387"/>
        <v>0</v>
      </c>
      <c r="Q323" s="76">
        <f t="shared" si="387"/>
        <v>0</v>
      </c>
      <c r="R323" s="76">
        <f t="shared" si="387"/>
        <v>0</v>
      </c>
      <c r="S323" s="76">
        <f t="shared" si="387"/>
        <v>0</v>
      </c>
      <c r="T323" s="76">
        <f t="shared" si="387"/>
        <v>0</v>
      </c>
      <c r="U323" s="76">
        <f t="shared" si="387"/>
        <v>0</v>
      </c>
      <c r="V323" s="76">
        <f t="shared" si="387"/>
        <v>0</v>
      </c>
      <c r="W323" s="76">
        <f t="shared" si="387"/>
        <v>0</v>
      </c>
      <c r="X323" s="76">
        <f t="shared" si="387"/>
        <v>0</v>
      </c>
      <c r="Y323" s="76">
        <f t="shared" si="387"/>
        <v>0</v>
      </c>
      <c r="Z323" s="76">
        <f t="shared" si="387"/>
        <v>0</v>
      </c>
      <c r="AA323" s="76">
        <f t="shared" si="387"/>
        <v>0</v>
      </c>
      <c r="AB323" s="76">
        <f t="shared" si="387"/>
        <v>0</v>
      </c>
      <c r="AC323" s="76">
        <f t="shared" si="387"/>
        <v>0</v>
      </c>
      <c r="AD323" s="76">
        <f t="shared" si="387"/>
        <v>0</v>
      </c>
      <c r="AE323" s="76">
        <f t="shared" si="387"/>
        <v>0</v>
      </c>
      <c r="AF323" s="76">
        <f t="shared" si="387"/>
        <v>0</v>
      </c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</row>
    <row r="324" spans="1:50" ht="15.75" x14ac:dyDescent="0.25">
      <c r="A324" s="81">
        <f>J$9</f>
        <v>7</v>
      </c>
      <c r="B324" s="25">
        <v>20</v>
      </c>
      <c r="C324" s="59">
        <f t="shared" si="382"/>
        <v>210</v>
      </c>
      <c r="D324" s="3"/>
      <c r="E324" s="3"/>
      <c r="F324" s="3"/>
      <c r="G324" s="3"/>
      <c r="H324" s="3"/>
      <c r="I324" s="3"/>
      <c r="J324" s="76">
        <f t="shared" ref="J324:AG324" si="388">IF($B324&lt;D$1,0,((($B324-C$315)/$C324)*$I$45))</f>
        <v>0</v>
      </c>
      <c r="K324" s="76">
        <f t="shared" si="388"/>
        <v>0</v>
      </c>
      <c r="L324" s="76">
        <f t="shared" si="388"/>
        <v>0</v>
      </c>
      <c r="M324" s="76">
        <f t="shared" si="388"/>
        <v>0</v>
      </c>
      <c r="N324" s="76">
        <f t="shared" si="388"/>
        <v>0</v>
      </c>
      <c r="O324" s="76">
        <f t="shared" si="388"/>
        <v>0</v>
      </c>
      <c r="P324" s="76">
        <f t="shared" si="388"/>
        <v>0</v>
      </c>
      <c r="Q324" s="76">
        <f t="shared" si="388"/>
        <v>0</v>
      </c>
      <c r="R324" s="76">
        <f t="shared" si="388"/>
        <v>0</v>
      </c>
      <c r="S324" s="76">
        <f t="shared" si="388"/>
        <v>0</v>
      </c>
      <c r="T324" s="76">
        <f t="shared" si="388"/>
        <v>0</v>
      </c>
      <c r="U324" s="76">
        <f t="shared" si="388"/>
        <v>0</v>
      </c>
      <c r="V324" s="76">
        <f t="shared" si="388"/>
        <v>0</v>
      </c>
      <c r="W324" s="76">
        <f t="shared" si="388"/>
        <v>0</v>
      </c>
      <c r="X324" s="76">
        <f t="shared" si="388"/>
        <v>0</v>
      </c>
      <c r="Y324" s="76">
        <f t="shared" si="388"/>
        <v>0</v>
      </c>
      <c r="Z324" s="76">
        <f t="shared" si="388"/>
        <v>0</v>
      </c>
      <c r="AA324" s="76">
        <f t="shared" si="388"/>
        <v>0</v>
      </c>
      <c r="AB324" s="76">
        <f t="shared" si="388"/>
        <v>0</v>
      </c>
      <c r="AC324" s="76">
        <f t="shared" si="388"/>
        <v>0</v>
      </c>
      <c r="AD324" s="76">
        <f t="shared" si="388"/>
        <v>0</v>
      </c>
      <c r="AE324" s="76">
        <f t="shared" si="388"/>
        <v>0</v>
      </c>
      <c r="AF324" s="76">
        <f t="shared" si="388"/>
        <v>0</v>
      </c>
      <c r="AG324" s="76">
        <f t="shared" si="388"/>
        <v>0</v>
      </c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</row>
    <row r="325" spans="1:50" ht="15.75" x14ac:dyDescent="0.25">
      <c r="A325" s="81">
        <f>K$9</f>
        <v>8</v>
      </c>
      <c r="B325" s="25">
        <v>20</v>
      </c>
      <c r="C325" s="59">
        <f t="shared" si="382"/>
        <v>210</v>
      </c>
      <c r="D325" s="3"/>
      <c r="E325" s="3"/>
      <c r="F325" s="3"/>
      <c r="G325" s="3"/>
      <c r="H325" s="3"/>
      <c r="I325" s="3"/>
      <c r="J325" s="3"/>
      <c r="K325" s="76">
        <f t="shared" ref="K325:AH325" si="389">IF($B325&lt;D$1,0,((($B325-C$315)/$C325)*$J$45))</f>
        <v>0</v>
      </c>
      <c r="L325" s="76">
        <f t="shared" si="389"/>
        <v>0</v>
      </c>
      <c r="M325" s="76">
        <f t="shared" si="389"/>
        <v>0</v>
      </c>
      <c r="N325" s="76">
        <f t="shared" si="389"/>
        <v>0</v>
      </c>
      <c r="O325" s="76">
        <f t="shared" si="389"/>
        <v>0</v>
      </c>
      <c r="P325" s="76">
        <f t="shared" si="389"/>
        <v>0</v>
      </c>
      <c r="Q325" s="76">
        <f t="shared" si="389"/>
        <v>0</v>
      </c>
      <c r="R325" s="76">
        <f t="shared" si="389"/>
        <v>0</v>
      </c>
      <c r="S325" s="76">
        <f t="shared" si="389"/>
        <v>0</v>
      </c>
      <c r="T325" s="76">
        <f t="shared" si="389"/>
        <v>0</v>
      </c>
      <c r="U325" s="76">
        <f t="shared" si="389"/>
        <v>0</v>
      </c>
      <c r="V325" s="76">
        <f t="shared" si="389"/>
        <v>0</v>
      </c>
      <c r="W325" s="76">
        <f t="shared" si="389"/>
        <v>0</v>
      </c>
      <c r="X325" s="76">
        <f t="shared" si="389"/>
        <v>0</v>
      </c>
      <c r="Y325" s="76">
        <f t="shared" si="389"/>
        <v>0</v>
      </c>
      <c r="Z325" s="76">
        <f t="shared" si="389"/>
        <v>0</v>
      </c>
      <c r="AA325" s="76">
        <f t="shared" si="389"/>
        <v>0</v>
      </c>
      <c r="AB325" s="76">
        <f t="shared" si="389"/>
        <v>0</v>
      </c>
      <c r="AC325" s="76">
        <f t="shared" si="389"/>
        <v>0</v>
      </c>
      <c r="AD325" s="76">
        <f t="shared" si="389"/>
        <v>0</v>
      </c>
      <c r="AE325" s="76">
        <f t="shared" si="389"/>
        <v>0</v>
      </c>
      <c r="AF325" s="76">
        <f t="shared" si="389"/>
        <v>0</v>
      </c>
      <c r="AG325" s="76">
        <f t="shared" si="389"/>
        <v>0</v>
      </c>
      <c r="AH325" s="76">
        <f t="shared" si="389"/>
        <v>0</v>
      </c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</row>
    <row r="326" spans="1:50" ht="15.75" x14ac:dyDescent="0.25">
      <c r="A326" s="81">
        <f>L$9</f>
        <v>9</v>
      </c>
      <c r="B326" s="25">
        <v>20</v>
      </c>
      <c r="C326" s="59">
        <f t="shared" si="382"/>
        <v>210</v>
      </c>
      <c r="D326" s="3"/>
      <c r="E326" s="3"/>
      <c r="F326" s="3"/>
      <c r="G326" s="3"/>
      <c r="H326" s="3"/>
      <c r="I326" s="3"/>
      <c r="J326" s="3"/>
      <c r="K326" s="3"/>
      <c r="L326" s="76">
        <f t="shared" ref="L326:AI326" si="390">IF($B326&lt;D$1,0,((($B326-C$315)/$C326)*$K$45))</f>
        <v>0</v>
      </c>
      <c r="M326" s="76">
        <f t="shared" si="390"/>
        <v>0</v>
      </c>
      <c r="N326" s="76">
        <f t="shared" si="390"/>
        <v>0</v>
      </c>
      <c r="O326" s="76">
        <f t="shared" si="390"/>
        <v>0</v>
      </c>
      <c r="P326" s="76">
        <f t="shared" si="390"/>
        <v>0</v>
      </c>
      <c r="Q326" s="76">
        <f t="shared" si="390"/>
        <v>0</v>
      </c>
      <c r="R326" s="76">
        <f t="shared" si="390"/>
        <v>0</v>
      </c>
      <c r="S326" s="76">
        <f t="shared" si="390"/>
        <v>0</v>
      </c>
      <c r="T326" s="76">
        <f t="shared" si="390"/>
        <v>0</v>
      </c>
      <c r="U326" s="76">
        <f t="shared" si="390"/>
        <v>0</v>
      </c>
      <c r="V326" s="76">
        <f t="shared" si="390"/>
        <v>0</v>
      </c>
      <c r="W326" s="76">
        <f t="shared" si="390"/>
        <v>0</v>
      </c>
      <c r="X326" s="76">
        <f t="shared" si="390"/>
        <v>0</v>
      </c>
      <c r="Y326" s="76">
        <f t="shared" si="390"/>
        <v>0</v>
      </c>
      <c r="Z326" s="76">
        <f t="shared" si="390"/>
        <v>0</v>
      </c>
      <c r="AA326" s="76">
        <f t="shared" si="390"/>
        <v>0</v>
      </c>
      <c r="AB326" s="76">
        <f t="shared" si="390"/>
        <v>0</v>
      </c>
      <c r="AC326" s="76">
        <f t="shared" si="390"/>
        <v>0</v>
      </c>
      <c r="AD326" s="76">
        <f t="shared" si="390"/>
        <v>0</v>
      </c>
      <c r="AE326" s="76">
        <f t="shared" si="390"/>
        <v>0</v>
      </c>
      <c r="AF326" s="76">
        <f t="shared" si="390"/>
        <v>0</v>
      </c>
      <c r="AG326" s="76">
        <f t="shared" si="390"/>
        <v>0</v>
      </c>
      <c r="AH326" s="76">
        <f t="shared" si="390"/>
        <v>0</v>
      </c>
      <c r="AI326" s="76">
        <f t="shared" si="390"/>
        <v>0</v>
      </c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</row>
    <row r="327" spans="1:50" ht="15.75" x14ac:dyDescent="0.25">
      <c r="A327" s="81">
        <f>M$9</f>
        <v>10</v>
      </c>
      <c r="B327" s="25">
        <v>20</v>
      </c>
      <c r="C327" s="59">
        <f t="shared" si="382"/>
        <v>210</v>
      </c>
      <c r="D327" s="3"/>
      <c r="E327" s="3"/>
      <c r="F327" s="3"/>
      <c r="G327" s="3"/>
      <c r="H327" s="3"/>
      <c r="I327" s="3"/>
      <c r="J327" s="3"/>
      <c r="K327" s="3"/>
      <c r="L327" s="3"/>
      <c r="M327" s="76">
        <f t="shared" ref="M327:AJ327" si="391">IF($B327&lt;D$1,0,((($B327-C$315)/$C327)*$L$45))</f>
        <v>0</v>
      </c>
      <c r="N327" s="76">
        <f t="shared" si="391"/>
        <v>0</v>
      </c>
      <c r="O327" s="76">
        <f t="shared" si="391"/>
        <v>0</v>
      </c>
      <c r="P327" s="76">
        <f t="shared" si="391"/>
        <v>0</v>
      </c>
      <c r="Q327" s="76">
        <f t="shared" si="391"/>
        <v>0</v>
      </c>
      <c r="R327" s="76">
        <f t="shared" si="391"/>
        <v>0</v>
      </c>
      <c r="S327" s="76">
        <f t="shared" si="391"/>
        <v>0</v>
      </c>
      <c r="T327" s="76">
        <f t="shared" si="391"/>
        <v>0</v>
      </c>
      <c r="U327" s="76">
        <f t="shared" si="391"/>
        <v>0</v>
      </c>
      <c r="V327" s="76">
        <f t="shared" si="391"/>
        <v>0</v>
      </c>
      <c r="W327" s="76">
        <f t="shared" si="391"/>
        <v>0</v>
      </c>
      <c r="X327" s="76">
        <f t="shared" si="391"/>
        <v>0</v>
      </c>
      <c r="Y327" s="76">
        <f t="shared" si="391"/>
        <v>0</v>
      </c>
      <c r="Z327" s="76">
        <f t="shared" si="391"/>
        <v>0</v>
      </c>
      <c r="AA327" s="76">
        <f t="shared" si="391"/>
        <v>0</v>
      </c>
      <c r="AB327" s="76">
        <f t="shared" si="391"/>
        <v>0</v>
      </c>
      <c r="AC327" s="76">
        <f t="shared" si="391"/>
        <v>0</v>
      </c>
      <c r="AD327" s="76">
        <f t="shared" si="391"/>
        <v>0</v>
      </c>
      <c r="AE327" s="76">
        <f t="shared" si="391"/>
        <v>0</v>
      </c>
      <c r="AF327" s="76">
        <f t="shared" si="391"/>
        <v>0</v>
      </c>
      <c r="AG327" s="76">
        <f t="shared" si="391"/>
        <v>0</v>
      </c>
      <c r="AH327" s="76">
        <f t="shared" si="391"/>
        <v>0</v>
      </c>
      <c r="AI327" s="76">
        <f t="shared" si="391"/>
        <v>0</v>
      </c>
      <c r="AJ327" s="76">
        <f t="shared" si="391"/>
        <v>0</v>
      </c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</row>
    <row r="328" spans="1:50" ht="15.75" x14ac:dyDescent="0.25">
      <c r="A328" s="81">
        <v>11</v>
      </c>
      <c r="B328" s="25">
        <v>20</v>
      </c>
      <c r="C328" s="59">
        <f>(B328*(B328+1))/2</f>
        <v>210</v>
      </c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76">
        <f t="shared" ref="N328:AK328" si="392">IF($B328&lt;D$1,0,((($B328-C$315)/$C328)*$M$45))</f>
        <v>0</v>
      </c>
      <c r="O328" s="76">
        <f t="shared" si="392"/>
        <v>0</v>
      </c>
      <c r="P328" s="76">
        <f t="shared" si="392"/>
        <v>0</v>
      </c>
      <c r="Q328" s="76">
        <f t="shared" si="392"/>
        <v>0</v>
      </c>
      <c r="R328" s="76">
        <f t="shared" si="392"/>
        <v>0</v>
      </c>
      <c r="S328" s="76">
        <f t="shared" si="392"/>
        <v>0</v>
      </c>
      <c r="T328" s="76">
        <f t="shared" si="392"/>
        <v>0</v>
      </c>
      <c r="U328" s="76">
        <f t="shared" si="392"/>
        <v>0</v>
      </c>
      <c r="V328" s="76">
        <f t="shared" si="392"/>
        <v>0</v>
      </c>
      <c r="W328" s="76">
        <f t="shared" si="392"/>
        <v>0</v>
      </c>
      <c r="X328" s="76">
        <f t="shared" si="392"/>
        <v>0</v>
      </c>
      <c r="Y328" s="76">
        <f t="shared" si="392"/>
        <v>0</v>
      </c>
      <c r="Z328" s="76">
        <f t="shared" si="392"/>
        <v>0</v>
      </c>
      <c r="AA328" s="76">
        <f t="shared" si="392"/>
        <v>0</v>
      </c>
      <c r="AB328" s="76">
        <f t="shared" si="392"/>
        <v>0</v>
      </c>
      <c r="AC328" s="76">
        <f t="shared" si="392"/>
        <v>0</v>
      </c>
      <c r="AD328" s="76">
        <f t="shared" si="392"/>
        <v>0</v>
      </c>
      <c r="AE328" s="76">
        <f t="shared" si="392"/>
        <v>0</v>
      </c>
      <c r="AF328" s="76">
        <f t="shared" si="392"/>
        <v>0</v>
      </c>
      <c r="AG328" s="76">
        <f t="shared" si="392"/>
        <v>0</v>
      </c>
      <c r="AH328" s="76">
        <f t="shared" si="392"/>
        <v>0</v>
      </c>
      <c r="AI328" s="76">
        <f t="shared" si="392"/>
        <v>0</v>
      </c>
      <c r="AJ328" s="76">
        <f t="shared" si="392"/>
        <v>0</v>
      </c>
      <c r="AK328" s="76">
        <f t="shared" si="392"/>
        <v>0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</row>
    <row r="329" spans="1:50" ht="15.75" x14ac:dyDescent="0.25">
      <c r="A329" s="81">
        <v>12</v>
      </c>
      <c r="B329" s="25">
        <v>20</v>
      </c>
      <c r="C329" s="59">
        <f t="shared" ref="C329:C341" si="393">(B329*(B329+1))/2</f>
        <v>210</v>
      </c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76">
        <f t="shared" ref="O329:AL329" si="394">IF($B329&lt;D$1,0,((($B329-C$315)/$C329)*$N$45))</f>
        <v>0</v>
      </c>
      <c r="P329" s="76">
        <f t="shared" si="394"/>
        <v>0</v>
      </c>
      <c r="Q329" s="76">
        <f t="shared" si="394"/>
        <v>0</v>
      </c>
      <c r="R329" s="76">
        <f t="shared" si="394"/>
        <v>0</v>
      </c>
      <c r="S329" s="76">
        <f t="shared" si="394"/>
        <v>0</v>
      </c>
      <c r="T329" s="76">
        <f t="shared" si="394"/>
        <v>0</v>
      </c>
      <c r="U329" s="76">
        <f t="shared" si="394"/>
        <v>0</v>
      </c>
      <c r="V329" s="76">
        <f t="shared" si="394"/>
        <v>0</v>
      </c>
      <c r="W329" s="76">
        <f t="shared" si="394"/>
        <v>0</v>
      </c>
      <c r="X329" s="76">
        <f t="shared" si="394"/>
        <v>0</v>
      </c>
      <c r="Y329" s="76">
        <f t="shared" si="394"/>
        <v>0</v>
      </c>
      <c r="Z329" s="76">
        <f t="shared" si="394"/>
        <v>0</v>
      </c>
      <c r="AA329" s="76">
        <f t="shared" si="394"/>
        <v>0</v>
      </c>
      <c r="AB329" s="76">
        <f t="shared" si="394"/>
        <v>0</v>
      </c>
      <c r="AC329" s="76">
        <f t="shared" si="394"/>
        <v>0</v>
      </c>
      <c r="AD329" s="76">
        <f t="shared" si="394"/>
        <v>0</v>
      </c>
      <c r="AE329" s="76">
        <f t="shared" si="394"/>
        <v>0</v>
      </c>
      <c r="AF329" s="76">
        <f t="shared" si="394"/>
        <v>0</v>
      </c>
      <c r="AG329" s="76">
        <f t="shared" si="394"/>
        <v>0</v>
      </c>
      <c r="AH329" s="76">
        <f t="shared" si="394"/>
        <v>0</v>
      </c>
      <c r="AI329" s="76">
        <f t="shared" si="394"/>
        <v>0</v>
      </c>
      <c r="AJ329" s="76">
        <f t="shared" si="394"/>
        <v>0</v>
      </c>
      <c r="AK329" s="76">
        <f t="shared" si="394"/>
        <v>0</v>
      </c>
      <c r="AL329" s="76">
        <f t="shared" si="394"/>
        <v>0</v>
      </c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</row>
    <row r="330" spans="1:50" ht="15.75" x14ac:dyDescent="0.25">
      <c r="A330" s="81">
        <v>13</v>
      </c>
      <c r="B330" s="25">
        <v>20</v>
      </c>
      <c r="C330" s="59">
        <f t="shared" si="393"/>
        <v>210</v>
      </c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76">
        <f t="shared" ref="P330:AM330" si="395">IF($B330&lt;D$1,0,((($B330-C$315)/$C330)*$O$45))</f>
        <v>0</v>
      </c>
      <c r="Q330" s="76">
        <f t="shared" si="395"/>
        <v>0</v>
      </c>
      <c r="R330" s="76">
        <f t="shared" si="395"/>
        <v>0</v>
      </c>
      <c r="S330" s="76">
        <f t="shared" si="395"/>
        <v>0</v>
      </c>
      <c r="T330" s="76">
        <f t="shared" si="395"/>
        <v>0</v>
      </c>
      <c r="U330" s="76">
        <f t="shared" si="395"/>
        <v>0</v>
      </c>
      <c r="V330" s="76">
        <f t="shared" si="395"/>
        <v>0</v>
      </c>
      <c r="W330" s="76">
        <f t="shared" si="395"/>
        <v>0</v>
      </c>
      <c r="X330" s="76">
        <f t="shared" si="395"/>
        <v>0</v>
      </c>
      <c r="Y330" s="76">
        <f t="shared" si="395"/>
        <v>0</v>
      </c>
      <c r="Z330" s="76">
        <f t="shared" si="395"/>
        <v>0</v>
      </c>
      <c r="AA330" s="76">
        <f t="shared" si="395"/>
        <v>0</v>
      </c>
      <c r="AB330" s="76">
        <f t="shared" si="395"/>
        <v>0</v>
      </c>
      <c r="AC330" s="76">
        <f t="shared" si="395"/>
        <v>0</v>
      </c>
      <c r="AD330" s="76">
        <f t="shared" si="395"/>
        <v>0</v>
      </c>
      <c r="AE330" s="76">
        <f t="shared" si="395"/>
        <v>0</v>
      </c>
      <c r="AF330" s="76">
        <f t="shared" si="395"/>
        <v>0</v>
      </c>
      <c r="AG330" s="76">
        <f t="shared" si="395"/>
        <v>0</v>
      </c>
      <c r="AH330" s="76">
        <f t="shared" si="395"/>
        <v>0</v>
      </c>
      <c r="AI330" s="76">
        <f t="shared" si="395"/>
        <v>0</v>
      </c>
      <c r="AJ330" s="76">
        <f t="shared" si="395"/>
        <v>0</v>
      </c>
      <c r="AK330" s="76">
        <f t="shared" si="395"/>
        <v>0</v>
      </c>
      <c r="AL330" s="76">
        <f t="shared" si="395"/>
        <v>0</v>
      </c>
      <c r="AM330" s="76">
        <f t="shared" si="395"/>
        <v>0</v>
      </c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</row>
    <row r="331" spans="1:50" ht="15.75" x14ac:dyDescent="0.25">
      <c r="A331" s="81">
        <v>14</v>
      </c>
      <c r="B331" s="25">
        <v>20</v>
      </c>
      <c r="C331" s="59">
        <f t="shared" si="393"/>
        <v>210</v>
      </c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76">
        <f t="shared" ref="Q331:AN331" si="396">IF($B331&lt;D$1,0,((($B331-C$315)/$C331)*$P$45))</f>
        <v>0</v>
      </c>
      <c r="R331" s="76">
        <f t="shared" si="396"/>
        <v>0</v>
      </c>
      <c r="S331" s="76">
        <f t="shared" si="396"/>
        <v>0</v>
      </c>
      <c r="T331" s="76">
        <f t="shared" si="396"/>
        <v>0</v>
      </c>
      <c r="U331" s="76">
        <f t="shared" si="396"/>
        <v>0</v>
      </c>
      <c r="V331" s="76">
        <f t="shared" si="396"/>
        <v>0</v>
      </c>
      <c r="W331" s="76">
        <f t="shared" si="396"/>
        <v>0</v>
      </c>
      <c r="X331" s="76">
        <f t="shared" si="396"/>
        <v>0</v>
      </c>
      <c r="Y331" s="76">
        <f t="shared" si="396"/>
        <v>0</v>
      </c>
      <c r="Z331" s="76">
        <f t="shared" si="396"/>
        <v>0</v>
      </c>
      <c r="AA331" s="76">
        <f t="shared" si="396"/>
        <v>0</v>
      </c>
      <c r="AB331" s="76">
        <f t="shared" si="396"/>
        <v>0</v>
      </c>
      <c r="AC331" s="76">
        <f t="shared" si="396"/>
        <v>0</v>
      </c>
      <c r="AD331" s="76">
        <f t="shared" si="396"/>
        <v>0</v>
      </c>
      <c r="AE331" s="76">
        <f t="shared" si="396"/>
        <v>0</v>
      </c>
      <c r="AF331" s="76">
        <f t="shared" si="396"/>
        <v>0</v>
      </c>
      <c r="AG331" s="76">
        <f t="shared" si="396"/>
        <v>0</v>
      </c>
      <c r="AH331" s="76">
        <f t="shared" si="396"/>
        <v>0</v>
      </c>
      <c r="AI331" s="76">
        <f t="shared" si="396"/>
        <v>0</v>
      </c>
      <c r="AJ331" s="76">
        <f t="shared" si="396"/>
        <v>0</v>
      </c>
      <c r="AK331" s="76">
        <f t="shared" si="396"/>
        <v>0</v>
      </c>
      <c r="AL331" s="76">
        <f t="shared" si="396"/>
        <v>0</v>
      </c>
      <c r="AM331" s="76">
        <f t="shared" si="396"/>
        <v>0</v>
      </c>
      <c r="AN331" s="76">
        <f t="shared" si="396"/>
        <v>0</v>
      </c>
      <c r="AO331" s="3"/>
      <c r="AP331" s="3"/>
      <c r="AQ331" s="3"/>
      <c r="AR331" s="3"/>
      <c r="AS331" s="3"/>
      <c r="AT331" s="3"/>
      <c r="AU331" s="3"/>
      <c r="AV331" s="3"/>
      <c r="AW331" s="3"/>
      <c r="AX331" s="3"/>
    </row>
    <row r="332" spans="1:50" ht="15.75" x14ac:dyDescent="0.25">
      <c r="A332" s="81">
        <v>15</v>
      </c>
      <c r="B332" s="25">
        <v>20</v>
      </c>
      <c r="C332" s="59">
        <f t="shared" si="393"/>
        <v>210</v>
      </c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76">
        <f t="shared" ref="R332:AO332" si="397">IF($B332&lt;D$1,0,((($B332-C$315)/$C332)*$Q$45))</f>
        <v>0</v>
      </c>
      <c r="S332" s="76">
        <f t="shared" si="397"/>
        <v>0</v>
      </c>
      <c r="T332" s="76">
        <f t="shared" si="397"/>
        <v>0</v>
      </c>
      <c r="U332" s="76">
        <f t="shared" si="397"/>
        <v>0</v>
      </c>
      <c r="V332" s="76">
        <f t="shared" si="397"/>
        <v>0</v>
      </c>
      <c r="W332" s="76">
        <f t="shared" si="397"/>
        <v>0</v>
      </c>
      <c r="X332" s="76">
        <f t="shared" si="397"/>
        <v>0</v>
      </c>
      <c r="Y332" s="76">
        <f t="shared" si="397"/>
        <v>0</v>
      </c>
      <c r="Z332" s="76">
        <f t="shared" si="397"/>
        <v>0</v>
      </c>
      <c r="AA332" s="76">
        <f t="shared" si="397"/>
        <v>0</v>
      </c>
      <c r="AB332" s="76">
        <f t="shared" si="397"/>
        <v>0</v>
      </c>
      <c r="AC332" s="76">
        <f t="shared" si="397"/>
        <v>0</v>
      </c>
      <c r="AD332" s="76">
        <f t="shared" si="397"/>
        <v>0</v>
      </c>
      <c r="AE332" s="76">
        <f t="shared" si="397"/>
        <v>0</v>
      </c>
      <c r="AF332" s="76">
        <f t="shared" si="397"/>
        <v>0</v>
      </c>
      <c r="AG332" s="76">
        <f t="shared" si="397"/>
        <v>0</v>
      </c>
      <c r="AH332" s="76">
        <f t="shared" si="397"/>
        <v>0</v>
      </c>
      <c r="AI332" s="76">
        <f t="shared" si="397"/>
        <v>0</v>
      </c>
      <c r="AJ332" s="76">
        <f t="shared" si="397"/>
        <v>0</v>
      </c>
      <c r="AK332" s="76">
        <f t="shared" si="397"/>
        <v>0</v>
      </c>
      <c r="AL332" s="76">
        <f t="shared" si="397"/>
        <v>0</v>
      </c>
      <c r="AM332" s="76">
        <f t="shared" si="397"/>
        <v>0</v>
      </c>
      <c r="AN332" s="76">
        <f t="shared" si="397"/>
        <v>0</v>
      </c>
      <c r="AO332" s="76">
        <f t="shared" si="397"/>
        <v>0</v>
      </c>
      <c r="AP332" s="3"/>
      <c r="AQ332" s="3"/>
      <c r="AR332" s="3"/>
      <c r="AS332" s="3"/>
      <c r="AT332" s="3"/>
      <c r="AU332" s="3"/>
      <c r="AV332" s="3"/>
      <c r="AW332" s="3"/>
      <c r="AX332" s="3"/>
    </row>
    <row r="333" spans="1:50" ht="15.75" x14ac:dyDescent="0.25">
      <c r="A333" s="81">
        <v>16</v>
      </c>
      <c r="B333" s="25">
        <v>20</v>
      </c>
      <c r="C333" s="59">
        <f t="shared" si="393"/>
        <v>210</v>
      </c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76">
        <f t="shared" ref="S333:AP333" si="398">IF($B333&lt;D$1,0,((($B333-C$315)/$C333)*$R$45))</f>
        <v>0</v>
      </c>
      <c r="T333" s="76">
        <f t="shared" si="398"/>
        <v>0</v>
      </c>
      <c r="U333" s="76">
        <f t="shared" si="398"/>
        <v>0</v>
      </c>
      <c r="V333" s="76">
        <f t="shared" si="398"/>
        <v>0</v>
      </c>
      <c r="W333" s="76">
        <f t="shared" si="398"/>
        <v>0</v>
      </c>
      <c r="X333" s="76">
        <f t="shared" si="398"/>
        <v>0</v>
      </c>
      <c r="Y333" s="76">
        <f t="shared" si="398"/>
        <v>0</v>
      </c>
      <c r="Z333" s="76">
        <f t="shared" si="398"/>
        <v>0</v>
      </c>
      <c r="AA333" s="76">
        <f t="shared" si="398"/>
        <v>0</v>
      </c>
      <c r="AB333" s="76">
        <f t="shared" si="398"/>
        <v>0</v>
      </c>
      <c r="AC333" s="76">
        <f t="shared" si="398"/>
        <v>0</v>
      </c>
      <c r="AD333" s="76">
        <f t="shared" si="398"/>
        <v>0</v>
      </c>
      <c r="AE333" s="76">
        <f t="shared" si="398"/>
        <v>0</v>
      </c>
      <c r="AF333" s="76">
        <f t="shared" si="398"/>
        <v>0</v>
      </c>
      <c r="AG333" s="76">
        <f t="shared" si="398"/>
        <v>0</v>
      </c>
      <c r="AH333" s="76">
        <f t="shared" si="398"/>
        <v>0</v>
      </c>
      <c r="AI333" s="76">
        <f t="shared" si="398"/>
        <v>0</v>
      </c>
      <c r="AJ333" s="76">
        <f t="shared" si="398"/>
        <v>0</v>
      </c>
      <c r="AK333" s="76">
        <f t="shared" si="398"/>
        <v>0</v>
      </c>
      <c r="AL333" s="76">
        <f t="shared" si="398"/>
        <v>0</v>
      </c>
      <c r="AM333" s="76">
        <f t="shared" si="398"/>
        <v>0</v>
      </c>
      <c r="AN333" s="76">
        <f t="shared" si="398"/>
        <v>0</v>
      </c>
      <c r="AO333" s="76">
        <f t="shared" si="398"/>
        <v>0</v>
      </c>
      <c r="AP333" s="76">
        <f t="shared" si="398"/>
        <v>0</v>
      </c>
      <c r="AQ333" s="3"/>
      <c r="AR333" s="3"/>
      <c r="AS333" s="3"/>
      <c r="AT333" s="3"/>
      <c r="AU333" s="3"/>
      <c r="AV333" s="3"/>
      <c r="AW333" s="3"/>
      <c r="AX333" s="3"/>
    </row>
    <row r="334" spans="1:50" ht="15.75" x14ac:dyDescent="0.25">
      <c r="A334" s="81">
        <v>17</v>
      </c>
      <c r="B334" s="25">
        <v>20</v>
      </c>
      <c r="C334" s="59">
        <f t="shared" si="393"/>
        <v>210</v>
      </c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76">
        <f t="shared" ref="T334:AQ334" si="399">IF($B334&lt;D$1,0,((($B334-C$315)/$C334)*$S$45))</f>
        <v>0</v>
      </c>
      <c r="U334" s="76">
        <f t="shared" si="399"/>
        <v>0</v>
      </c>
      <c r="V334" s="76">
        <f t="shared" si="399"/>
        <v>0</v>
      </c>
      <c r="W334" s="76">
        <f t="shared" si="399"/>
        <v>0</v>
      </c>
      <c r="X334" s="76">
        <f t="shared" si="399"/>
        <v>0</v>
      </c>
      <c r="Y334" s="76">
        <f t="shared" si="399"/>
        <v>0</v>
      </c>
      <c r="Z334" s="76">
        <f t="shared" si="399"/>
        <v>0</v>
      </c>
      <c r="AA334" s="76">
        <f t="shared" si="399"/>
        <v>0</v>
      </c>
      <c r="AB334" s="76">
        <f t="shared" si="399"/>
        <v>0</v>
      </c>
      <c r="AC334" s="76">
        <f t="shared" si="399"/>
        <v>0</v>
      </c>
      <c r="AD334" s="76">
        <f t="shared" si="399"/>
        <v>0</v>
      </c>
      <c r="AE334" s="76">
        <f t="shared" si="399"/>
        <v>0</v>
      </c>
      <c r="AF334" s="76">
        <f t="shared" si="399"/>
        <v>0</v>
      </c>
      <c r="AG334" s="76">
        <f t="shared" si="399"/>
        <v>0</v>
      </c>
      <c r="AH334" s="76">
        <f t="shared" si="399"/>
        <v>0</v>
      </c>
      <c r="AI334" s="76">
        <f t="shared" si="399"/>
        <v>0</v>
      </c>
      <c r="AJ334" s="76">
        <f t="shared" si="399"/>
        <v>0</v>
      </c>
      <c r="AK334" s="76">
        <f t="shared" si="399"/>
        <v>0</v>
      </c>
      <c r="AL334" s="76">
        <f t="shared" si="399"/>
        <v>0</v>
      </c>
      <c r="AM334" s="76">
        <f t="shared" si="399"/>
        <v>0</v>
      </c>
      <c r="AN334" s="76">
        <f t="shared" si="399"/>
        <v>0</v>
      </c>
      <c r="AO334" s="76">
        <f t="shared" si="399"/>
        <v>0</v>
      </c>
      <c r="AP334" s="76">
        <f t="shared" si="399"/>
        <v>0</v>
      </c>
      <c r="AQ334" s="76">
        <f t="shared" si="399"/>
        <v>0</v>
      </c>
      <c r="AR334" s="3"/>
      <c r="AS334" s="3"/>
      <c r="AT334" s="3"/>
      <c r="AU334" s="3"/>
      <c r="AV334" s="3"/>
      <c r="AW334" s="3"/>
      <c r="AX334" s="3"/>
    </row>
    <row r="335" spans="1:50" ht="15.75" x14ac:dyDescent="0.25">
      <c r="A335" s="81">
        <v>18</v>
      </c>
      <c r="B335" s="25">
        <v>20</v>
      </c>
      <c r="C335" s="59">
        <f t="shared" si="393"/>
        <v>210</v>
      </c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76">
        <f t="shared" ref="U335:AR335" si="400">IF($B335&lt;D$1,0,((($B335-C$315)/$C335)*$T$45))</f>
        <v>0</v>
      </c>
      <c r="V335" s="76">
        <f t="shared" si="400"/>
        <v>0</v>
      </c>
      <c r="W335" s="76">
        <f t="shared" si="400"/>
        <v>0</v>
      </c>
      <c r="X335" s="76">
        <f t="shared" si="400"/>
        <v>0</v>
      </c>
      <c r="Y335" s="76">
        <f t="shared" si="400"/>
        <v>0</v>
      </c>
      <c r="Z335" s="76">
        <f t="shared" si="400"/>
        <v>0</v>
      </c>
      <c r="AA335" s="76">
        <f t="shared" si="400"/>
        <v>0</v>
      </c>
      <c r="AB335" s="76">
        <f t="shared" si="400"/>
        <v>0</v>
      </c>
      <c r="AC335" s="76">
        <f t="shared" si="400"/>
        <v>0</v>
      </c>
      <c r="AD335" s="76">
        <f t="shared" si="400"/>
        <v>0</v>
      </c>
      <c r="AE335" s="76">
        <f t="shared" si="400"/>
        <v>0</v>
      </c>
      <c r="AF335" s="76">
        <f t="shared" si="400"/>
        <v>0</v>
      </c>
      <c r="AG335" s="76">
        <f t="shared" si="400"/>
        <v>0</v>
      </c>
      <c r="AH335" s="76">
        <f t="shared" si="400"/>
        <v>0</v>
      </c>
      <c r="AI335" s="76">
        <f t="shared" si="400"/>
        <v>0</v>
      </c>
      <c r="AJ335" s="76">
        <f t="shared" si="400"/>
        <v>0</v>
      </c>
      <c r="AK335" s="76">
        <f t="shared" si="400"/>
        <v>0</v>
      </c>
      <c r="AL335" s="76">
        <f t="shared" si="400"/>
        <v>0</v>
      </c>
      <c r="AM335" s="76">
        <f t="shared" si="400"/>
        <v>0</v>
      </c>
      <c r="AN335" s="76">
        <f t="shared" si="400"/>
        <v>0</v>
      </c>
      <c r="AO335" s="76">
        <f t="shared" si="400"/>
        <v>0</v>
      </c>
      <c r="AP335" s="76">
        <f t="shared" si="400"/>
        <v>0</v>
      </c>
      <c r="AQ335" s="76">
        <f t="shared" si="400"/>
        <v>0</v>
      </c>
      <c r="AR335" s="76">
        <f t="shared" si="400"/>
        <v>0</v>
      </c>
      <c r="AS335" s="3"/>
      <c r="AT335" s="3"/>
      <c r="AU335" s="3"/>
      <c r="AV335" s="3"/>
      <c r="AW335" s="3"/>
      <c r="AX335" s="3"/>
    </row>
    <row r="336" spans="1:50" ht="15.75" x14ac:dyDescent="0.25">
      <c r="A336" s="81">
        <v>19</v>
      </c>
      <c r="B336" s="25">
        <v>20</v>
      </c>
      <c r="C336" s="59">
        <f t="shared" si="393"/>
        <v>210</v>
      </c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76">
        <f t="shared" ref="V336:AS336" si="401">IF($B336&lt;D$1,0,((($B336-C$315)/$C336)*$U$45))</f>
        <v>0</v>
      </c>
      <c r="W336" s="76">
        <f t="shared" si="401"/>
        <v>0</v>
      </c>
      <c r="X336" s="76">
        <f t="shared" si="401"/>
        <v>0</v>
      </c>
      <c r="Y336" s="76">
        <f t="shared" si="401"/>
        <v>0</v>
      </c>
      <c r="Z336" s="76">
        <f t="shared" si="401"/>
        <v>0</v>
      </c>
      <c r="AA336" s="76">
        <f t="shared" si="401"/>
        <v>0</v>
      </c>
      <c r="AB336" s="76">
        <f t="shared" si="401"/>
        <v>0</v>
      </c>
      <c r="AC336" s="76">
        <f t="shared" si="401"/>
        <v>0</v>
      </c>
      <c r="AD336" s="76">
        <f t="shared" si="401"/>
        <v>0</v>
      </c>
      <c r="AE336" s="76">
        <f t="shared" si="401"/>
        <v>0</v>
      </c>
      <c r="AF336" s="76">
        <f t="shared" si="401"/>
        <v>0</v>
      </c>
      <c r="AG336" s="76">
        <f t="shared" si="401"/>
        <v>0</v>
      </c>
      <c r="AH336" s="76">
        <f t="shared" si="401"/>
        <v>0</v>
      </c>
      <c r="AI336" s="76">
        <f t="shared" si="401"/>
        <v>0</v>
      </c>
      <c r="AJ336" s="76">
        <f t="shared" si="401"/>
        <v>0</v>
      </c>
      <c r="AK336" s="76">
        <f t="shared" si="401"/>
        <v>0</v>
      </c>
      <c r="AL336" s="76">
        <f t="shared" si="401"/>
        <v>0</v>
      </c>
      <c r="AM336" s="76">
        <f t="shared" si="401"/>
        <v>0</v>
      </c>
      <c r="AN336" s="76">
        <f t="shared" si="401"/>
        <v>0</v>
      </c>
      <c r="AO336" s="76">
        <f t="shared" si="401"/>
        <v>0</v>
      </c>
      <c r="AP336" s="76">
        <f t="shared" si="401"/>
        <v>0</v>
      </c>
      <c r="AQ336" s="76">
        <f t="shared" si="401"/>
        <v>0</v>
      </c>
      <c r="AR336" s="76">
        <f t="shared" si="401"/>
        <v>0</v>
      </c>
      <c r="AS336" s="76">
        <f t="shared" si="401"/>
        <v>0</v>
      </c>
      <c r="AT336" s="3"/>
      <c r="AU336" s="3"/>
      <c r="AV336" s="3"/>
      <c r="AW336" s="3"/>
      <c r="AX336" s="3"/>
    </row>
    <row r="337" spans="1:50" ht="15.75" x14ac:dyDescent="0.25">
      <c r="A337" s="81">
        <v>20</v>
      </c>
      <c r="B337" s="25">
        <v>20</v>
      </c>
      <c r="C337" s="59">
        <f t="shared" si="393"/>
        <v>210</v>
      </c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76">
        <f t="shared" ref="W337:AT337" si="402">IF($B337&lt;D$1,0,((($B337-C$315)/$C337)*$V$45))</f>
        <v>0</v>
      </c>
      <c r="X337" s="76">
        <f t="shared" si="402"/>
        <v>0</v>
      </c>
      <c r="Y337" s="76">
        <f t="shared" si="402"/>
        <v>0</v>
      </c>
      <c r="Z337" s="76">
        <f t="shared" si="402"/>
        <v>0</v>
      </c>
      <c r="AA337" s="76">
        <f t="shared" si="402"/>
        <v>0</v>
      </c>
      <c r="AB337" s="76">
        <f t="shared" si="402"/>
        <v>0</v>
      </c>
      <c r="AC337" s="76">
        <f t="shared" si="402"/>
        <v>0</v>
      </c>
      <c r="AD337" s="76">
        <f t="shared" si="402"/>
        <v>0</v>
      </c>
      <c r="AE337" s="76">
        <f t="shared" si="402"/>
        <v>0</v>
      </c>
      <c r="AF337" s="76">
        <f t="shared" si="402"/>
        <v>0</v>
      </c>
      <c r="AG337" s="76">
        <f t="shared" si="402"/>
        <v>0</v>
      </c>
      <c r="AH337" s="76">
        <f t="shared" si="402"/>
        <v>0</v>
      </c>
      <c r="AI337" s="76">
        <f t="shared" si="402"/>
        <v>0</v>
      </c>
      <c r="AJ337" s="76">
        <f t="shared" si="402"/>
        <v>0</v>
      </c>
      <c r="AK337" s="76">
        <f t="shared" si="402"/>
        <v>0</v>
      </c>
      <c r="AL337" s="76">
        <f t="shared" si="402"/>
        <v>0</v>
      </c>
      <c r="AM337" s="76">
        <f t="shared" si="402"/>
        <v>0</v>
      </c>
      <c r="AN337" s="76">
        <f t="shared" si="402"/>
        <v>0</v>
      </c>
      <c r="AO337" s="76">
        <f t="shared" si="402"/>
        <v>0</v>
      </c>
      <c r="AP337" s="76">
        <f t="shared" si="402"/>
        <v>0</v>
      </c>
      <c r="AQ337" s="76">
        <f t="shared" si="402"/>
        <v>0</v>
      </c>
      <c r="AR337" s="76">
        <f t="shared" si="402"/>
        <v>0</v>
      </c>
      <c r="AS337" s="76">
        <f t="shared" si="402"/>
        <v>0</v>
      </c>
      <c r="AT337" s="76">
        <f t="shared" si="402"/>
        <v>0</v>
      </c>
      <c r="AU337" s="3"/>
      <c r="AV337" s="3"/>
      <c r="AW337" s="3"/>
      <c r="AX337" s="3"/>
    </row>
    <row r="338" spans="1:50" ht="15.75" x14ac:dyDescent="0.25">
      <c r="A338" s="81">
        <v>21</v>
      </c>
      <c r="B338" s="25">
        <v>20</v>
      </c>
      <c r="C338" s="59">
        <f t="shared" si="393"/>
        <v>210</v>
      </c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76">
        <f t="shared" ref="X338:AU338" si="403">IF($B338&lt;D$1,0,((($B338-C$315)/$C338)*$W$45))</f>
        <v>0</v>
      </c>
      <c r="Y338" s="76">
        <f t="shared" si="403"/>
        <v>0</v>
      </c>
      <c r="Z338" s="76">
        <f t="shared" si="403"/>
        <v>0</v>
      </c>
      <c r="AA338" s="76">
        <f t="shared" si="403"/>
        <v>0</v>
      </c>
      <c r="AB338" s="76">
        <f t="shared" si="403"/>
        <v>0</v>
      </c>
      <c r="AC338" s="76">
        <f t="shared" si="403"/>
        <v>0</v>
      </c>
      <c r="AD338" s="76">
        <f t="shared" si="403"/>
        <v>0</v>
      </c>
      <c r="AE338" s="76">
        <f t="shared" si="403"/>
        <v>0</v>
      </c>
      <c r="AF338" s="76">
        <f t="shared" si="403"/>
        <v>0</v>
      </c>
      <c r="AG338" s="76">
        <f t="shared" si="403"/>
        <v>0</v>
      </c>
      <c r="AH338" s="76">
        <f t="shared" si="403"/>
        <v>0</v>
      </c>
      <c r="AI338" s="76">
        <f t="shared" si="403"/>
        <v>0</v>
      </c>
      <c r="AJ338" s="76">
        <f t="shared" si="403"/>
        <v>0</v>
      </c>
      <c r="AK338" s="76">
        <f t="shared" si="403"/>
        <v>0</v>
      </c>
      <c r="AL338" s="76">
        <f t="shared" si="403"/>
        <v>0</v>
      </c>
      <c r="AM338" s="76">
        <f t="shared" si="403"/>
        <v>0</v>
      </c>
      <c r="AN338" s="76">
        <f t="shared" si="403"/>
        <v>0</v>
      </c>
      <c r="AO338" s="76">
        <f t="shared" si="403"/>
        <v>0</v>
      </c>
      <c r="AP338" s="76">
        <f t="shared" si="403"/>
        <v>0</v>
      </c>
      <c r="AQ338" s="76">
        <f t="shared" si="403"/>
        <v>0</v>
      </c>
      <c r="AR338" s="76">
        <f t="shared" si="403"/>
        <v>0</v>
      </c>
      <c r="AS338" s="76">
        <f t="shared" si="403"/>
        <v>0</v>
      </c>
      <c r="AT338" s="76">
        <f t="shared" si="403"/>
        <v>0</v>
      </c>
      <c r="AU338" s="76">
        <f t="shared" si="403"/>
        <v>0</v>
      </c>
      <c r="AV338" s="3"/>
      <c r="AW338" s="3"/>
      <c r="AX338" s="3"/>
    </row>
    <row r="339" spans="1:50" ht="15.75" x14ac:dyDescent="0.25">
      <c r="A339" s="81">
        <v>22</v>
      </c>
      <c r="B339" s="25">
        <v>20</v>
      </c>
      <c r="C339" s="59">
        <f t="shared" si="393"/>
        <v>210</v>
      </c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76">
        <f t="shared" ref="Y339:AV339" si="404">IF($B339&lt;D$1,0,((($B339-C$315)/$C339)*$X$45))</f>
        <v>0</v>
      </c>
      <c r="Z339" s="76">
        <f t="shared" si="404"/>
        <v>0</v>
      </c>
      <c r="AA339" s="76">
        <f t="shared" si="404"/>
        <v>0</v>
      </c>
      <c r="AB339" s="76">
        <f t="shared" si="404"/>
        <v>0</v>
      </c>
      <c r="AC339" s="76">
        <f t="shared" si="404"/>
        <v>0</v>
      </c>
      <c r="AD339" s="76">
        <f t="shared" si="404"/>
        <v>0</v>
      </c>
      <c r="AE339" s="76">
        <f t="shared" si="404"/>
        <v>0</v>
      </c>
      <c r="AF339" s="76">
        <f t="shared" si="404"/>
        <v>0</v>
      </c>
      <c r="AG339" s="76">
        <f t="shared" si="404"/>
        <v>0</v>
      </c>
      <c r="AH339" s="76">
        <f t="shared" si="404"/>
        <v>0</v>
      </c>
      <c r="AI339" s="76">
        <f t="shared" si="404"/>
        <v>0</v>
      </c>
      <c r="AJ339" s="76">
        <f t="shared" si="404"/>
        <v>0</v>
      </c>
      <c r="AK339" s="76">
        <f t="shared" si="404"/>
        <v>0</v>
      </c>
      <c r="AL339" s="76">
        <f t="shared" si="404"/>
        <v>0</v>
      </c>
      <c r="AM339" s="76">
        <f t="shared" si="404"/>
        <v>0</v>
      </c>
      <c r="AN339" s="76">
        <f t="shared" si="404"/>
        <v>0</v>
      </c>
      <c r="AO339" s="76">
        <f t="shared" si="404"/>
        <v>0</v>
      </c>
      <c r="AP339" s="76">
        <f t="shared" si="404"/>
        <v>0</v>
      </c>
      <c r="AQ339" s="76">
        <f t="shared" si="404"/>
        <v>0</v>
      </c>
      <c r="AR339" s="76">
        <f t="shared" si="404"/>
        <v>0</v>
      </c>
      <c r="AS339" s="76">
        <f t="shared" si="404"/>
        <v>0</v>
      </c>
      <c r="AT339" s="76">
        <f t="shared" si="404"/>
        <v>0</v>
      </c>
      <c r="AU339" s="76">
        <f t="shared" si="404"/>
        <v>0</v>
      </c>
      <c r="AV339" s="76">
        <f t="shared" si="404"/>
        <v>0</v>
      </c>
      <c r="AW339" s="3"/>
      <c r="AX339" s="3"/>
    </row>
    <row r="340" spans="1:50" ht="15.75" x14ac:dyDescent="0.25">
      <c r="A340" s="81">
        <v>23</v>
      </c>
      <c r="B340" s="25">
        <v>20</v>
      </c>
      <c r="C340" s="59">
        <f t="shared" si="393"/>
        <v>210</v>
      </c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76">
        <f t="shared" ref="Z340:AW340" si="405">IF($B340&lt;D$1,0,((($B340-C$315)/$C340)*$Y$45))</f>
        <v>0</v>
      </c>
      <c r="AA340" s="76">
        <f t="shared" si="405"/>
        <v>0</v>
      </c>
      <c r="AB340" s="76">
        <f t="shared" si="405"/>
        <v>0</v>
      </c>
      <c r="AC340" s="76">
        <f t="shared" si="405"/>
        <v>0</v>
      </c>
      <c r="AD340" s="76">
        <f t="shared" si="405"/>
        <v>0</v>
      </c>
      <c r="AE340" s="76">
        <f t="shared" si="405"/>
        <v>0</v>
      </c>
      <c r="AF340" s="76">
        <f t="shared" si="405"/>
        <v>0</v>
      </c>
      <c r="AG340" s="76">
        <f t="shared" si="405"/>
        <v>0</v>
      </c>
      <c r="AH340" s="76">
        <f t="shared" si="405"/>
        <v>0</v>
      </c>
      <c r="AI340" s="76">
        <f t="shared" si="405"/>
        <v>0</v>
      </c>
      <c r="AJ340" s="76">
        <f t="shared" si="405"/>
        <v>0</v>
      </c>
      <c r="AK340" s="76">
        <f t="shared" si="405"/>
        <v>0</v>
      </c>
      <c r="AL340" s="76">
        <f t="shared" si="405"/>
        <v>0</v>
      </c>
      <c r="AM340" s="76">
        <f t="shared" si="405"/>
        <v>0</v>
      </c>
      <c r="AN340" s="76">
        <f t="shared" si="405"/>
        <v>0</v>
      </c>
      <c r="AO340" s="76">
        <f t="shared" si="405"/>
        <v>0</v>
      </c>
      <c r="AP340" s="76">
        <f t="shared" si="405"/>
        <v>0</v>
      </c>
      <c r="AQ340" s="76">
        <f t="shared" si="405"/>
        <v>0</v>
      </c>
      <c r="AR340" s="76">
        <f t="shared" si="405"/>
        <v>0</v>
      </c>
      <c r="AS340" s="76">
        <f t="shared" si="405"/>
        <v>0</v>
      </c>
      <c r="AT340" s="76">
        <f t="shared" si="405"/>
        <v>0</v>
      </c>
      <c r="AU340" s="76">
        <f t="shared" si="405"/>
        <v>0</v>
      </c>
      <c r="AV340" s="76">
        <f t="shared" si="405"/>
        <v>0</v>
      </c>
      <c r="AW340" s="76">
        <f t="shared" si="405"/>
        <v>0</v>
      </c>
      <c r="AX340" s="3"/>
    </row>
    <row r="341" spans="1:50" ht="15.75" x14ac:dyDescent="0.25">
      <c r="A341" s="81">
        <v>24</v>
      </c>
      <c r="B341" s="25">
        <v>20</v>
      </c>
      <c r="C341" s="59">
        <f t="shared" si="393"/>
        <v>210</v>
      </c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76">
        <f t="shared" ref="AA341:AX341" si="406">IF($B341&lt;D$1,0,((($B341-C$315)/$C341)*$Z$45))</f>
        <v>0</v>
      </c>
      <c r="AB341" s="76">
        <f t="shared" si="406"/>
        <v>0</v>
      </c>
      <c r="AC341" s="76">
        <f t="shared" si="406"/>
        <v>0</v>
      </c>
      <c r="AD341" s="76">
        <f t="shared" si="406"/>
        <v>0</v>
      </c>
      <c r="AE341" s="76">
        <f t="shared" si="406"/>
        <v>0</v>
      </c>
      <c r="AF341" s="76">
        <f t="shared" si="406"/>
        <v>0</v>
      </c>
      <c r="AG341" s="76">
        <f t="shared" si="406"/>
        <v>0</v>
      </c>
      <c r="AH341" s="76">
        <f t="shared" si="406"/>
        <v>0</v>
      </c>
      <c r="AI341" s="76">
        <f t="shared" si="406"/>
        <v>0</v>
      </c>
      <c r="AJ341" s="76">
        <f t="shared" si="406"/>
        <v>0</v>
      </c>
      <c r="AK341" s="76">
        <f t="shared" si="406"/>
        <v>0</v>
      </c>
      <c r="AL341" s="76">
        <f t="shared" si="406"/>
        <v>0</v>
      </c>
      <c r="AM341" s="76">
        <f t="shared" si="406"/>
        <v>0</v>
      </c>
      <c r="AN341" s="76">
        <f t="shared" si="406"/>
        <v>0</v>
      </c>
      <c r="AO341" s="76">
        <f t="shared" si="406"/>
        <v>0</v>
      </c>
      <c r="AP341" s="76">
        <f t="shared" si="406"/>
        <v>0</v>
      </c>
      <c r="AQ341" s="76">
        <f t="shared" si="406"/>
        <v>0</v>
      </c>
      <c r="AR341" s="76">
        <f t="shared" si="406"/>
        <v>0</v>
      </c>
      <c r="AS341" s="76">
        <f t="shared" si="406"/>
        <v>0</v>
      </c>
      <c r="AT341" s="76">
        <f t="shared" si="406"/>
        <v>0</v>
      </c>
      <c r="AU341" s="76">
        <f t="shared" si="406"/>
        <v>0</v>
      </c>
      <c r="AV341" s="76">
        <f t="shared" si="406"/>
        <v>0</v>
      </c>
      <c r="AW341" s="76">
        <f t="shared" si="406"/>
        <v>0</v>
      </c>
      <c r="AX341" s="76">
        <f t="shared" si="406"/>
        <v>0</v>
      </c>
    </row>
    <row r="342" spans="1:50" x14ac:dyDescent="0.25">
      <c r="A342" s="84"/>
      <c r="B342" s="84"/>
      <c r="C342" s="84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  <c r="AA342" s="86"/>
    </row>
    <row r="343" spans="1:50" x14ac:dyDescent="0.25">
      <c r="A343" s="59" t="s">
        <v>95</v>
      </c>
      <c r="B343" s="59"/>
      <c r="C343" s="59"/>
      <c r="D343" s="83">
        <f>SUM(D318:D341)</f>
        <v>0</v>
      </c>
      <c r="E343" s="83">
        <f t="shared" ref="E343:AX343" si="407">SUM(E318:E341)</f>
        <v>0</v>
      </c>
      <c r="F343" s="83">
        <f t="shared" si="407"/>
        <v>0</v>
      </c>
      <c r="G343" s="83">
        <f t="shared" si="407"/>
        <v>0</v>
      </c>
      <c r="H343" s="83">
        <f t="shared" si="407"/>
        <v>0</v>
      </c>
      <c r="I343" s="83">
        <f t="shared" si="407"/>
        <v>0</v>
      </c>
      <c r="J343" s="83">
        <f t="shared" si="407"/>
        <v>0</v>
      </c>
      <c r="K343" s="83">
        <f t="shared" si="407"/>
        <v>0</v>
      </c>
      <c r="L343" s="83">
        <f t="shared" si="407"/>
        <v>0</v>
      </c>
      <c r="M343" s="83">
        <f t="shared" si="407"/>
        <v>0</v>
      </c>
      <c r="N343" s="83">
        <f t="shared" si="407"/>
        <v>0</v>
      </c>
      <c r="O343" s="83">
        <f t="shared" si="407"/>
        <v>0</v>
      </c>
      <c r="P343" s="83">
        <f t="shared" si="407"/>
        <v>0</v>
      </c>
      <c r="Q343" s="83">
        <f t="shared" si="407"/>
        <v>0</v>
      </c>
      <c r="R343" s="83">
        <f t="shared" si="407"/>
        <v>0</v>
      </c>
      <c r="S343" s="83">
        <f t="shared" si="407"/>
        <v>0</v>
      </c>
      <c r="T343" s="83">
        <f t="shared" si="407"/>
        <v>0</v>
      </c>
      <c r="U343" s="83">
        <f t="shared" si="407"/>
        <v>0</v>
      </c>
      <c r="V343" s="83">
        <f t="shared" si="407"/>
        <v>0</v>
      </c>
      <c r="W343" s="83">
        <f t="shared" si="407"/>
        <v>0</v>
      </c>
      <c r="X343" s="83">
        <f t="shared" si="407"/>
        <v>0</v>
      </c>
      <c r="Y343" s="83">
        <f t="shared" si="407"/>
        <v>0</v>
      </c>
      <c r="Z343" s="83">
        <f t="shared" si="407"/>
        <v>0</v>
      </c>
      <c r="AA343" s="83">
        <f t="shared" si="407"/>
        <v>0</v>
      </c>
      <c r="AB343" s="83">
        <f t="shared" si="407"/>
        <v>0</v>
      </c>
      <c r="AC343" s="83">
        <f t="shared" si="407"/>
        <v>0</v>
      </c>
      <c r="AD343" s="83">
        <f t="shared" si="407"/>
        <v>0</v>
      </c>
      <c r="AE343" s="83">
        <f t="shared" si="407"/>
        <v>0</v>
      </c>
      <c r="AF343" s="83">
        <f t="shared" si="407"/>
        <v>0</v>
      </c>
      <c r="AG343" s="83">
        <f t="shared" si="407"/>
        <v>0</v>
      </c>
      <c r="AH343" s="83">
        <f t="shared" si="407"/>
        <v>0</v>
      </c>
      <c r="AI343" s="83">
        <f t="shared" si="407"/>
        <v>0</v>
      </c>
      <c r="AJ343" s="83">
        <f t="shared" si="407"/>
        <v>0</v>
      </c>
      <c r="AK343" s="83">
        <f t="shared" si="407"/>
        <v>0</v>
      </c>
      <c r="AL343" s="83">
        <f t="shared" si="407"/>
        <v>0</v>
      </c>
      <c r="AM343" s="83">
        <f t="shared" si="407"/>
        <v>0</v>
      </c>
      <c r="AN343" s="83">
        <f t="shared" si="407"/>
        <v>0</v>
      </c>
      <c r="AO343" s="83">
        <f t="shared" si="407"/>
        <v>0</v>
      </c>
      <c r="AP343" s="83">
        <f t="shared" si="407"/>
        <v>0</v>
      </c>
      <c r="AQ343" s="83">
        <f t="shared" si="407"/>
        <v>0</v>
      </c>
      <c r="AR343" s="83">
        <f t="shared" si="407"/>
        <v>0</v>
      </c>
      <c r="AS343" s="83">
        <f t="shared" si="407"/>
        <v>0</v>
      </c>
      <c r="AT343" s="83">
        <f t="shared" si="407"/>
        <v>0</v>
      </c>
      <c r="AU343" s="83">
        <f t="shared" si="407"/>
        <v>0</v>
      </c>
      <c r="AV343" s="83">
        <f t="shared" si="407"/>
        <v>0</v>
      </c>
      <c r="AW343" s="83">
        <f t="shared" si="407"/>
        <v>0</v>
      </c>
      <c r="AX343" s="83">
        <f t="shared" si="407"/>
        <v>0</v>
      </c>
    </row>
    <row r="344" spans="1:50" x14ac:dyDescent="0.25">
      <c r="A344" s="59" t="s">
        <v>96</v>
      </c>
      <c r="B344" s="59"/>
      <c r="C344" s="59"/>
      <c r="D344" s="83">
        <f>D343</f>
        <v>0</v>
      </c>
      <c r="E344" s="83">
        <f t="shared" ref="E344:AX344" si="408">E343</f>
        <v>0</v>
      </c>
      <c r="F344" s="83">
        <f t="shared" si="408"/>
        <v>0</v>
      </c>
      <c r="G344" s="83">
        <f t="shared" si="408"/>
        <v>0</v>
      </c>
      <c r="H344" s="83">
        <f t="shared" si="408"/>
        <v>0</v>
      </c>
      <c r="I344" s="83">
        <f t="shared" si="408"/>
        <v>0</v>
      </c>
      <c r="J344" s="83">
        <f t="shared" si="408"/>
        <v>0</v>
      </c>
      <c r="K344" s="83">
        <f t="shared" si="408"/>
        <v>0</v>
      </c>
      <c r="L344" s="83">
        <f t="shared" si="408"/>
        <v>0</v>
      </c>
      <c r="M344" s="83">
        <f t="shared" si="408"/>
        <v>0</v>
      </c>
      <c r="N344" s="83">
        <f t="shared" si="408"/>
        <v>0</v>
      </c>
      <c r="O344" s="83">
        <f t="shared" si="408"/>
        <v>0</v>
      </c>
      <c r="P344" s="83">
        <f t="shared" si="408"/>
        <v>0</v>
      </c>
      <c r="Q344" s="83">
        <f t="shared" si="408"/>
        <v>0</v>
      </c>
      <c r="R344" s="83">
        <f t="shared" si="408"/>
        <v>0</v>
      </c>
      <c r="S344" s="83">
        <f t="shared" si="408"/>
        <v>0</v>
      </c>
      <c r="T344" s="83">
        <f t="shared" si="408"/>
        <v>0</v>
      </c>
      <c r="U344" s="83">
        <f t="shared" si="408"/>
        <v>0</v>
      </c>
      <c r="V344" s="83">
        <f t="shared" si="408"/>
        <v>0</v>
      </c>
      <c r="W344" s="83">
        <f t="shared" si="408"/>
        <v>0</v>
      </c>
      <c r="X344" s="83">
        <f t="shared" si="408"/>
        <v>0</v>
      </c>
      <c r="Y344" s="83">
        <f t="shared" si="408"/>
        <v>0</v>
      </c>
      <c r="Z344" s="83">
        <f t="shared" si="408"/>
        <v>0</v>
      </c>
      <c r="AA344" s="83">
        <f t="shared" si="408"/>
        <v>0</v>
      </c>
      <c r="AB344" s="83">
        <f t="shared" si="408"/>
        <v>0</v>
      </c>
      <c r="AC344" s="83">
        <f t="shared" si="408"/>
        <v>0</v>
      </c>
      <c r="AD344" s="83">
        <f t="shared" si="408"/>
        <v>0</v>
      </c>
      <c r="AE344" s="83">
        <f t="shared" si="408"/>
        <v>0</v>
      </c>
      <c r="AF344" s="83">
        <f t="shared" si="408"/>
        <v>0</v>
      </c>
      <c r="AG344" s="83">
        <f t="shared" si="408"/>
        <v>0</v>
      </c>
      <c r="AH344" s="83">
        <f t="shared" si="408"/>
        <v>0</v>
      </c>
      <c r="AI344" s="83">
        <f t="shared" si="408"/>
        <v>0</v>
      </c>
      <c r="AJ344" s="83">
        <f t="shared" si="408"/>
        <v>0</v>
      </c>
      <c r="AK344" s="83">
        <f t="shared" si="408"/>
        <v>0</v>
      </c>
      <c r="AL344" s="83">
        <f t="shared" si="408"/>
        <v>0</v>
      </c>
      <c r="AM344" s="83">
        <f t="shared" si="408"/>
        <v>0</v>
      </c>
      <c r="AN344" s="83">
        <f t="shared" si="408"/>
        <v>0</v>
      </c>
      <c r="AO344" s="83">
        <f t="shared" si="408"/>
        <v>0</v>
      </c>
      <c r="AP344" s="83">
        <f t="shared" si="408"/>
        <v>0</v>
      </c>
      <c r="AQ344" s="83">
        <f t="shared" si="408"/>
        <v>0</v>
      </c>
      <c r="AR344" s="83">
        <f t="shared" si="408"/>
        <v>0</v>
      </c>
      <c r="AS344" s="83">
        <f t="shared" si="408"/>
        <v>0</v>
      </c>
      <c r="AT344" s="83">
        <f t="shared" si="408"/>
        <v>0</v>
      </c>
      <c r="AU344" s="83">
        <f t="shared" si="408"/>
        <v>0</v>
      </c>
      <c r="AV344" s="83">
        <f t="shared" si="408"/>
        <v>0</v>
      </c>
      <c r="AW344" s="83">
        <f t="shared" si="408"/>
        <v>0</v>
      </c>
      <c r="AX344" s="83">
        <f t="shared" si="408"/>
        <v>0</v>
      </c>
    </row>
    <row r="345" spans="1:50" x14ac:dyDescent="0.25">
      <c r="A345" s="59" t="s">
        <v>98</v>
      </c>
      <c r="B345" s="59"/>
      <c r="C345" s="59"/>
      <c r="D345" s="83">
        <f t="shared" ref="D345:AB345" si="409">C45-D344</f>
        <v>0</v>
      </c>
      <c r="E345" s="83">
        <f t="shared" si="409"/>
        <v>0</v>
      </c>
      <c r="F345" s="83">
        <f t="shared" si="409"/>
        <v>0</v>
      </c>
      <c r="G345" s="83">
        <f t="shared" si="409"/>
        <v>0</v>
      </c>
      <c r="H345" s="83">
        <f t="shared" si="409"/>
        <v>0</v>
      </c>
      <c r="I345" s="83">
        <f t="shared" si="409"/>
        <v>0</v>
      </c>
      <c r="J345" s="83">
        <f t="shared" si="409"/>
        <v>0</v>
      </c>
      <c r="K345" s="83">
        <f t="shared" si="409"/>
        <v>0</v>
      </c>
      <c r="L345" s="83">
        <f t="shared" si="409"/>
        <v>0</v>
      </c>
      <c r="M345" s="83">
        <f t="shared" si="409"/>
        <v>0</v>
      </c>
      <c r="N345" s="83">
        <f t="shared" si="409"/>
        <v>0</v>
      </c>
      <c r="O345" s="83">
        <f t="shared" si="409"/>
        <v>0</v>
      </c>
      <c r="P345" s="83">
        <f t="shared" si="409"/>
        <v>0</v>
      </c>
      <c r="Q345" s="83">
        <f t="shared" si="409"/>
        <v>0</v>
      </c>
      <c r="R345" s="83">
        <f t="shared" si="409"/>
        <v>0</v>
      </c>
      <c r="S345" s="83">
        <f t="shared" si="409"/>
        <v>0</v>
      </c>
      <c r="T345" s="83">
        <f t="shared" si="409"/>
        <v>0</v>
      </c>
      <c r="U345" s="83">
        <f t="shared" si="409"/>
        <v>0</v>
      </c>
      <c r="V345" s="83">
        <f t="shared" si="409"/>
        <v>0</v>
      </c>
      <c r="W345" s="83">
        <f t="shared" si="409"/>
        <v>0</v>
      </c>
      <c r="X345" s="83">
        <f t="shared" si="409"/>
        <v>0</v>
      </c>
      <c r="Y345" s="83">
        <f t="shared" si="409"/>
        <v>0</v>
      </c>
      <c r="Z345" s="83">
        <f t="shared" si="409"/>
        <v>0</v>
      </c>
      <c r="AA345" s="83">
        <f t="shared" si="409"/>
        <v>0</v>
      </c>
      <c r="AB345" s="83">
        <f t="shared" si="409"/>
        <v>0</v>
      </c>
      <c r="AC345" s="83" t="e">
        <f>#REF!-AC344</f>
        <v>#REF!</v>
      </c>
      <c r="AD345" s="83" t="e">
        <f>#REF!-AD344</f>
        <v>#REF!</v>
      </c>
      <c r="AE345" s="83" t="e">
        <f>#REF!-AE344</f>
        <v>#REF!</v>
      </c>
      <c r="AF345" s="83" t="e">
        <f>#REF!-AF344</f>
        <v>#REF!</v>
      </c>
      <c r="AG345" s="83" t="e">
        <f>#REF!-AG344</f>
        <v>#REF!</v>
      </c>
      <c r="AH345" s="83" t="e">
        <f>#REF!-AH344</f>
        <v>#REF!</v>
      </c>
      <c r="AI345" s="83" t="e">
        <f>#REF!-AI344</f>
        <v>#REF!</v>
      </c>
      <c r="AJ345" s="83" t="e">
        <f>#REF!-AJ344</f>
        <v>#REF!</v>
      </c>
      <c r="AK345" s="83" t="e">
        <f>#REF!-AK344</f>
        <v>#REF!</v>
      </c>
      <c r="AL345" s="83" t="e">
        <f>#REF!-AL344</f>
        <v>#REF!</v>
      </c>
      <c r="AM345" s="83" t="e">
        <f>#REF!-AM344</f>
        <v>#REF!</v>
      </c>
      <c r="AN345" s="83" t="e">
        <f>#REF!-AN344</f>
        <v>#REF!</v>
      </c>
      <c r="AO345" s="83" t="e">
        <f>#REF!-AO344</f>
        <v>#REF!</v>
      </c>
      <c r="AP345" s="83" t="e">
        <f>#REF!-AP344</f>
        <v>#REF!</v>
      </c>
      <c r="AQ345" s="83" t="e">
        <f>#REF!-AQ344</f>
        <v>#REF!</v>
      </c>
      <c r="AR345" s="83" t="e">
        <f>#REF!-AR344</f>
        <v>#REF!</v>
      </c>
      <c r="AS345" s="83" t="e">
        <f>#REF!-AS344</f>
        <v>#REF!</v>
      </c>
      <c r="AT345" s="83" t="e">
        <f>#REF!-AT344</f>
        <v>#REF!</v>
      </c>
      <c r="AU345" s="83" t="e">
        <f>#REF!-AU344</f>
        <v>#REF!</v>
      </c>
      <c r="AV345" s="83" t="e">
        <f>#REF!-AV344</f>
        <v>#REF!</v>
      </c>
      <c r="AW345" s="83" t="e">
        <f>#REF!-AW344</f>
        <v>#REF!</v>
      </c>
      <c r="AX345" s="83" t="e">
        <f>#REF!-AX344</f>
        <v>#REF!</v>
      </c>
    </row>
    <row r="346" spans="1:50" x14ac:dyDescent="0.25">
      <c r="A346" s="89"/>
      <c r="C346" s="82"/>
      <c r="D346" s="82"/>
      <c r="E346" s="82"/>
      <c r="F346" s="82"/>
      <c r="G346" s="82"/>
      <c r="H346" s="82"/>
      <c r="I346" s="82"/>
      <c r="J346" s="82"/>
      <c r="K346" s="82"/>
    </row>
    <row r="347" spans="1:50" ht="23.25" x14ac:dyDescent="0.35">
      <c r="A347" s="459" t="s">
        <v>97</v>
      </c>
      <c r="B347" s="65" t="str">
        <f>B317</f>
        <v>Periodos/depreciación</v>
      </c>
      <c r="C347" s="82"/>
      <c r="D347" s="14">
        <v>1</v>
      </c>
      <c r="E347" s="14">
        <v>2</v>
      </c>
      <c r="F347" s="14">
        <v>3</v>
      </c>
      <c r="G347" s="14">
        <v>4</v>
      </c>
      <c r="H347" s="14">
        <v>5</v>
      </c>
      <c r="I347" s="14">
        <v>6</v>
      </c>
      <c r="J347" s="14">
        <v>7</v>
      </c>
      <c r="K347" s="14">
        <v>8</v>
      </c>
      <c r="L347" s="14">
        <v>9</v>
      </c>
      <c r="M347" s="14">
        <v>10</v>
      </c>
      <c r="N347" s="14">
        <v>11</v>
      </c>
      <c r="O347" s="14">
        <v>12</v>
      </c>
      <c r="P347" s="14">
        <v>13</v>
      </c>
      <c r="Q347" s="14">
        <v>14</v>
      </c>
      <c r="R347" s="14">
        <v>15</v>
      </c>
      <c r="S347" s="14">
        <v>16</v>
      </c>
      <c r="T347" s="14">
        <v>17</v>
      </c>
      <c r="U347" s="14">
        <v>18</v>
      </c>
      <c r="V347" s="14">
        <v>19</v>
      </c>
      <c r="W347" s="14">
        <v>20</v>
      </c>
      <c r="X347" s="14">
        <v>21</v>
      </c>
      <c r="Y347" s="14">
        <v>22</v>
      </c>
      <c r="Z347" s="14">
        <v>23</v>
      </c>
      <c r="AA347" s="14">
        <v>24</v>
      </c>
    </row>
    <row r="348" spans="1:50" ht="15.75" x14ac:dyDescent="0.25">
      <c r="A348" s="20" t="str">
        <f t="shared" ref="A348:A357" si="410">A317</f>
        <v>Años a proyectar</v>
      </c>
      <c r="B348" s="405"/>
    </row>
    <row r="349" spans="1:50" ht="15.75" x14ac:dyDescent="0.25">
      <c r="A349" s="81">
        <f t="shared" si="410"/>
        <v>1</v>
      </c>
      <c r="B349" s="25"/>
      <c r="C349" s="59"/>
      <c r="D349" s="83">
        <f t="shared" ref="D349:AA349" si="411">IF($D$347&gt;$B348,0,$C$45/$B348)</f>
        <v>0</v>
      </c>
      <c r="E349" s="83">
        <f t="shared" si="411"/>
        <v>0</v>
      </c>
      <c r="F349" s="83">
        <f t="shared" si="411"/>
        <v>0</v>
      </c>
      <c r="G349" s="83">
        <f t="shared" si="411"/>
        <v>0</v>
      </c>
      <c r="H349" s="83">
        <f t="shared" si="411"/>
        <v>0</v>
      </c>
      <c r="I349" s="83">
        <f t="shared" si="411"/>
        <v>0</v>
      </c>
      <c r="J349" s="83">
        <f t="shared" si="411"/>
        <v>0</v>
      </c>
      <c r="K349" s="83">
        <f t="shared" si="411"/>
        <v>0</v>
      </c>
      <c r="L349" s="83">
        <f t="shared" si="411"/>
        <v>0</v>
      </c>
      <c r="M349" s="83">
        <f t="shared" si="411"/>
        <v>0</v>
      </c>
      <c r="N349" s="83">
        <f t="shared" si="411"/>
        <v>0</v>
      </c>
      <c r="O349" s="83">
        <f t="shared" si="411"/>
        <v>0</v>
      </c>
      <c r="P349" s="83">
        <f t="shared" si="411"/>
        <v>0</v>
      </c>
      <c r="Q349" s="83">
        <f t="shared" si="411"/>
        <v>0</v>
      </c>
      <c r="R349" s="83">
        <f t="shared" si="411"/>
        <v>0</v>
      </c>
      <c r="S349" s="83">
        <f t="shared" si="411"/>
        <v>0</v>
      </c>
      <c r="T349" s="83">
        <f t="shared" si="411"/>
        <v>0</v>
      </c>
      <c r="U349" s="83">
        <f t="shared" si="411"/>
        <v>0</v>
      </c>
      <c r="V349" s="83">
        <f t="shared" si="411"/>
        <v>0</v>
      </c>
      <c r="W349" s="83">
        <f t="shared" si="411"/>
        <v>0</v>
      </c>
      <c r="X349" s="83">
        <f t="shared" si="411"/>
        <v>0</v>
      </c>
      <c r="Y349" s="83">
        <f t="shared" si="411"/>
        <v>0</v>
      </c>
      <c r="Z349" s="83">
        <f t="shared" si="411"/>
        <v>0</v>
      </c>
      <c r="AA349" s="83">
        <f t="shared" si="411"/>
        <v>0</v>
      </c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</row>
    <row r="350" spans="1:50" ht="15.75" x14ac:dyDescent="0.25">
      <c r="A350" s="81">
        <f t="shared" si="410"/>
        <v>2</v>
      </c>
      <c r="B350" s="25"/>
      <c r="C350" s="59"/>
      <c r="D350" s="59"/>
      <c r="E350" s="83">
        <f t="shared" ref="E350:AB350" si="412">IF($D$347&gt;$B349,0,$D$45/$B349)</f>
        <v>0</v>
      </c>
      <c r="F350" s="83">
        <f t="shared" si="412"/>
        <v>0</v>
      </c>
      <c r="G350" s="83">
        <f t="shared" si="412"/>
        <v>0</v>
      </c>
      <c r="H350" s="83">
        <f t="shared" si="412"/>
        <v>0</v>
      </c>
      <c r="I350" s="83">
        <f t="shared" si="412"/>
        <v>0</v>
      </c>
      <c r="J350" s="83">
        <f t="shared" si="412"/>
        <v>0</v>
      </c>
      <c r="K350" s="83">
        <f t="shared" si="412"/>
        <v>0</v>
      </c>
      <c r="L350" s="83">
        <f t="shared" si="412"/>
        <v>0</v>
      </c>
      <c r="M350" s="83">
        <f t="shared" si="412"/>
        <v>0</v>
      </c>
      <c r="N350" s="83">
        <f t="shared" si="412"/>
        <v>0</v>
      </c>
      <c r="O350" s="83">
        <f t="shared" si="412"/>
        <v>0</v>
      </c>
      <c r="P350" s="83">
        <f t="shared" si="412"/>
        <v>0</v>
      </c>
      <c r="Q350" s="83">
        <f t="shared" si="412"/>
        <v>0</v>
      </c>
      <c r="R350" s="83">
        <f t="shared" si="412"/>
        <v>0</v>
      </c>
      <c r="S350" s="83">
        <f t="shared" si="412"/>
        <v>0</v>
      </c>
      <c r="T350" s="83">
        <f t="shared" si="412"/>
        <v>0</v>
      </c>
      <c r="U350" s="83">
        <f t="shared" si="412"/>
        <v>0</v>
      </c>
      <c r="V350" s="83">
        <f t="shared" si="412"/>
        <v>0</v>
      </c>
      <c r="W350" s="83">
        <f t="shared" si="412"/>
        <v>0</v>
      </c>
      <c r="X350" s="83">
        <f t="shared" si="412"/>
        <v>0</v>
      </c>
      <c r="Y350" s="83">
        <f t="shared" si="412"/>
        <v>0</v>
      </c>
      <c r="Z350" s="83">
        <f t="shared" si="412"/>
        <v>0</v>
      </c>
      <c r="AA350" s="83">
        <f t="shared" si="412"/>
        <v>0</v>
      </c>
      <c r="AB350" s="83">
        <f t="shared" si="412"/>
        <v>0</v>
      </c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</row>
    <row r="351" spans="1:50" ht="15.75" x14ac:dyDescent="0.25">
      <c r="A351" s="81">
        <f t="shared" si="410"/>
        <v>3</v>
      </c>
      <c r="B351" s="25"/>
      <c r="C351" s="59"/>
      <c r="D351" s="59"/>
      <c r="E351" s="59"/>
      <c r="F351" s="83">
        <f t="shared" ref="F351:AC351" si="413">IF($D$347&gt;$B350,0,$E$45/$B350)</f>
        <v>0</v>
      </c>
      <c r="G351" s="83">
        <f t="shared" si="413"/>
        <v>0</v>
      </c>
      <c r="H351" s="83">
        <f t="shared" si="413"/>
        <v>0</v>
      </c>
      <c r="I351" s="83">
        <f t="shared" si="413"/>
        <v>0</v>
      </c>
      <c r="J351" s="83">
        <f t="shared" si="413"/>
        <v>0</v>
      </c>
      <c r="K351" s="83">
        <f t="shared" si="413"/>
        <v>0</v>
      </c>
      <c r="L351" s="83">
        <f t="shared" si="413"/>
        <v>0</v>
      </c>
      <c r="M351" s="83">
        <f t="shared" si="413"/>
        <v>0</v>
      </c>
      <c r="N351" s="83">
        <f t="shared" si="413"/>
        <v>0</v>
      </c>
      <c r="O351" s="83">
        <f t="shared" si="413"/>
        <v>0</v>
      </c>
      <c r="P351" s="83">
        <f t="shared" si="413"/>
        <v>0</v>
      </c>
      <c r="Q351" s="83">
        <f t="shared" si="413"/>
        <v>0</v>
      </c>
      <c r="R351" s="83">
        <f t="shared" si="413"/>
        <v>0</v>
      </c>
      <c r="S351" s="83">
        <f t="shared" si="413"/>
        <v>0</v>
      </c>
      <c r="T351" s="83">
        <f t="shared" si="413"/>
        <v>0</v>
      </c>
      <c r="U351" s="83">
        <f t="shared" si="413"/>
        <v>0</v>
      </c>
      <c r="V351" s="83">
        <f t="shared" si="413"/>
        <v>0</v>
      </c>
      <c r="W351" s="83">
        <f t="shared" si="413"/>
        <v>0</v>
      </c>
      <c r="X351" s="83">
        <f t="shared" si="413"/>
        <v>0</v>
      </c>
      <c r="Y351" s="83">
        <f t="shared" si="413"/>
        <v>0</v>
      </c>
      <c r="Z351" s="83">
        <f t="shared" si="413"/>
        <v>0</v>
      </c>
      <c r="AA351" s="83">
        <f t="shared" si="413"/>
        <v>0</v>
      </c>
      <c r="AB351" s="83">
        <f t="shared" si="413"/>
        <v>0</v>
      </c>
      <c r="AC351" s="83">
        <f t="shared" si="413"/>
        <v>0</v>
      </c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</row>
    <row r="352" spans="1:50" ht="15.75" x14ac:dyDescent="0.25">
      <c r="A352" s="81">
        <f t="shared" si="410"/>
        <v>4</v>
      </c>
      <c r="B352" s="25"/>
      <c r="C352" s="59"/>
      <c r="D352" s="59"/>
      <c r="E352" s="59"/>
      <c r="F352" s="59"/>
      <c r="G352" s="83">
        <f t="shared" ref="G352:AD352" si="414">IF($D$347&gt;$B351,0,$F$45/$B351)</f>
        <v>0</v>
      </c>
      <c r="H352" s="83">
        <f t="shared" si="414"/>
        <v>0</v>
      </c>
      <c r="I352" s="83">
        <f t="shared" si="414"/>
        <v>0</v>
      </c>
      <c r="J352" s="83">
        <f t="shared" si="414"/>
        <v>0</v>
      </c>
      <c r="K352" s="83">
        <f t="shared" si="414"/>
        <v>0</v>
      </c>
      <c r="L352" s="83">
        <f t="shared" si="414"/>
        <v>0</v>
      </c>
      <c r="M352" s="83">
        <f t="shared" si="414"/>
        <v>0</v>
      </c>
      <c r="N352" s="83">
        <f t="shared" si="414"/>
        <v>0</v>
      </c>
      <c r="O352" s="83">
        <f t="shared" si="414"/>
        <v>0</v>
      </c>
      <c r="P352" s="83">
        <f t="shared" si="414"/>
        <v>0</v>
      </c>
      <c r="Q352" s="83">
        <f t="shared" si="414"/>
        <v>0</v>
      </c>
      <c r="R352" s="83">
        <f t="shared" si="414"/>
        <v>0</v>
      </c>
      <c r="S352" s="83">
        <f t="shared" si="414"/>
        <v>0</v>
      </c>
      <c r="T352" s="83">
        <f t="shared" si="414"/>
        <v>0</v>
      </c>
      <c r="U352" s="83">
        <f t="shared" si="414"/>
        <v>0</v>
      </c>
      <c r="V352" s="83">
        <f t="shared" si="414"/>
        <v>0</v>
      </c>
      <c r="W352" s="83">
        <f t="shared" si="414"/>
        <v>0</v>
      </c>
      <c r="X352" s="83">
        <f t="shared" si="414"/>
        <v>0</v>
      </c>
      <c r="Y352" s="83">
        <f t="shared" si="414"/>
        <v>0</v>
      </c>
      <c r="Z352" s="83">
        <f t="shared" si="414"/>
        <v>0</v>
      </c>
      <c r="AA352" s="83">
        <f t="shared" si="414"/>
        <v>0</v>
      </c>
      <c r="AB352" s="83">
        <f t="shared" si="414"/>
        <v>0</v>
      </c>
      <c r="AC352" s="83">
        <f t="shared" si="414"/>
        <v>0</v>
      </c>
      <c r="AD352" s="83">
        <f t="shared" si="414"/>
        <v>0</v>
      </c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</row>
    <row r="353" spans="1:50" ht="15.75" x14ac:dyDescent="0.25">
      <c r="A353" s="81">
        <f t="shared" si="410"/>
        <v>5</v>
      </c>
      <c r="B353" s="25"/>
      <c r="C353" s="59"/>
      <c r="D353" s="59"/>
      <c r="E353" s="59"/>
      <c r="F353" s="59"/>
      <c r="G353" s="59"/>
      <c r="H353" s="83">
        <f t="shared" ref="H353:AE353" si="415">IF($D$347&gt;$B352,0,$G$45/$B352)</f>
        <v>0</v>
      </c>
      <c r="I353" s="83">
        <f t="shared" si="415"/>
        <v>0</v>
      </c>
      <c r="J353" s="83">
        <f t="shared" si="415"/>
        <v>0</v>
      </c>
      <c r="K353" s="83">
        <f t="shared" si="415"/>
        <v>0</v>
      </c>
      <c r="L353" s="83">
        <f t="shared" si="415"/>
        <v>0</v>
      </c>
      <c r="M353" s="83">
        <f t="shared" si="415"/>
        <v>0</v>
      </c>
      <c r="N353" s="83">
        <f t="shared" si="415"/>
        <v>0</v>
      </c>
      <c r="O353" s="83">
        <f t="shared" si="415"/>
        <v>0</v>
      </c>
      <c r="P353" s="83">
        <f t="shared" si="415"/>
        <v>0</v>
      </c>
      <c r="Q353" s="83">
        <f t="shared" si="415"/>
        <v>0</v>
      </c>
      <c r="R353" s="83">
        <f t="shared" si="415"/>
        <v>0</v>
      </c>
      <c r="S353" s="83">
        <f t="shared" si="415"/>
        <v>0</v>
      </c>
      <c r="T353" s="83">
        <f t="shared" si="415"/>
        <v>0</v>
      </c>
      <c r="U353" s="83">
        <f t="shared" si="415"/>
        <v>0</v>
      </c>
      <c r="V353" s="83">
        <f t="shared" si="415"/>
        <v>0</v>
      </c>
      <c r="W353" s="83">
        <f t="shared" si="415"/>
        <v>0</v>
      </c>
      <c r="X353" s="83">
        <f t="shared" si="415"/>
        <v>0</v>
      </c>
      <c r="Y353" s="83">
        <f t="shared" si="415"/>
        <v>0</v>
      </c>
      <c r="Z353" s="83">
        <f t="shared" si="415"/>
        <v>0</v>
      </c>
      <c r="AA353" s="83">
        <f t="shared" si="415"/>
        <v>0</v>
      </c>
      <c r="AB353" s="83">
        <f t="shared" si="415"/>
        <v>0</v>
      </c>
      <c r="AC353" s="83">
        <f t="shared" si="415"/>
        <v>0</v>
      </c>
      <c r="AD353" s="83">
        <f t="shared" si="415"/>
        <v>0</v>
      </c>
      <c r="AE353" s="83">
        <f t="shared" si="415"/>
        <v>0</v>
      </c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</row>
    <row r="354" spans="1:50" ht="15.75" x14ac:dyDescent="0.25">
      <c r="A354" s="81">
        <f t="shared" si="410"/>
        <v>6</v>
      </c>
      <c r="B354" s="25"/>
      <c r="C354" s="59"/>
      <c r="D354" s="59"/>
      <c r="E354" s="59"/>
      <c r="F354" s="59"/>
      <c r="G354" s="59"/>
      <c r="H354" s="59"/>
      <c r="I354" s="83">
        <f t="shared" ref="I354:AF354" si="416">IF($D$347&gt;$B353,0,$H$45/$B353)</f>
        <v>0</v>
      </c>
      <c r="J354" s="83">
        <f t="shared" si="416"/>
        <v>0</v>
      </c>
      <c r="K354" s="83">
        <f t="shared" si="416"/>
        <v>0</v>
      </c>
      <c r="L354" s="83">
        <f t="shared" si="416"/>
        <v>0</v>
      </c>
      <c r="M354" s="83">
        <f t="shared" si="416"/>
        <v>0</v>
      </c>
      <c r="N354" s="83">
        <f t="shared" si="416"/>
        <v>0</v>
      </c>
      <c r="O354" s="83">
        <f t="shared" si="416"/>
        <v>0</v>
      </c>
      <c r="P354" s="83">
        <f t="shared" si="416"/>
        <v>0</v>
      </c>
      <c r="Q354" s="83">
        <f t="shared" si="416"/>
        <v>0</v>
      </c>
      <c r="R354" s="83">
        <f t="shared" si="416"/>
        <v>0</v>
      </c>
      <c r="S354" s="83">
        <f t="shared" si="416"/>
        <v>0</v>
      </c>
      <c r="T354" s="83">
        <f t="shared" si="416"/>
        <v>0</v>
      </c>
      <c r="U354" s="83">
        <f t="shared" si="416"/>
        <v>0</v>
      </c>
      <c r="V354" s="83">
        <f t="shared" si="416"/>
        <v>0</v>
      </c>
      <c r="W354" s="83">
        <f t="shared" si="416"/>
        <v>0</v>
      </c>
      <c r="X354" s="83">
        <f t="shared" si="416"/>
        <v>0</v>
      </c>
      <c r="Y354" s="83">
        <f t="shared" si="416"/>
        <v>0</v>
      </c>
      <c r="Z354" s="83">
        <f t="shared" si="416"/>
        <v>0</v>
      </c>
      <c r="AA354" s="83">
        <f t="shared" si="416"/>
        <v>0</v>
      </c>
      <c r="AB354" s="83">
        <f t="shared" si="416"/>
        <v>0</v>
      </c>
      <c r="AC354" s="83">
        <f t="shared" si="416"/>
        <v>0</v>
      </c>
      <c r="AD354" s="83">
        <f t="shared" si="416"/>
        <v>0</v>
      </c>
      <c r="AE354" s="83">
        <f t="shared" si="416"/>
        <v>0</v>
      </c>
      <c r="AF354" s="83">
        <f t="shared" si="416"/>
        <v>0</v>
      </c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</row>
    <row r="355" spans="1:50" ht="15.75" x14ac:dyDescent="0.25">
      <c r="A355" s="81">
        <f t="shared" si="410"/>
        <v>7</v>
      </c>
      <c r="B355" s="25"/>
      <c r="C355" s="59"/>
      <c r="D355" s="59"/>
      <c r="E355" s="59"/>
      <c r="F355" s="59"/>
      <c r="G355" s="59"/>
      <c r="H355" s="59"/>
      <c r="I355" s="59"/>
      <c r="J355" s="83">
        <f t="shared" ref="J355:AG355" si="417">IF($D$347&gt;$B354,0,$I$45/$B354)</f>
        <v>0</v>
      </c>
      <c r="K355" s="83">
        <f t="shared" si="417"/>
        <v>0</v>
      </c>
      <c r="L355" s="83">
        <f t="shared" si="417"/>
        <v>0</v>
      </c>
      <c r="M355" s="83">
        <f t="shared" si="417"/>
        <v>0</v>
      </c>
      <c r="N355" s="83">
        <f t="shared" si="417"/>
        <v>0</v>
      </c>
      <c r="O355" s="83">
        <f t="shared" si="417"/>
        <v>0</v>
      </c>
      <c r="P355" s="83">
        <f t="shared" si="417"/>
        <v>0</v>
      </c>
      <c r="Q355" s="83">
        <f t="shared" si="417"/>
        <v>0</v>
      </c>
      <c r="R355" s="83">
        <f t="shared" si="417"/>
        <v>0</v>
      </c>
      <c r="S355" s="83">
        <f t="shared" si="417"/>
        <v>0</v>
      </c>
      <c r="T355" s="83">
        <f t="shared" si="417"/>
        <v>0</v>
      </c>
      <c r="U355" s="83">
        <f t="shared" si="417"/>
        <v>0</v>
      </c>
      <c r="V355" s="83">
        <f t="shared" si="417"/>
        <v>0</v>
      </c>
      <c r="W355" s="83">
        <f t="shared" si="417"/>
        <v>0</v>
      </c>
      <c r="X355" s="83">
        <f t="shared" si="417"/>
        <v>0</v>
      </c>
      <c r="Y355" s="83">
        <f t="shared" si="417"/>
        <v>0</v>
      </c>
      <c r="Z355" s="83">
        <f t="shared" si="417"/>
        <v>0</v>
      </c>
      <c r="AA355" s="83">
        <f t="shared" si="417"/>
        <v>0</v>
      </c>
      <c r="AB355" s="83">
        <f t="shared" si="417"/>
        <v>0</v>
      </c>
      <c r="AC355" s="83">
        <f t="shared" si="417"/>
        <v>0</v>
      </c>
      <c r="AD355" s="83">
        <f t="shared" si="417"/>
        <v>0</v>
      </c>
      <c r="AE355" s="83">
        <f t="shared" si="417"/>
        <v>0</v>
      </c>
      <c r="AF355" s="83">
        <f t="shared" si="417"/>
        <v>0</v>
      </c>
      <c r="AG355" s="83">
        <f t="shared" si="417"/>
        <v>0</v>
      </c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</row>
    <row r="356" spans="1:50" ht="15.75" x14ac:dyDescent="0.25">
      <c r="A356" s="81">
        <f t="shared" si="410"/>
        <v>8</v>
      </c>
      <c r="B356" s="25"/>
      <c r="C356" s="59"/>
      <c r="D356" s="59"/>
      <c r="E356" s="59"/>
      <c r="F356" s="59"/>
      <c r="G356" s="59"/>
      <c r="H356" s="59"/>
      <c r="I356" s="59"/>
      <c r="J356" s="59"/>
      <c r="K356" s="83">
        <f t="shared" ref="K356:AH356" si="418">IF($D$347&gt;$B355,0,$J$45/$B355)</f>
        <v>0</v>
      </c>
      <c r="L356" s="83">
        <f t="shared" si="418"/>
        <v>0</v>
      </c>
      <c r="M356" s="83">
        <f t="shared" si="418"/>
        <v>0</v>
      </c>
      <c r="N356" s="83">
        <f t="shared" si="418"/>
        <v>0</v>
      </c>
      <c r="O356" s="83">
        <f t="shared" si="418"/>
        <v>0</v>
      </c>
      <c r="P356" s="83">
        <f t="shared" si="418"/>
        <v>0</v>
      </c>
      <c r="Q356" s="83">
        <f t="shared" si="418"/>
        <v>0</v>
      </c>
      <c r="R356" s="83">
        <f t="shared" si="418"/>
        <v>0</v>
      </c>
      <c r="S356" s="83">
        <f t="shared" si="418"/>
        <v>0</v>
      </c>
      <c r="T356" s="83">
        <f t="shared" si="418"/>
        <v>0</v>
      </c>
      <c r="U356" s="83">
        <f t="shared" si="418"/>
        <v>0</v>
      </c>
      <c r="V356" s="83">
        <f t="shared" si="418"/>
        <v>0</v>
      </c>
      <c r="W356" s="83">
        <f t="shared" si="418"/>
        <v>0</v>
      </c>
      <c r="X356" s="83">
        <f t="shared" si="418"/>
        <v>0</v>
      </c>
      <c r="Y356" s="83">
        <f t="shared" si="418"/>
        <v>0</v>
      </c>
      <c r="Z356" s="83">
        <f t="shared" si="418"/>
        <v>0</v>
      </c>
      <c r="AA356" s="83">
        <f t="shared" si="418"/>
        <v>0</v>
      </c>
      <c r="AB356" s="83">
        <f t="shared" si="418"/>
        <v>0</v>
      </c>
      <c r="AC356" s="83">
        <f t="shared" si="418"/>
        <v>0</v>
      </c>
      <c r="AD356" s="83">
        <f t="shared" si="418"/>
        <v>0</v>
      </c>
      <c r="AE356" s="83">
        <f t="shared" si="418"/>
        <v>0</v>
      </c>
      <c r="AF356" s="83">
        <f t="shared" si="418"/>
        <v>0</v>
      </c>
      <c r="AG356" s="83">
        <f t="shared" si="418"/>
        <v>0</v>
      </c>
      <c r="AH356" s="83">
        <f t="shared" si="418"/>
        <v>0</v>
      </c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</row>
    <row r="357" spans="1:50" ht="15.75" x14ac:dyDescent="0.25">
      <c r="A357" s="81">
        <f t="shared" si="410"/>
        <v>9</v>
      </c>
      <c r="B357" s="25"/>
      <c r="C357" s="59"/>
      <c r="D357" s="59"/>
      <c r="E357" s="59"/>
      <c r="F357" s="59"/>
      <c r="G357" s="59"/>
      <c r="H357" s="59"/>
      <c r="I357" s="59"/>
      <c r="J357" s="59"/>
      <c r="K357" s="83"/>
      <c r="L357" s="83">
        <f t="shared" ref="L357:AI357" si="419">IF($D$347&gt;$B356,0,$K$45/$B356)</f>
        <v>0</v>
      </c>
      <c r="M357" s="83">
        <f t="shared" si="419"/>
        <v>0</v>
      </c>
      <c r="N357" s="83">
        <f t="shared" si="419"/>
        <v>0</v>
      </c>
      <c r="O357" s="83">
        <f t="shared" si="419"/>
        <v>0</v>
      </c>
      <c r="P357" s="83">
        <f t="shared" si="419"/>
        <v>0</v>
      </c>
      <c r="Q357" s="83">
        <f t="shared" si="419"/>
        <v>0</v>
      </c>
      <c r="R357" s="83">
        <f t="shared" si="419"/>
        <v>0</v>
      </c>
      <c r="S357" s="83">
        <f t="shared" si="419"/>
        <v>0</v>
      </c>
      <c r="T357" s="83">
        <f t="shared" si="419"/>
        <v>0</v>
      </c>
      <c r="U357" s="83">
        <f t="shared" si="419"/>
        <v>0</v>
      </c>
      <c r="V357" s="83">
        <f t="shared" si="419"/>
        <v>0</v>
      </c>
      <c r="W357" s="83">
        <f t="shared" si="419"/>
        <v>0</v>
      </c>
      <c r="X357" s="83">
        <f t="shared" si="419"/>
        <v>0</v>
      </c>
      <c r="Y357" s="83">
        <f t="shared" si="419"/>
        <v>0</v>
      </c>
      <c r="Z357" s="83">
        <f t="shared" si="419"/>
        <v>0</v>
      </c>
      <c r="AA357" s="83">
        <f t="shared" si="419"/>
        <v>0</v>
      </c>
      <c r="AB357" s="83">
        <f t="shared" si="419"/>
        <v>0</v>
      </c>
      <c r="AC357" s="83">
        <f t="shared" si="419"/>
        <v>0</v>
      </c>
      <c r="AD357" s="83">
        <f t="shared" si="419"/>
        <v>0</v>
      </c>
      <c r="AE357" s="83">
        <f t="shared" si="419"/>
        <v>0</v>
      </c>
      <c r="AF357" s="83">
        <f t="shared" si="419"/>
        <v>0</v>
      </c>
      <c r="AG357" s="83">
        <f t="shared" si="419"/>
        <v>0</v>
      </c>
      <c r="AH357" s="83">
        <f t="shared" si="419"/>
        <v>0</v>
      </c>
      <c r="AI357" s="83">
        <f t="shared" si="419"/>
        <v>0</v>
      </c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</row>
    <row r="358" spans="1:50" ht="15.75" x14ac:dyDescent="0.25">
      <c r="A358" s="81">
        <f>A327</f>
        <v>10</v>
      </c>
      <c r="B358" s="3"/>
      <c r="C358" s="3"/>
      <c r="D358" s="59"/>
      <c r="E358" s="59"/>
      <c r="F358" s="59"/>
      <c r="G358" s="59"/>
      <c r="H358" s="59"/>
      <c r="I358" s="59"/>
      <c r="J358" s="59"/>
      <c r="K358" s="83"/>
      <c r="L358" s="83"/>
      <c r="M358" s="83">
        <f t="shared" ref="M358:AJ358" si="420">IF($D$347&gt;$B357,0,$L$45/$B357)</f>
        <v>0</v>
      </c>
      <c r="N358" s="83">
        <f t="shared" si="420"/>
        <v>0</v>
      </c>
      <c r="O358" s="83">
        <f t="shared" si="420"/>
        <v>0</v>
      </c>
      <c r="P358" s="83">
        <f t="shared" si="420"/>
        <v>0</v>
      </c>
      <c r="Q358" s="83">
        <f t="shared" si="420"/>
        <v>0</v>
      </c>
      <c r="R358" s="83">
        <f t="shared" si="420"/>
        <v>0</v>
      </c>
      <c r="S358" s="83">
        <f t="shared" si="420"/>
        <v>0</v>
      </c>
      <c r="T358" s="83">
        <f t="shared" si="420"/>
        <v>0</v>
      </c>
      <c r="U358" s="83">
        <f t="shared" si="420"/>
        <v>0</v>
      </c>
      <c r="V358" s="83">
        <f t="shared" si="420"/>
        <v>0</v>
      </c>
      <c r="W358" s="83">
        <f t="shared" si="420"/>
        <v>0</v>
      </c>
      <c r="X358" s="83">
        <f t="shared" si="420"/>
        <v>0</v>
      </c>
      <c r="Y358" s="83">
        <f t="shared" si="420"/>
        <v>0</v>
      </c>
      <c r="Z358" s="83">
        <f t="shared" si="420"/>
        <v>0</v>
      </c>
      <c r="AA358" s="83">
        <f t="shared" si="420"/>
        <v>0</v>
      </c>
      <c r="AB358" s="83">
        <f t="shared" si="420"/>
        <v>0</v>
      </c>
      <c r="AC358" s="83">
        <f t="shared" si="420"/>
        <v>0</v>
      </c>
      <c r="AD358" s="83">
        <f t="shared" si="420"/>
        <v>0</v>
      </c>
      <c r="AE358" s="83">
        <f t="shared" si="420"/>
        <v>0</v>
      </c>
      <c r="AF358" s="83">
        <f t="shared" si="420"/>
        <v>0</v>
      </c>
      <c r="AG358" s="83">
        <f t="shared" si="420"/>
        <v>0</v>
      </c>
      <c r="AH358" s="83">
        <f t="shared" si="420"/>
        <v>0</v>
      </c>
      <c r="AI358" s="83">
        <f t="shared" si="420"/>
        <v>0</v>
      </c>
      <c r="AJ358" s="83">
        <f t="shared" si="420"/>
        <v>0</v>
      </c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</row>
    <row r="359" spans="1:50" ht="15.75" x14ac:dyDescent="0.25">
      <c r="A359" s="81">
        <v>11</v>
      </c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83">
        <f t="shared" ref="N359:AK359" si="421">IF($D$347&gt;$B358,0,$M$45/$B358)</f>
        <v>0</v>
      </c>
      <c r="O359" s="83">
        <f t="shared" si="421"/>
        <v>0</v>
      </c>
      <c r="P359" s="83">
        <f t="shared" si="421"/>
        <v>0</v>
      </c>
      <c r="Q359" s="83">
        <f t="shared" si="421"/>
        <v>0</v>
      </c>
      <c r="R359" s="83">
        <f t="shared" si="421"/>
        <v>0</v>
      </c>
      <c r="S359" s="83">
        <f t="shared" si="421"/>
        <v>0</v>
      </c>
      <c r="T359" s="83">
        <f t="shared" si="421"/>
        <v>0</v>
      </c>
      <c r="U359" s="83">
        <f t="shared" si="421"/>
        <v>0</v>
      </c>
      <c r="V359" s="83">
        <f t="shared" si="421"/>
        <v>0</v>
      </c>
      <c r="W359" s="83">
        <f t="shared" si="421"/>
        <v>0</v>
      </c>
      <c r="X359" s="83">
        <f t="shared" si="421"/>
        <v>0</v>
      </c>
      <c r="Y359" s="83">
        <f t="shared" si="421"/>
        <v>0</v>
      </c>
      <c r="Z359" s="83">
        <f t="shared" si="421"/>
        <v>0</v>
      </c>
      <c r="AA359" s="83">
        <f t="shared" si="421"/>
        <v>0</v>
      </c>
      <c r="AB359" s="83">
        <f t="shared" si="421"/>
        <v>0</v>
      </c>
      <c r="AC359" s="83">
        <f t="shared" si="421"/>
        <v>0</v>
      </c>
      <c r="AD359" s="83">
        <f t="shared" si="421"/>
        <v>0</v>
      </c>
      <c r="AE359" s="83">
        <f t="shared" si="421"/>
        <v>0</v>
      </c>
      <c r="AF359" s="83">
        <f t="shared" si="421"/>
        <v>0</v>
      </c>
      <c r="AG359" s="83">
        <f t="shared" si="421"/>
        <v>0</v>
      </c>
      <c r="AH359" s="83">
        <f t="shared" si="421"/>
        <v>0</v>
      </c>
      <c r="AI359" s="83">
        <f t="shared" si="421"/>
        <v>0</v>
      </c>
      <c r="AJ359" s="83">
        <f t="shared" si="421"/>
        <v>0</v>
      </c>
      <c r="AK359" s="83">
        <f t="shared" si="421"/>
        <v>0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</row>
    <row r="360" spans="1:50" ht="15.75" x14ac:dyDescent="0.25">
      <c r="A360" s="81">
        <v>12</v>
      </c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83">
        <f t="shared" ref="O360:AL360" si="422">IF($D$347&gt;$B359,0,$N$45/$B359)</f>
        <v>0</v>
      </c>
      <c r="P360" s="83">
        <f t="shared" si="422"/>
        <v>0</v>
      </c>
      <c r="Q360" s="83">
        <f t="shared" si="422"/>
        <v>0</v>
      </c>
      <c r="R360" s="83">
        <f t="shared" si="422"/>
        <v>0</v>
      </c>
      <c r="S360" s="83">
        <f t="shared" si="422"/>
        <v>0</v>
      </c>
      <c r="T360" s="83">
        <f t="shared" si="422"/>
        <v>0</v>
      </c>
      <c r="U360" s="83">
        <f t="shared" si="422"/>
        <v>0</v>
      </c>
      <c r="V360" s="83">
        <f t="shared" si="422"/>
        <v>0</v>
      </c>
      <c r="W360" s="83">
        <f t="shared" si="422"/>
        <v>0</v>
      </c>
      <c r="X360" s="83">
        <f t="shared" si="422"/>
        <v>0</v>
      </c>
      <c r="Y360" s="83">
        <f t="shared" si="422"/>
        <v>0</v>
      </c>
      <c r="Z360" s="83">
        <f t="shared" si="422"/>
        <v>0</v>
      </c>
      <c r="AA360" s="83">
        <f t="shared" si="422"/>
        <v>0</v>
      </c>
      <c r="AB360" s="83">
        <f t="shared" si="422"/>
        <v>0</v>
      </c>
      <c r="AC360" s="83">
        <f t="shared" si="422"/>
        <v>0</v>
      </c>
      <c r="AD360" s="83">
        <f t="shared" si="422"/>
        <v>0</v>
      </c>
      <c r="AE360" s="83">
        <f t="shared" si="422"/>
        <v>0</v>
      </c>
      <c r="AF360" s="83">
        <f t="shared" si="422"/>
        <v>0</v>
      </c>
      <c r="AG360" s="83">
        <f t="shared" si="422"/>
        <v>0</v>
      </c>
      <c r="AH360" s="83">
        <f t="shared" si="422"/>
        <v>0</v>
      </c>
      <c r="AI360" s="83">
        <f t="shared" si="422"/>
        <v>0</v>
      </c>
      <c r="AJ360" s="83">
        <f t="shared" si="422"/>
        <v>0</v>
      </c>
      <c r="AK360" s="83">
        <f t="shared" si="422"/>
        <v>0</v>
      </c>
      <c r="AL360" s="83">
        <f t="shared" si="422"/>
        <v>0</v>
      </c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</row>
    <row r="361" spans="1:50" ht="15.75" x14ac:dyDescent="0.25">
      <c r="A361" s="81">
        <v>13</v>
      </c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83">
        <f t="shared" ref="P361:AM361" si="423">IF($D$347&gt;$B360,0,$O$45/$B360)</f>
        <v>0</v>
      </c>
      <c r="Q361" s="83">
        <f t="shared" si="423"/>
        <v>0</v>
      </c>
      <c r="R361" s="83">
        <f t="shared" si="423"/>
        <v>0</v>
      </c>
      <c r="S361" s="83">
        <f t="shared" si="423"/>
        <v>0</v>
      </c>
      <c r="T361" s="83">
        <f t="shared" si="423"/>
        <v>0</v>
      </c>
      <c r="U361" s="83">
        <f t="shared" si="423"/>
        <v>0</v>
      </c>
      <c r="V361" s="83">
        <f t="shared" si="423"/>
        <v>0</v>
      </c>
      <c r="W361" s="83">
        <f t="shared" si="423"/>
        <v>0</v>
      </c>
      <c r="X361" s="83">
        <f t="shared" si="423"/>
        <v>0</v>
      </c>
      <c r="Y361" s="83">
        <f t="shared" si="423"/>
        <v>0</v>
      </c>
      <c r="Z361" s="83">
        <f t="shared" si="423"/>
        <v>0</v>
      </c>
      <c r="AA361" s="83">
        <f t="shared" si="423"/>
        <v>0</v>
      </c>
      <c r="AB361" s="83">
        <f t="shared" si="423"/>
        <v>0</v>
      </c>
      <c r="AC361" s="83">
        <f t="shared" si="423"/>
        <v>0</v>
      </c>
      <c r="AD361" s="83">
        <f t="shared" si="423"/>
        <v>0</v>
      </c>
      <c r="AE361" s="83">
        <f t="shared" si="423"/>
        <v>0</v>
      </c>
      <c r="AF361" s="83">
        <f t="shared" si="423"/>
        <v>0</v>
      </c>
      <c r="AG361" s="83">
        <f t="shared" si="423"/>
        <v>0</v>
      </c>
      <c r="AH361" s="83">
        <f t="shared" si="423"/>
        <v>0</v>
      </c>
      <c r="AI361" s="83">
        <f t="shared" si="423"/>
        <v>0</v>
      </c>
      <c r="AJ361" s="83">
        <f t="shared" si="423"/>
        <v>0</v>
      </c>
      <c r="AK361" s="83">
        <f t="shared" si="423"/>
        <v>0</v>
      </c>
      <c r="AL361" s="83">
        <f t="shared" si="423"/>
        <v>0</v>
      </c>
      <c r="AM361" s="83">
        <f t="shared" si="423"/>
        <v>0</v>
      </c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</row>
    <row r="362" spans="1:50" ht="15.75" x14ac:dyDescent="0.25">
      <c r="A362" s="81">
        <v>14</v>
      </c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83">
        <f t="shared" ref="Q362:AN362" si="424">IF($D$347&gt;$B361,0,$P$45/$B361)</f>
        <v>0</v>
      </c>
      <c r="R362" s="83">
        <f t="shared" si="424"/>
        <v>0</v>
      </c>
      <c r="S362" s="83">
        <f t="shared" si="424"/>
        <v>0</v>
      </c>
      <c r="T362" s="83">
        <f t="shared" si="424"/>
        <v>0</v>
      </c>
      <c r="U362" s="83">
        <f t="shared" si="424"/>
        <v>0</v>
      </c>
      <c r="V362" s="83">
        <f t="shared" si="424"/>
        <v>0</v>
      </c>
      <c r="W362" s="83">
        <f t="shared" si="424"/>
        <v>0</v>
      </c>
      <c r="X362" s="83">
        <f t="shared" si="424"/>
        <v>0</v>
      </c>
      <c r="Y362" s="83">
        <f t="shared" si="424"/>
        <v>0</v>
      </c>
      <c r="Z362" s="83">
        <f t="shared" si="424"/>
        <v>0</v>
      </c>
      <c r="AA362" s="83">
        <f t="shared" si="424"/>
        <v>0</v>
      </c>
      <c r="AB362" s="83">
        <f t="shared" si="424"/>
        <v>0</v>
      </c>
      <c r="AC362" s="83">
        <f t="shared" si="424"/>
        <v>0</v>
      </c>
      <c r="AD362" s="83">
        <f t="shared" si="424"/>
        <v>0</v>
      </c>
      <c r="AE362" s="83">
        <f t="shared" si="424"/>
        <v>0</v>
      </c>
      <c r="AF362" s="83">
        <f t="shared" si="424"/>
        <v>0</v>
      </c>
      <c r="AG362" s="83">
        <f t="shared" si="424"/>
        <v>0</v>
      </c>
      <c r="AH362" s="83">
        <f t="shared" si="424"/>
        <v>0</v>
      </c>
      <c r="AI362" s="83">
        <f t="shared" si="424"/>
        <v>0</v>
      </c>
      <c r="AJ362" s="83">
        <f t="shared" si="424"/>
        <v>0</v>
      </c>
      <c r="AK362" s="83">
        <f t="shared" si="424"/>
        <v>0</v>
      </c>
      <c r="AL362" s="83">
        <f t="shared" si="424"/>
        <v>0</v>
      </c>
      <c r="AM362" s="83">
        <f t="shared" si="424"/>
        <v>0</v>
      </c>
      <c r="AN362" s="83">
        <f t="shared" si="424"/>
        <v>0</v>
      </c>
      <c r="AO362" s="3"/>
      <c r="AP362" s="3"/>
      <c r="AQ362" s="3"/>
      <c r="AR362" s="3"/>
      <c r="AS362" s="3"/>
      <c r="AT362" s="3"/>
      <c r="AU362" s="3"/>
      <c r="AV362" s="3"/>
      <c r="AW362" s="3"/>
      <c r="AX362" s="3"/>
    </row>
    <row r="363" spans="1:50" ht="15.75" x14ac:dyDescent="0.25">
      <c r="A363" s="81">
        <v>15</v>
      </c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83">
        <f t="shared" ref="R363:AO363" si="425">IF($D$347&gt;$B362,0,$Q$45/$B362)</f>
        <v>0</v>
      </c>
      <c r="S363" s="83">
        <f t="shared" si="425"/>
        <v>0</v>
      </c>
      <c r="T363" s="83">
        <f t="shared" si="425"/>
        <v>0</v>
      </c>
      <c r="U363" s="83">
        <f t="shared" si="425"/>
        <v>0</v>
      </c>
      <c r="V363" s="83">
        <f t="shared" si="425"/>
        <v>0</v>
      </c>
      <c r="W363" s="83">
        <f t="shared" si="425"/>
        <v>0</v>
      </c>
      <c r="X363" s="83">
        <f t="shared" si="425"/>
        <v>0</v>
      </c>
      <c r="Y363" s="83">
        <f t="shared" si="425"/>
        <v>0</v>
      </c>
      <c r="Z363" s="83">
        <f t="shared" si="425"/>
        <v>0</v>
      </c>
      <c r="AA363" s="83">
        <f t="shared" si="425"/>
        <v>0</v>
      </c>
      <c r="AB363" s="83">
        <f t="shared" si="425"/>
        <v>0</v>
      </c>
      <c r="AC363" s="83">
        <f t="shared" si="425"/>
        <v>0</v>
      </c>
      <c r="AD363" s="83">
        <f t="shared" si="425"/>
        <v>0</v>
      </c>
      <c r="AE363" s="83">
        <f t="shared" si="425"/>
        <v>0</v>
      </c>
      <c r="AF363" s="83">
        <f t="shared" si="425"/>
        <v>0</v>
      </c>
      <c r="AG363" s="83">
        <f t="shared" si="425"/>
        <v>0</v>
      </c>
      <c r="AH363" s="83">
        <f t="shared" si="425"/>
        <v>0</v>
      </c>
      <c r="AI363" s="83">
        <f t="shared" si="425"/>
        <v>0</v>
      </c>
      <c r="AJ363" s="83">
        <f t="shared" si="425"/>
        <v>0</v>
      </c>
      <c r="AK363" s="83">
        <f t="shared" si="425"/>
        <v>0</v>
      </c>
      <c r="AL363" s="83">
        <f t="shared" si="425"/>
        <v>0</v>
      </c>
      <c r="AM363" s="83">
        <f t="shared" si="425"/>
        <v>0</v>
      </c>
      <c r="AN363" s="83">
        <f t="shared" si="425"/>
        <v>0</v>
      </c>
      <c r="AO363" s="83">
        <f t="shared" si="425"/>
        <v>0</v>
      </c>
      <c r="AP363" s="3"/>
      <c r="AQ363" s="3"/>
      <c r="AR363" s="3"/>
      <c r="AS363" s="3"/>
      <c r="AT363" s="3"/>
      <c r="AU363" s="3"/>
      <c r="AV363" s="3"/>
      <c r="AW363" s="3"/>
      <c r="AX363" s="3"/>
    </row>
    <row r="364" spans="1:50" ht="15.75" x14ac:dyDescent="0.25">
      <c r="A364" s="81">
        <v>16</v>
      </c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83">
        <f t="shared" ref="S364:AP364" si="426">IF($D$347&gt;$B363,0,$R$45/$B363)</f>
        <v>0</v>
      </c>
      <c r="T364" s="83">
        <f t="shared" si="426"/>
        <v>0</v>
      </c>
      <c r="U364" s="83">
        <f t="shared" si="426"/>
        <v>0</v>
      </c>
      <c r="V364" s="83">
        <f t="shared" si="426"/>
        <v>0</v>
      </c>
      <c r="W364" s="83">
        <f t="shared" si="426"/>
        <v>0</v>
      </c>
      <c r="X364" s="83">
        <f t="shared" si="426"/>
        <v>0</v>
      </c>
      <c r="Y364" s="83">
        <f t="shared" si="426"/>
        <v>0</v>
      </c>
      <c r="Z364" s="83">
        <f t="shared" si="426"/>
        <v>0</v>
      </c>
      <c r="AA364" s="83">
        <f t="shared" si="426"/>
        <v>0</v>
      </c>
      <c r="AB364" s="83">
        <f t="shared" si="426"/>
        <v>0</v>
      </c>
      <c r="AC364" s="83">
        <f t="shared" si="426"/>
        <v>0</v>
      </c>
      <c r="AD364" s="83">
        <f t="shared" si="426"/>
        <v>0</v>
      </c>
      <c r="AE364" s="83">
        <f t="shared" si="426"/>
        <v>0</v>
      </c>
      <c r="AF364" s="83">
        <f t="shared" si="426"/>
        <v>0</v>
      </c>
      <c r="AG364" s="83">
        <f t="shared" si="426"/>
        <v>0</v>
      </c>
      <c r="AH364" s="83">
        <f t="shared" si="426"/>
        <v>0</v>
      </c>
      <c r="AI364" s="83">
        <f t="shared" si="426"/>
        <v>0</v>
      </c>
      <c r="AJ364" s="83">
        <f t="shared" si="426"/>
        <v>0</v>
      </c>
      <c r="AK364" s="83">
        <f t="shared" si="426"/>
        <v>0</v>
      </c>
      <c r="AL364" s="83">
        <f t="shared" si="426"/>
        <v>0</v>
      </c>
      <c r="AM364" s="83">
        <f t="shared" si="426"/>
        <v>0</v>
      </c>
      <c r="AN364" s="83">
        <f t="shared" si="426"/>
        <v>0</v>
      </c>
      <c r="AO364" s="83">
        <f t="shared" si="426"/>
        <v>0</v>
      </c>
      <c r="AP364" s="83">
        <f t="shared" si="426"/>
        <v>0</v>
      </c>
      <c r="AQ364" s="3"/>
      <c r="AR364" s="3"/>
      <c r="AS364" s="3"/>
      <c r="AT364" s="3"/>
      <c r="AU364" s="3"/>
      <c r="AV364" s="3"/>
      <c r="AW364" s="3"/>
      <c r="AX364" s="3"/>
    </row>
    <row r="365" spans="1:50" ht="15.75" x14ac:dyDescent="0.25">
      <c r="A365" s="81">
        <v>17</v>
      </c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83">
        <f t="shared" ref="T365:AQ365" si="427">IF($D$347&gt;$B364,0,$S$45/$B364)</f>
        <v>0</v>
      </c>
      <c r="U365" s="83">
        <f t="shared" si="427"/>
        <v>0</v>
      </c>
      <c r="V365" s="83">
        <f t="shared" si="427"/>
        <v>0</v>
      </c>
      <c r="W365" s="83">
        <f t="shared" si="427"/>
        <v>0</v>
      </c>
      <c r="X365" s="83">
        <f t="shared" si="427"/>
        <v>0</v>
      </c>
      <c r="Y365" s="83">
        <f t="shared" si="427"/>
        <v>0</v>
      </c>
      <c r="Z365" s="83">
        <f t="shared" si="427"/>
        <v>0</v>
      </c>
      <c r="AA365" s="83">
        <f t="shared" si="427"/>
        <v>0</v>
      </c>
      <c r="AB365" s="83">
        <f t="shared" si="427"/>
        <v>0</v>
      </c>
      <c r="AC365" s="83">
        <f t="shared" si="427"/>
        <v>0</v>
      </c>
      <c r="AD365" s="83">
        <f t="shared" si="427"/>
        <v>0</v>
      </c>
      <c r="AE365" s="83">
        <f t="shared" si="427"/>
        <v>0</v>
      </c>
      <c r="AF365" s="83">
        <f t="shared" si="427"/>
        <v>0</v>
      </c>
      <c r="AG365" s="83">
        <f t="shared" si="427"/>
        <v>0</v>
      </c>
      <c r="AH365" s="83">
        <f t="shared" si="427"/>
        <v>0</v>
      </c>
      <c r="AI365" s="83">
        <f t="shared" si="427"/>
        <v>0</v>
      </c>
      <c r="AJ365" s="83">
        <f t="shared" si="427"/>
        <v>0</v>
      </c>
      <c r="AK365" s="83">
        <f t="shared" si="427"/>
        <v>0</v>
      </c>
      <c r="AL365" s="83">
        <f t="shared" si="427"/>
        <v>0</v>
      </c>
      <c r="AM365" s="83">
        <f t="shared" si="427"/>
        <v>0</v>
      </c>
      <c r="AN365" s="83">
        <f t="shared" si="427"/>
        <v>0</v>
      </c>
      <c r="AO365" s="83">
        <f t="shared" si="427"/>
        <v>0</v>
      </c>
      <c r="AP365" s="83">
        <f t="shared" si="427"/>
        <v>0</v>
      </c>
      <c r="AQ365" s="83">
        <f t="shared" si="427"/>
        <v>0</v>
      </c>
      <c r="AR365" s="3"/>
      <c r="AS365" s="3"/>
      <c r="AT365" s="3"/>
      <c r="AU365" s="3"/>
      <c r="AV365" s="3"/>
      <c r="AW365" s="3"/>
      <c r="AX365" s="3"/>
    </row>
    <row r="366" spans="1:50" ht="15.75" x14ac:dyDescent="0.25">
      <c r="A366" s="81">
        <v>18</v>
      </c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83">
        <f t="shared" ref="U366:AR366" si="428">IF($D$347&gt;$B365,0,$T$45/$B365)</f>
        <v>0</v>
      </c>
      <c r="V366" s="83">
        <f t="shared" si="428"/>
        <v>0</v>
      </c>
      <c r="W366" s="83">
        <f t="shared" si="428"/>
        <v>0</v>
      </c>
      <c r="X366" s="83">
        <f t="shared" si="428"/>
        <v>0</v>
      </c>
      <c r="Y366" s="83">
        <f t="shared" si="428"/>
        <v>0</v>
      </c>
      <c r="Z366" s="83">
        <f t="shared" si="428"/>
        <v>0</v>
      </c>
      <c r="AA366" s="83">
        <f t="shared" si="428"/>
        <v>0</v>
      </c>
      <c r="AB366" s="83">
        <f t="shared" si="428"/>
        <v>0</v>
      </c>
      <c r="AC366" s="83">
        <f t="shared" si="428"/>
        <v>0</v>
      </c>
      <c r="AD366" s="83">
        <f t="shared" si="428"/>
        <v>0</v>
      </c>
      <c r="AE366" s="83">
        <f t="shared" si="428"/>
        <v>0</v>
      </c>
      <c r="AF366" s="83">
        <f t="shared" si="428"/>
        <v>0</v>
      </c>
      <c r="AG366" s="83">
        <f t="shared" si="428"/>
        <v>0</v>
      </c>
      <c r="AH366" s="83">
        <f t="shared" si="428"/>
        <v>0</v>
      </c>
      <c r="AI366" s="83">
        <f t="shared" si="428"/>
        <v>0</v>
      </c>
      <c r="AJ366" s="83">
        <f t="shared" si="428"/>
        <v>0</v>
      </c>
      <c r="AK366" s="83">
        <f t="shared" si="428"/>
        <v>0</v>
      </c>
      <c r="AL366" s="83">
        <f t="shared" si="428"/>
        <v>0</v>
      </c>
      <c r="AM366" s="83">
        <f t="shared" si="428"/>
        <v>0</v>
      </c>
      <c r="AN366" s="83">
        <f t="shared" si="428"/>
        <v>0</v>
      </c>
      <c r="AO366" s="83">
        <f t="shared" si="428"/>
        <v>0</v>
      </c>
      <c r="AP366" s="83">
        <f t="shared" si="428"/>
        <v>0</v>
      </c>
      <c r="AQ366" s="83">
        <f t="shared" si="428"/>
        <v>0</v>
      </c>
      <c r="AR366" s="83">
        <f t="shared" si="428"/>
        <v>0</v>
      </c>
      <c r="AS366" s="3"/>
      <c r="AT366" s="3"/>
      <c r="AU366" s="3"/>
      <c r="AV366" s="3"/>
      <c r="AW366" s="3"/>
      <c r="AX366" s="3"/>
    </row>
    <row r="367" spans="1:50" ht="15.75" x14ac:dyDescent="0.25">
      <c r="A367" s="81">
        <v>19</v>
      </c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83">
        <f t="shared" ref="V367:AS367" si="429">IF($D$347&gt;$B366,0,$U$45/$B366)</f>
        <v>0</v>
      </c>
      <c r="W367" s="83">
        <f t="shared" si="429"/>
        <v>0</v>
      </c>
      <c r="X367" s="83">
        <f t="shared" si="429"/>
        <v>0</v>
      </c>
      <c r="Y367" s="83">
        <f t="shared" si="429"/>
        <v>0</v>
      </c>
      <c r="Z367" s="83">
        <f t="shared" si="429"/>
        <v>0</v>
      </c>
      <c r="AA367" s="83">
        <f t="shared" si="429"/>
        <v>0</v>
      </c>
      <c r="AB367" s="83">
        <f t="shared" si="429"/>
        <v>0</v>
      </c>
      <c r="AC367" s="83">
        <f t="shared" si="429"/>
        <v>0</v>
      </c>
      <c r="AD367" s="83">
        <f t="shared" si="429"/>
        <v>0</v>
      </c>
      <c r="AE367" s="83">
        <f t="shared" si="429"/>
        <v>0</v>
      </c>
      <c r="AF367" s="83">
        <f t="shared" si="429"/>
        <v>0</v>
      </c>
      <c r="AG367" s="83">
        <f t="shared" si="429"/>
        <v>0</v>
      </c>
      <c r="AH367" s="83">
        <f t="shared" si="429"/>
        <v>0</v>
      </c>
      <c r="AI367" s="83">
        <f t="shared" si="429"/>
        <v>0</v>
      </c>
      <c r="AJ367" s="83">
        <f t="shared" si="429"/>
        <v>0</v>
      </c>
      <c r="AK367" s="83">
        <f t="shared" si="429"/>
        <v>0</v>
      </c>
      <c r="AL367" s="83">
        <f t="shared" si="429"/>
        <v>0</v>
      </c>
      <c r="AM367" s="83">
        <f t="shared" si="429"/>
        <v>0</v>
      </c>
      <c r="AN367" s="83">
        <f t="shared" si="429"/>
        <v>0</v>
      </c>
      <c r="AO367" s="83">
        <f t="shared" si="429"/>
        <v>0</v>
      </c>
      <c r="AP367" s="83">
        <f t="shared" si="429"/>
        <v>0</v>
      </c>
      <c r="AQ367" s="83">
        <f t="shared" si="429"/>
        <v>0</v>
      </c>
      <c r="AR367" s="83">
        <f t="shared" si="429"/>
        <v>0</v>
      </c>
      <c r="AS367" s="83">
        <f t="shared" si="429"/>
        <v>0</v>
      </c>
      <c r="AT367" s="3"/>
      <c r="AU367" s="3"/>
      <c r="AV367" s="3"/>
      <c r="AW367" s="3"/>
      <c r="AX367" s="3"/>
    </row>
    <row r="368" spans="1:50" ht="15.75" x14ac:dyDescent="0.25">
      <c r="A368" s="81">
        <v>20</v>
      </c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83">
        <f t="shared" ref="W368:AT368" si="430">IF($D$347&gt;$B367,0,$V$45/$B367)</f>
        <v>0</v>
      </c>
      <c r="X368" s="83">
        <f t="shared" si="430"/>
        <v>0</v>
      </c>
      <c r="Y368" s="83">
        <f t="shared" si="430"/>
        <v>0</v>
      </c>
      <c r="Z368" s="83">
        <f t="shared" si="430"/>
        <v>0</v>
      </c>
      <c r="AA368" s="83">
        <f t="shared" si="430"/>
        <v>0</v>
      </c>
      <c r="AB368" s="83">
        <f t="shared" si="430"/>
        <v>0</v>
      </c>
      <c r="AC368" s="83">
        <f t="shared" si="430"/>
        <v>0</v>
      </c>
      <c r="AD368" s="83">
        <f t="shared" si="430"/>
        <v>0</v>
      </c>
      <c r="AE368" s="83">
        <f t="shared" si="430"/>
        <v>0</v>
      </c>
      <c r="AF368" s="83">
        <f t="shared" si="430"/>
        <v>0</v>
      </c>
      <c r="AG368" s="83">
        <f t="shared" si="430"/>
        <v>0</v>
      </c>
      <c r="AH368" s="83">
        <f t="shared" si="430"/>
        <v>0</v>
      </c>
      <c r="AI368" s="83">
        <f t="shared" si="430"/>
        <v>0</v>
      </c>
      <c r="AJ368" s="83">
        <f t="shared" si="430"/>
        <v>0</v>
      </c>
      <c r="AK368" s="83">
        <f t="shared" si="430"/>
        <v>0</v>
      </c>
      <c r="AL368" s="83">
        <f t="shared" si="430"/>
        <v>0</v>
      </c>
      <c r="AM368" s="83">
        <f t="shared" si="430"/>
        <v>0</v>
      </c>
      <c r="AN368" s="83">
        <f t="shared" si="430"/>
        <v>0</v>
      </c>
      <c r="AO368" s="83">
        <f t="shared" si="430"/>
        <v>0</v>
      </c>
      <c r="AP368" s="83">
        <f t="shared" si="430"/>
        <v>0</v>
      </c>
      <c r="AQ368" s="83">
        <f t="shared" si="430"/>
        <v>0</v>
      </c>
      <c r="AR368" s="83">
        <f t="shared" si="430"/>
        <v>0</v>
      </c>
      <c r="AS368" s="83">
        <f t="shared" si="430"/>
        <v>0</v>
      </c>
      <c r="AT368" s="83">
        <f t="shared" si="430"/>
        <v>0</v>
      </c>
      <c r="AU368" s="3"/>
      <c r="AV368" s="3"/>
      <c r="AW368" s="3"/>
      <c r="AX368" s="3"/>
    </row>
    <row r="369" spans="1:50" ht="15.75" x14ac:dyDescent="0.25">
      <c r="A369" s="81">
        <v>21</v>
      </c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83">
        <f t="shared" ref="X369:AU369" si="431">IF($D$347&gt;$B368,0,$W$45/$B368)</f>
        <v>0</v>
      </c>
      <c r="Y369" s="83">
        <f t="shared" si="431"/>
        <v>0</v>
      </c>
      <c r="Z369" s="83">
        <f t="shared" si="431"/>
        <v>0</v>
      </c>
      <c r="AA369" s="83">
        <f t="shared" si="431"/>
        <v>0</v>
      </c>
      <c r="AB369" s="83">
        <f t="shared" si="431"/>
        <v>0</v>
      </c>
      <c r="AC369" s="83">
        <f t="shared" si="431"/>
        <v>0</v>
      </c>
      <c r="AD369" s="83">
        <f t="shared" si="431"/>
        <v>0</v>
      </c>
      <c r="AE369" s="83">
        <f t="shared" si="431"/>
        <v>0</v>
      </c>
      <c r="AF369" s="83">
        <f t="shared" si="431"/>
        <v>0</v>
      </c>
      <c r="AG369" s="83">
        <f t="shared" si="431"/>
        <v>0</v>
      </c>
      <c r="AH369" s="83">
        <f t="shared" si="431"/>
        <v>0</v>
      </c>
      <c r="AI369" s="83">
        <f t="shared" si="431"/>
        <v>0</v>
      </c>
      <c r="AJ369" s="83">
        <f t="shared" si="431"/>
        <v>0</v>
      </c>
      <c r="AK369" s="83">
        <f t="shared" si="431"/>
        <v>0</v>
      </c>
      <c r="AL369" s="83">
        <f t="shared" si="431"/>
        <v>0</v>
      </c>
      <c r="AM369" s="83">
        <f t="shared" si="431"/>
        <v>0</v>
      </c>
      <c r="AN369" s="83">
        <f t="shared" si="431"/>
        <v>0</v>
      </c>
      <c r="AO369" s="83">
        <f t="shared" si="431"/>
        <v>0</v>
      </c>
      <c r="AP369" s="83">
        <f t="shared" si="431"/>
        <v>0</v>
      </c>
      <c r="AQ369" s="83">
        <f t="shared" si="431"/>
        <v>0</v>
      </c>
      <c r="AR369" s="83">
        <f t="shared" si="431"/>
        <v>0</v>
      </c>
      <c r="AS369" s="83">
        <f t="shared" si="431"/>
        <v>0</v>
      </c>
      <c r="AT369" s="83">
        <f t="shared" si="431"/>
        <v>0</v>
      </c>
      <c r="AU369" s="83">
        <f t="shared" si="431"/>
        <v>0</v>
      </c>
      <c r="AV369" s="3"/>
      <c r="AW369" s="3"/>
      <c r="AX369" s="3"/>
    </row>
    <row r="370" spans="1:50" ht="15.75" x14ac:dyDescent="0.25">
      <c r="A370" s="81">
        <v>22</v>
      </c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83">
        <f t="shared" ref="Y370:AV370" si="432">IF($D$347&gt;$B369,0,$X$45/$B369)</f>
        <v>0</v>
      </c>
      <c r="Z370" s="83">
        <f t="shared" si="432"/>
        <v>0</v>
      </c>
      <c r="AA370" s="83">
        <f t="shared" si="432"/>
        <v>0</v>
      </c>
      <c r="AB370" s="83">
        <f t="shared" si="432"/>
        <v>0</v>
      </c>
      <c r="AC370" s="83">
        <f t="shared" si="432"/>
        <v>0</v>
      </c>
      <c r="AD370" s="83">
        <f t="shared" si="432"/>
        <v>0</v>
      </c>
      <c r="AE370" s="83">
        <f t="shared" si="432"/>
        <v>0</v>
      </c>
      <c r="AF370" s="83">
        <f t="shared" si="432"/>
        <v>0</v>
      </c>
      <c r="AG370" s="83">
        <f t="shared" si="432"/>
        <v>0</v>
      </c>
      <c r="AH370" s="83">
        <f t="shared" si="432"/>
        <v>0</v>
      </c>
      <c r="AI370" s="83">
        <f t="shared" si="432"/>
        <v>0</v>
      </c>
      <c r="AJ370" s="83">
        <f t="shared" si="432"/>
        <v>0</v>
      </c>
      <c r="AK370" s="83">
        <f t="shared" si="432"/>
        <v>0</v>
      </c>
      <c r="AL370" s="83">
        <f t="shared" si="432"/>
        <v>0</v>
      </c>
      <c r="AM370" s="83">
        <f t="shared" si="432"/>
        <v>0</v>
      </c>
      <c r="AN370" s="83">
        <f t="shared" si="432"/>
        <v>0</v>
      </c>
      <c r="AO370" s="83">
        <f t="shared" si="432"/>
        <v>0</v>
      </c>
      <c r="AP370" s="83">
        <f t="shared" si="432"/>
        <v>0</v>
      </c>
      <c r="AQ370" s="83">
        <f t="shared" si="432"/>
        <v>0</v>
      </c>
      <c r="AR370" s="83">
        <f t="shared" si="432"/>
        <v>0</v>
      </c>
      <c r="AS370" s="83">
        <f t="shared" si="432"/>
        <v>0</v>
      </c>
      <c r="AT370" s="83">
        <f t="shared" si="432"/>
        <v>0</v>
      </c>
      <c r="AU370" s="83">
        <f t="shared" si="432"/>
        <v>0</v>
      </c>
      <c r="AV370" s="83">
        <f t="shared" si="432"/>
        <v>0</v>
      </c>
      <c r="AW370" s="3"/>
      <c r="AX370" s="3"/>
    </row>
    <row r="371" spans="1:50" ht="15.75" x14ac:dyDescent="0.25">
      <c r="A371" s="81">
        <v>23</v>
      </c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83">
        <f t="shared" ref="Z371:AW371" si="433">IF($D$347&gt;$B370,0,$Y$45/$B370)</f>
        <v>0</v>
      </c>
      <c r="AA371" s="83">
        <f t="shared" si="433"/>
        <v>0</v>
      </c>
      <c r="AB371" s="83">
        <f t="shared" si="433"/>
        <v>0</v>
      </c>
      <c r="AC371" s="83">
        <f t="shared" si="433"/>
        <v>0</v>
      </c>
      <c r="AD371" s="83">
        <f t="shared" si="433"/>
        <v>0</v>
      </c>
      <c r="AE371" s="83">
        <f t="shared" si="433"/>
        <v>0</v>
      </c>
      <c r="AF371" s="83">
        <f t="shared" si="433"/>
        <v>0</v>
      </c>
      <c r="AG371" s="83">
        <f t="shared" si="433"/>
        <v>0</v>
      </c>
      <c r="AH371" s="83">
        <f t="shared" si="433"/>
        <v>0</v>
      </c>
      <c r="AI371" s="83">
        <f t="shared" si="433"/>
        <v>0</v>
      </c>
      <c r="AJ371" s="83">
        <f t="shared" si="433"/>
        <v>0</v>
      </c>
      <c r="AK371" s="83">
        <f t="shared" si="433"/>
        <v>0</v>
      </c>
      <c r="AL371" s="83">
        <f t="shared" si="433"/>
        <v>0</v>
      </c>
      <c r="AM371" s="83">
        <f t="shared" si="433"/>
        <v>0</v>
      </c>
      <c r="AN371" s="83">
        <f t="shared" si="433"/>
        <v>0</v>
      </c>
      <c r="AO371" s="83">
        <f t="shared" si="433"/>
        <v>0</v>
      </c>
      <c r="AP371" s="83">
        <f t="shared" si="433"/>
        <v>0</v>
      </c>
      <c r="AQ371" s="83">
        <f t="shared" si="433"/>
        <v>0</v>
      </c>
      <c r="AR371" s="83">
        <f t="shared" si="433"/>
        <v>0</v>
      </c>
      <c r="AS371" s="83">
        <f t="shared" si="433"/>
        <v>0</v>
      </c>
      <c r="AT371" s="83">
        <f t="shared" si="433"/>
        <v>0</v>
      </c>
      <c r="AU371" s="83">
        <f t="shared" si="433"/>
        <v>0</v>
      </c>
      <c r="AV371" s="83">
        <f t="shared" si="433"/>
        <v>0</v>
      </c>
      <c r="AW371" s="83">
        <f t="shared" si="433"/>
        <v>0</v>
      </c>
      <c r="AX371" s="3"/>
    </row>
    <row r="372" spans="1:50" ht="16.5" thickBot="1" x14ac:dyDescent="0.3">
      <c r="A372" s="409">
        <v>24</v>
      </c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410">
        <f t="shared" ref="AA372:AX372" si="434">IF($D$347&gt;$B371,0,$Z$45/$B371)</f>
        <v>0</v>
      </c>
      <c r="AB372" s="410">
        <f t="shared" si="434"/>
        <v>0</v>
      </c>
      <c r="AC372" s="410">
        <f t="shared" si="434"/>
        <v>0</v>
      </c>
      <c r="AD372" s="410">
        <f t="shared" si="434"/>
        <v>0</v>
      </c>
      <c r="AE372" s="410">
        <f t="shared" si="434"/>
        <v>0</v>
      </c>
      <c r="AF372" s="410">
        <f t="shared" si="434"/>
        <v>0</v>
      </c>
      <c r="AG372" s="410">
        <f t="shared" si="434"/>
        <v>0</v>
      </c>
      <c r="AH372" s="410">
        <f t="shared" si="434"/>
        <v>0</v>
      </c>
      <c r="AI372" s="410">
        <f t="shared" si="434"/>
        <v>0</v>
      </c>
      <c r="AJ372" s="410">
        <f t="shared" si="434"/>
        <v>0</v>
      </c>
      <c r="AK372" s="410">
        <f t="shared" si="434"/>
        <v>0</v>
      </c>
      <c r="AL372" s="410">
        <f t="shared" si="434"/>
        <v>0</v>
      </c>
      <c r="AM372" s="410">
        <f t="shared" si="434"/>
        <v>0</v>
      </c>
      <c r="AN372" s="410">
        <f t="shared" si="434"/>
        <v>0</v>
      </c>
      <c r="AO372" s="410">
        <f t="shared" si="434"/>
        <v>0</v>
      </c>
      <c r="AP372" s="410">
        <f t="shared" si="434"/>
        <v>0</v>
      </c>
      <c r="AQ372" s="410">
        <f t="shared" si="434"/>
        <v>0</v>
      </c>
      <c r="AR372" s="410">
        <f t="shared" si="434"/>
        <v>0</v>
      </c>
      <c r="AS372" s="410">
        <f t="shared" si="434"/>
        <v>0</v>
      </c>
      <c r="AT372" s="410">
        <f t="shared" si="434"/>
        <v>0</v>
      </c>
      <c r="AU372" s="410">
        <f t="shared" si="434"/>
        <v>0</v>
      </c>
      <c r="AV372" s="410">
        <f t="shared" si="434"/>
        <v>0</v>
      </c>
      <c r="AW372" s="410">
        <f t="shared" si="434"/>
        <v>0</v>
      </c>
      <c r="AX372" s="410">
        <f t="shared" si="434"/>
        <v>0</v>
      </c>
    </row>
    <row r="373" spans="1:50" x14ac:dyDescent="0.25">
      <c r="A373" s="411" t="s">
        <v>95</v>
      </c>
      <c r="B373" s="412"/>
      <c r="C373" s="412"/>
      <c r="D373" s="413">
        <f>SUM(D349:D372)</f>
        <v>0</v>
      </c>
      <c r="E373" s="413">
        <f t="shared" ref="E373:AX373" si="435">SUM(E349:E372)</f>
        <v>0</v>
      </c>
      <c r="F373" s="413">
        <f t="shared" si="435"/>
        <v>0</v>
      </c>
      <c r="G373" s="413">
        <f t="shared" si="435"/>
        <v>0</v>
      </c>
      <c r="H373" s="413">
        <f t="shared" si="435"/>
        <v>0</v>
      </c>
      <c r="I373" s="413">
        <f t="shared" si="435"/>
        <v>0</v>
      </c>
      <c r="J373" s="413">
        <f t="shared" si="435"/>
        <v>0</v>
      </c>
      <c r="K373" s="413">
        <f t="shared" si="435"/>
        <v>0</v>
      </c>
      <c r="L373" s="413">
        <f t="shared" si="435"/>
        <v>0</v>
      </c>
      <c r="M373" s="413">
        <f t="shared" si="435"/>
        <v>0</v>
      </c>
      <c r="N373" s="413">
        <f t="shared" si="435"/>
        <v>0</v>
      </c>
      <c r="O373" s="413">
        <f t="shared" si="435"/>
        <v>0</v>
      </c>
      <c r="P373" s="413">
        <f t="shared" si="435"/>
        <v>0</v>
      </c>
      <c r="Q373" s="413">
        <f t="shared" si="435"/>
        <v>0</v>
      </c>
      <c r="R373" s="413">
        <f t="shared" si="435"/>
        <v>0</v>
      </c>
      <c r="S373" s="413">
        <f t="shared" si="435"/>
        <v>0</v>
      </c>
      <c r="T373" s="413">
        <f t="shared" si="435"/>
        <v>0</v>
      </c>
      <c r="U373" s="413">
        <f t="shared" si="435"/>
        <v>0</v>
      </c>
      <c r="V373" s="413">
        <f t="shared" si="435"/>
        <v>0</v>
      </c>
      <c r="W373" s="413">
        <f t="shared" si="435"/>
        <v>0</v>
      </c>
      <c r="X373" s="413">
        <f t="shared" si="435"/>
        <v>0</v>
      </c>
      <c r="Y373" s="413">
        <f t="shared" si="435"/>
        <v>0</v>
      </c>
      <c r="Z373" s="413">
        <f t="shared" si="435"/>
        <v>0</v>
      </c>
      <c r="AA373" s="413">
        <f t="shared" si="435"/>
        <v>0</v>
      </c>
      <c r="AB373" s="413">
        <f t="shared" si="435"/>
        <v>0</v>
      </c>
      <c r="AC373" s="413">
        <f t="shared" si="435"/>
        <v>0</v>
      </c>
      <c r="AD373" s="413">
        <f t="shared" si="435"/>
        <v>0</v>
      </c>
      <c r="AE373" s="413">
        <f t="shared" si="435"/>
        <v>0</v>
      </c>
      <c r="AF373" s="413">
        <f t="shared" si="435"/>
        <v>0</v>
      </c>
      <c r="AG373" s="413">
        <f t="shared" si="435"/>
        <v>0</v>
      </c>
      <c r="AH373" s="413">
        <f t="shared" si="435"/>
        <v>0</v>
      </c>
      <c r="AI373" s="413">
        <f t="shared" si="435"/>
        <v>0</v>
      </c>
      <c r="AJ373" s="413">
        <f t="shared" si="435"/>
        <v>0</v>
      </c>
      <c r="AK373" s="413">
        <f t="shared" si="435"/>
        <v>0</v>
      </c>
      <c r="AL373" s="413">
        <f t="shared" si="435"/>
        <v>0</v>
      </c>
      <c r="AM373" s="413">
        <f t="shared" si="435"/>
        <v>0</v>
      </c>
      <c r="AN373" s="413">
        <f t="shared" si="435"/>
        <v>0</v>
      </c>
      <c r="AO373" s="413">
        <f t="shared" si="435"/>
        <v>0</v>
      </c>
      <c r="AP373" s="413">
        <f t="shared" si="435"/>
        <v>0</v>
      </c>
      <c r="AQ373" s="413">
        <f t="shared" si="435"/>
        <v>0</v>
      </c>
      <c r="AR373" s="413">
        <f t="shared" si="435"/>
        <v>0</v>
      </c>
      <c r="AS373" s="413">
        <f t="shared" si="435"/>
        <v>0</v>
      </c>
      <c r="AT373" s="413">
        <f t="shared" si="435"/>
        <v>0</v>
      </c>
      <c r="AU373" s="413">
        <f t="shared" si="435"/>
        <v>0</v>
      </c>
      <c r="AV373" s="413">
        <f t="shared" si="435"/>
        <v>0</v>
      </c>
      <c r="AW373" s="413">
        <f t="shared" si="435"/>
        <v>0</v>
      </c>
      <c r="AX373" s="414">
        <f t="shared" si="435"/>
        <v>0</v>
      </c>
    </row>
    <row r="374" spans="1:50" x14ac:dyDescent="0.25">
      <c r="A374" s="351" t="s">
        <v>96</v>
      </c>
      <c r="B374" s="59"/>
      <c r="C374" s="59"/>
      <c r="D374" s="83">
        <f>D373</f>
        <v>0</v>
      </c>
      <c r="E374" s="83">
        <f t="shared" ref="E374:AX374" si="436">E373</f>
        <v>0</v>
      </c>
      <c r="F374" s="83">
        <f t="shared" si="436"/>
        <v>0</v>
      </c>
      <c r="G374" s="83">
        <f t="shared" si="436"/>
        <v>0</v>
      </c>
      <c r="H374" s="83">
        <f t="shared" si="436"/>
        <v>0</v>
      </c>
      <c r="I374" s="83">
        <f t="shared" si="436"/>
        <v>0</v>
      </c>
      <c r="J374" s="83">
        <f t="shared" si="436"/>
        <v>0</v>
      </c>
      <c r="K374" s="83">
        <f t="shared" si="436"/>
        <v>0</v>
      </c>
      <c r="L374" s="83">
        <f t="shared" si="436"/>
        <v>0</v>
      </c>
      <c r="M374" s="83">
        <f t="shared" si="436"/>
        <v>0</v>
      </c>
      <c r="N374" s="83">
        <f t="shared" si="436"/>
        <v>0</v>
      </c>
      <c r="O374" s="83">
        <f t="shared" si="436"/>
        <v>0</v>
      </c>
      <c r="P374" s="83">
        <f t="shared" si="436"/>
        <v>0</v>
      </c>
      <c r="Q374" s="83">
        <f t="shared" si="436"/>
        <v>0</v>
      </c>
      <c r="R374" s="83">
        <f t="shared" si="436"/>
        <v>0</v>
      </c>
      <c r="S374" s="83">
        <f t="shared" si="436"/>
        <v>0</v>
      </c>
      <c r="T374" s="83">
        <f t="shared" si="436"/>
        <v>0</v>
      </c>
      <c r="U374" s="83">
        <f t="shared" si="436"/>
        <v>0</v>
      </c>
      <c r="V374" s="83">
        <f t="shared" si="436"/>
        <v>0</v>
      </c>
      <c r="W374" s="83">
        <f t="shared" si="436"/>
        <v>0</v>
      </c>
      <c r="X374" s="83">
        <f t="shared" si="436"/>
        <v>0</v>
      </c>
      <c r="Y374" s="83">
        <f t="shared" si="436"/>
        <v>0</v>
      </c>
      <c r="Z374" s="83">
        <f t="shared" si="436"/>
        <v>0</v>
      </c>
      <c r="AA374" s="83">
        <f t="shared" si="436"/>
        <v>0</v>
      </c>
      <c r="AB374" s="83">
        <f t="shared" si="436"/>
        <v>0</v>
      </c>
      <c r="AC374" s="83">
        <f t="shared" si="436"/>
        <v>0</v>
      </c>
      <c r="AD374" s="83">
        <f t="shared" si="436"/>
        <v>0</v>
      </c>
      <c r="AE374" s="83">
        <f t="shared" si="436"/>
        <v>0</v>
      </c>
      <c r="AF374" s="83">
        <f t="shared" si="436"/>
        <v>0</v>
      </c>
      <c r="AG374" s="83">
        <f t="shared" si="436"/>
        <v>0</v>
      </c>
      <c r="AH374" s="83">
        <f t="shared" si="436"/>
        <v>0</v>
      </c>
      <c r="AI374" s="83">
        <f t="shared" si="436"/>
        <v>0</v>
      </c>
      <c r="AJ374" s="83">
        <f t="shared" si="436"/>
        <v>0</v>
      </c>
      <c r="AK374" s="83">
        <f t="shared" si="436"/>
        <v>0</v>
      </c>
      <c r="AL374" s="83">
        <f t="shared" si="436"/>
        <v>0</v>
      </c>
      <c r="AM374" s="83">
        <f t="shared" si="436"/>
        <v>0</v>
      </c>
      <c r="AN374" s="83">
        <f t="shared" si="436"/>
        <v>0</v>
      </c>
      <c r="AO374" s="83">
        <f t="shared" si="436"/>
        <v>0</v>
      </c>
      <c r="AP374" s="83">
        <f t="shared" si="436"/>
        <v>0</v>
      </c>
      <c r="AQ374" s="83">
        <f t="shared" si="436"/>
        <v>0</v>
      </c>
      <c r="AR374" s="83">
        <f t="shared" si="436"/>
        <v>0</v>
      </c>
      <c r="AS374" s="83">
        <f t="shared" si="436"/>
        <v>0</v>
      </c>
      <c r="AT374" s="83">
        <f t="shared" si="436"/>
        <v>0</v>
      </c>
      <c r="AU374" s="83">
        <f t="shared" si="436"/>
        <v>0</v>
      </c>
      <c r="AV374" s="83">
        <f t="shared" si="436"/>
        <v>0</v>
      </c>
      <c r="AW374" s="83">
        <f t="shared" si="436"/>
        <v>0</v>
      </c>
      <c r="AX374" s="415">
        <f t="shared" si="436"/>
        <v>0</v>
      </c>
    </row>
    <row r="375" spans="1:50" ht="15.75" thickBot="1" x14ac:dyDescent="0.3">
      <c r="A375" s="308" t="s">
        <v>98</v>
      </c>
      <c r="B375" s="315"/>
      <c r="C375" s="315"/>
      <c r="D375" s="416">
        <f t="shared" ref="D375:AB375" si="437">(C45-C48)-D374</f>
        <v>0</v>
      </c>
      <c r="E375" s="416">
        <f t="shared" si="437"/>
        <v>0</v>
      </c>
      <c r="F375" s="416">
        <f t="shared" si="437"/>
        <v>0</v>
      </c>
      <c r="G375" s="416">
        <f t="shared" si="437"/>
        <v>0</v>
      </c>
      <c r="H375" s="416">
        <f t="shared" si="437"/>
        <v>0</v>
      </c>
      <c r="I375" s="416">
        <f t="shared" si="437"/>
        <v>0</v>
      </c>
      <c r="J375" s="416">
        <f t="shared" si="437"/>
        <v>0</v>
      </c>
      <c r="K375" s="416">
        <f t="shared" si="437"/>
        <v>0</v>
      </c>
      <c r="L375" s="416">
        <f t="shared" si="437"/>
        <v>0</v>
      </c>
      <c r="M375" s="416">
        <f t="shared" si="437"/>
        <v>0</v>
      </c>
      <c r="N375" s="416">
        <f t="shared" si="437"/>
        <v>0</v>
      </c>
      <c r="O375" s="416">
        <f t="shared" si="437"/>
        <v>0</v>
      </c>
      <c r="P375" s="416">
        <f t="shared" si="437"/>
        <v>0</v>
      </c>
      <c r="Q375" s="416">
        <f t="shared" si="437"/>
        <v>0</v>
      </c>
      <c r="R375" s="416">
        <f t="shared" si="437"/>
        <v>0</v>
      </c>
      <c r="S375" s="416">
        <f t="shared" si="437"/>
        <v>0</v>
      </c>
      <c r="T375" s="416">
        <f t="shared" si="437"/>
        <v>0</v>
      </c>
      <c r="U375" s="416">
        <f t="shared" si="437"/>
        <v>0</v>
      </c>
      <c r="V375" s="416">
        <f t="shared" si="437"/>
        <v>0</v>
      </c>
      <c r="W375" s="416">
        <f t="shared" si="437"/>
        <v>0</v>
      </c>
      <c r="X375" s="416">
        <f t="shared" si="437"/>
        <v>0</v>
      </c>
      <c r="Y375" s="416">
        <f t="shared" si="437"/>
        <v>0</v>
      </c>
      <c r="Z375" s="416">
        <f t="shared" si="437"/>
        <v>0</v>
      </c>
      <c r="AA375" s="416">
        <f t="shared" si="437"/>
        <v>0</v>
      </c>
      <c r="AB375" s="416">
        <f t="shared" si="437"/>
        <v>0</v>
      </c>
      <c r="AC375" s="416" t="e">
        <f>(#REF!-#REF!)-AC374</f>
        <v>#REF!</v>
      </c>
      <c r="AD375" s="416" t="e">
        <f>(#REF!-#REF!)-AD374</f>
        <v>#REF!</v>
      </c>
      <c r="AE375" s="416" t="e">
        <f>(#REF!-#REF!)-AE374</f>
        <v>#REF!</v>
      </c>
      <c r="AF375" s="416" t="e">
        <f>(#REF!-#REF!)-AF374</f>
        <v>#REF!</v>
      </c>
      <c r="AG375" s="416" t="e">
        <f>(#REF!-#REF!)-AG374</f>
        <v>#REF!</v>
      </c>
      <c r="AH375" s="416" t="e">
        <f>(#REF!-#REF!)-AH374</f>
        <v>#REF!</v>
      </c>
      <c r="AI375" s="416" t="e">
        <f>(#REF!-#REF!)-AI374</f>
        <v>#REF!</v>
      </c>
      <c r="AJ375" s="416" t="e">
        <f>(#REF!-#REF!)-AJ374</f>
        <v>#REF!</v>
      </c>
      <c r="AK375" s="416" t="e">
        <f>(#REF!-#REF!)-AK374</f>
        <v>#REF!</v>
      </c>
      <c r="AL375" s="416" t="e">
        <f>(#REF!-#REF!)-AL374</f>
        <v>#REF!</v>
      </c>
      <c r="AM375" s="416" t="e">
        <f>(#REF!-#REF!)-AM374</f>
        <v>#REF!</v>
      </c>
      <c r="AN375" s="416" t="e">
        <f>(#REF!-#REF!)-AN374</f>
        <v>#REF!</v>
      </c>
      <c r="AO375" s="416" t="e">
        <f>(#REF!-#REF!)-AO374</f>
        <v>#REF!</v>
      </c>
      <c r="AP375" s="416" t="e">
        <f>(#REF!-#REF!)-AP374</f>
        <v>#REF!</v>
      </c>
      <c r="AQ375" s="416" t="e">
        <f>(#REF!-#REF!)-AQ374</f>
        <v>#REF!</v>
      </c>
      <c r="AR375" s="416" t="e">
        <f>(#REF!-#REF!)-AR374</f>
        <v>#REF!</v>
      </c>
      <c r="AS375" s="416" t="e">
        <f>(#REF!-#REF!)-AS374</f>
        <v>#REF!</v>
      </c>
      <c r="AT375" s="416" t="e">
        <f>(#REF!-#REF!)-AT374</f>
        <v>#REF!</v>
      </c>
      <c r="AU375" s="416" t="e">
        <f>(#REF!-#REF!)-AU374</f>
        <v>#REF!</v>
      </c>
      <c r="AV375" s="416" t="e">
        <f>(#REF!-#REF!)-AV374</f>
        <v>#REF!</v>
      </c>
      <c r="AW375" s="416" t="e">
        <f>(#REF!-#REF!)-AW374</f>
        <v>#REF!</v>
      </c>
      <c r="AX375" s="417" t="e">
        <f>(#REF!-#REF!)-AX374</f>
        <v>#REF!</v>
      </c>
    </row>
    <row r="377" spans="1:50" ht="23.25" x14ac:dyDescent="0.35">
      <c r="A377" s="459" t="s">
        <v>126</v>
      </c>
      <c r="B377" s="105"/>
      <c r="C377" s="395">
        <v>0</v>
      </c>
      <c r="D377" s="395">
        <v>0</v>
      </c>
      <c r="E377" s="395">
        <f t="shared" ref="E377:AA377" si="438">E46</f>
        <v>0</v>
      </c>
      <c r="F377" s="395">
        <f t="shared" si="438"/>
        <v>0</v>
      </c>
      <c r="G377" s="395">
        <f t="shared" si="438"/>
        <v>0</v>
      </c>
      <c r="H377" s="395">
        <f t="shared" si="438"/>
        <v>0</v>
      </c>
      <c r="I377" s="395">
        <f t="shared" si="438"/>
        <v>0</v>
      </c>
      <c r="J377" s="395">
        <f t="shared" si="438"/>
        <v>0</v>
      </c>
      <c r="K377" s="395">
        <f t="shared" si="438"/>
        <v>0</v>
      </c>
      <c r="L377" s="395">
        <f t="shared" si="438"/>
        <v>0</v>
      </c>
      <c r="M377" s="395">
        <f t="shared" si="438"/>
        <v>0</v>
      </c>
      <c r="N377" s="395">
        <f t="shared" si="438"/>
        <v>0</v>
      </c>
      <c r="O377" s="395">
        <f t="shared" si="438"/>
        <v>0</v>
      </c>
      <c r="P377" s="395">
        <f t="shared" si="438"/>
        <v>0</v>
      </c>
      <c r="Q377" s="395">
        <f t="shared" si="438"/>
        <v>0</v>
      </c>
      <c r="R377" s="395">
        <f t="shared" si="438"/>
        <v>0</v>
      </c>
      <c r="S377" s="395">
        <f t="shared" si="438"/>
        <v>0</v>
      </c>
      <c r="T377" s="395">
        <f t="shared" si="438"/>
        <v>0</v>
      </c>
      <c r="U377" s="395">
        <f t="shared" si="438"/>
        <v>0</v>
      </c>
      <c r="V377" s="395">
        <f t="shared" si="438"/>
        <v>0</v>
      </c>
      <c r="W377" s="395">
        <f t="shared" si="438"/>
        <v>0</v>
      </c>
      <c r="X377" s="395">
        <f t="shared" si="438"/>
        <v>0</v>
      </c>
      <c r="Y377" s="395">
        <f t="shared" si="438"/>
        <v>0</v>
      </c>
      <c r="Z377" s="395">
        <f t="shared" si="438"/>
        <v>0</v>
      </c>
      <c r="AA377" s="395">
        <f t="shared" si="438"/>
        <v>0</v>
      </c>
    </row>
    <row r="378" spans="1:50" ht="15.75" x14ac:dyDescent="0.25">
      <c r="A378" t="s">
        <v>123</v>
      </c>
      <c r="B378" s="106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</row>
    <row r="379" spans="1:50" x14ac:dyDescent="0.25">
      <c r="A379" t="s">
        <v>124</v>
      </c>
      <c r="B379" s="403">
        <v>0</v>
      </c>
      <c r="C379" s="105">
        <f t="shared" ref="C379:AA379" si="439">C$377*$B$379</f>
        <v>0</v>
      </c>
      <c r="D379" s="105">
        <f t="shared" si="439"/>
        <v>0</v>
      </c>
      <c r="E379" s="105">
        <f t="shared" si="439"/>
        <v>0</v>
      </c>
      <c r="F379" s="105">
        <f t="shared" si="439"/>
        <v>0</v>
      </c>
      <c r="G379" s="105">
        <f t="shared" si="439"/>
        <v>0</v>
      </c>
      <c r="H379" s="105">
        <f t="shared" si="439"/>
        <v>0</v>
      </c>
      <c r="I379" s="105">
        <f t="shared" si="439"/>
        <v>0</v>
      </c>
      <c r="J379" s="105">
        <f t="shared" si="439"/>
        <v>0</v>
      </c>
      <c r="K379" s="105">
        <f t="shared" si="439"/>
        <v>0</v>
      </c>
      <c r="L379" s="105">
        <f t="shared" si="439"/>
        <v>0</v>
      </c>
      <c r="M379" s="105">
        <f t="shared" si="439"/>
        <v>0</v>
      </c>
      <c r="N379" s="105">
        <f t="shared" si="439"/>
        <v>0</v>
      </c>
      <c r="O379" s="105">
        <f t="shared" si="439"/>
        <v>0</v>
      </c>
      <c r="P379" s="105">
        <f t="shared" si="439"/>
        <v>0</v>
      </c>
      <c r="Q379" s="105">
        <f t="shared" si="439"/>
        <v>0</v>
      </c>
      <c r="R379" s="105">
        <f t="shared" si="439"/>
        <v>0</v>
      </c>
      <c r="S379" s="105">
        <f t="shared" si="439"/>
        <v>0</v>
      </c>
      <c r="T379" s="105">
        <f t="shared" si="439"/>
        <v>0</v>
      </c>
      <c r="U379" s="105">
        <f t="shared" si="439"/>
        <v>0</v>
      </c>
      <c r="V379" s="105">
        <f t="shared" si="439"/>
        <v>0</v>
      </c>
      <c r="W379" s="105">
        <f t="shared" si="439"/>
        <v>0</v>
      </c>
      <c r="X379" s="105">
        <f t="shared" si="439"/>
        <v>0</v>
      </c>
      <c r="Y379" s="105">
        <f t="shared" si="439"/>
        <v>0</v>
      </c>
      <c r="Z379" s="105">
        <f t="shared" si="439"/>
        <v>0</v>
      </c>
      <c r="AA379" s="105">
        <f t="shared" si="439"/>
        <v>0</v>
      </c>
    </row>
    <row r="380" spans="1:50" s="3" customFormat="1" x14ac:dyDescent="0.25">
      <c r="A380" s="165" t="s">
        <v>125</v>
      </c>
      <c r="D380" s="404">
        <f t="shared" ref="D380:AA380" si="440">IF(C$377=0,0,(1-(C379/C377)^(1/$B383)))</f>
        <v>0</v>
      </c>
      <c r="E380" s="404">
        <f t="shared" si="440"/>
        <v>0</v>
      </c>
      <c r="F380" s="404">
        <f t="shared" si="440"/>
        <v>0</v>
      </c>
      <c r="G380" s="404">
        <f t="shared" si="440"/>
        <v>0</v>
      </c>
      <c r="H380" s="404">
        <f t="shared" si="440"/>
        <v>0</v>
      </c>
      <c r="I380" s="404">
        <f t="shared" si="440"/>
        <v>0</v>
      </c>
      <c r="J380" s="404">
        <f t="shared" si="440"/>
        <v>0</v>
      </c>
      <c r="K380" s="404">
        <f t="shared" si="440"/>
        <v>0</v>
      </c>
      <c r="L380" s="404">
        <f t="shared" si="440"/>
        <v>0</v>
      </c>
      <c r="M380" s="404">
        <f t="shared" si="440"/>
        <v>0</v>
      </c>
      <c r="N380" s="404">
        <f t="shared" si="440"/>
        <v>0</v>
      </c>
      <c r="O380" s="404">
        <f t="shared" si="440"/>
        <v>0</v>
      </c>
      <c r="P380" s="404">
        <f t="shared" si="440"/>
        <v>0</v>
      </c>
      <c r="Q380" s="404">
        <f t="shared" si="440"/>
        <v>0</v>
      </c>
      <c r="R380" s="404">
        <f t="shared" si="440"/>
        <v>0</v>
      </c>
      <c r="S380" s="404">
        <f t="shared" si="440"/>
        <v>0</v>
      </c>
      <c r="T380" s="404">
        <f t="shared" si="440"/>
        <v>0</v>
      </c>
      <c r="U380" s="404">
        <f t="shared" si="440"/>
        <v>0</v>
      </c>
      <c r="V380" s="404">
        <f t="shared" si="440"/>
        <v>0</v>
      </c>
      <c r="W380" s="404">
        <f t="shared" si="440"/>
        <v>0</v>
      </c>
      <c r="X380" s="404">
        <f t="shared" si="440"/>
        <v>0</v>
      </c>
      <c r="Y380" s="404">
        <f t="shared" si="440"/>
        <v>0</v>
      </c>
      <c r="Z380" s="404">
        <f t="shared" si="440"/>
        <v>0</v>
      </c>
      <c r="AA380" s="404">
        <f t="shared" si="440"/>
        <v>0</v>
      </c>
    </row>
    <row r="381" spans="1:50" s="3" customFormat="1" ht="15.75" x14ac:dyDescent="0.25">
      <c r="A381" s="81"/>
      <c r="D381" s="404"/>
      <c r="E381" s="404"/>
      <c r="F381" s="404"/>
      <c r="G381" s="404"/>
      <c r="H381" s="404"/>
      <c r="I381" s="404"/>
      <c r="J381" s="404"/>
      <c r="K381" s="404"/>
      <c r="L381" s="404"/>
      <c r="M381" s="404"/>
      <c r="N381" s="404"/>
      <c r="O381" s="404"/>
      <c r="P381" s="404"/>
      <c r="Q381" s="404"/>
      <c r="R381" s="404"/>
      <c r="S381" s="404"/>
      <c r="T381" s="404"/>
      <c r="U381" s="404"/>
      <c r="V381" s="404"/>
      <c r="W381" s="404"/>
      <c r="X381" s="404"/>
      <c r="Y381" s="404"/>
      <c r="Z381" s="404"/>
      <c r="AA381" s="404"/>
    </row>
    <row r="382" spans="1:50" s="3" customFormat="1" ht="15.75" x14ac:dyDescent="0.25">
      <c r="A382" s="81"/>
      <c r="B382" s="65"/>
      <c r="C382" s="176"/>
      <c r="D382" s="14">
        <v>1</v>
      </c>
      <c r="E382" s="14">
        <v>2</v>
      </c>
      <c r="F382" s="14">
        <v>3</v>
      </c>
      <c r="G382" s="14">
        <v>4</v>
      </c>
      <c r="H382" s="14">
        <v>5</v>
      </c>
      <c r="I382" s="14">
        <v>6</v>
      </c>
      <c r="J382" s="14">
        <v>7</v>
      </c>
      <c r="K382" s="14">
        <v>8</v>
      </c>
      <c r="L382" s="14">
        <v>9</v>
      </c>
      <c r="M382" s="14">
        <v>10</v>
      </c>
      <c r="N382" s="14">
        <v>11</v>
      </c>
      <c r="O382" s="14">
        <v>12</v>
      </c>
      <c r="P382" s="14">
        <v>13</v>
      </c>
      <c r="Q382" s="14">
        <v>14</v>
      </c>
      <c r="R382" s="14">
        <v>15</v>
      </c>
      <c r="S382" s="14">
        <v>16</v>
      </c>
      <c r="T382" s="14">
        <v>17</v>
      </c>
      <c r="U382" s="14">
        <v>18</v>
      </c>
      <c r="V382" s="14">
        <v>19</v>
      </c>
      <c r="W382" s="14">
        <v>20</v>
      </c>
      <c r="X382" s="14">
        <v>21</v>
      </c>
      <c r="Y382" s="14">
        <v>22</v>
      </c>
      <c r="Z382" s="14">
        <v>23</v>
      </c>
      <c r="AA382" s="14">
        <v>24</v>
      </c>
    </row>
    <row r="383" spans="1:50" s="3" customFormat="1" ht="15.75" x14ac:dyDescent="0.25">
      <c r="A383" s="81">
        <v>1</v>
      </c>
      <c r="B383" s="25">
        <v>20</v>
      </c>
      <c r="D383" s="83">
        <f t="shared" ref="D383:AA383" si="441">IF(D$1&gt;$B383,0,$C$377*D$380)</f>
        <v>0</v>
      </c>
      <c r="E383" s="83">
        <f t="shared" si="441"/>
        <v>0</v>
      </c>
      <c r="F383" s="83">
        <f t="shared" si="441"/>
        <v>0</v>
      </c>
      <c r="G383" s="83">
        <f t="shared" si="441"/>
        <v>0</v>
      </c>
      <c r="H383" s="83">
        <f t="shared" si="441"/>
        <v>0</v>
      </c>
      <c r="I383" s="83">
        <f t="shared" si="441"/>
        <v>0</v>
      </c>
      <c r="J383" s="83">
        <f t="shared" si="441"/>
        <v>0</v>
      </c>
      <c r="K383" s="83">
        <f t="shared" si="441"/>
        <v>0</v>
      </c>
      <c r="L383" s="83">
        <f t="shared" si="441"/>
        <v>0</v>
      </c>
      <c r="M383" s="83">
        <f t="shared" si="441"/>
        <v>0</v>
      </c>
      <c r="N383" s="83">
        <f t="shared" si="441"/>
        <v>0</v>
      </c>
      <c r="O383" s="83">
        <f t="shared" si="441"/>
        <v>0</v>
      </c>
      <c r="P383" s="83">
        <f t="shared" si="441"/>
        <v>0</v>
      </c>
      <c r="Q383" s="83">
        <f t="shared" si="441"/>
        <v>0</v>
      </c>
      <c r="R383" s="83">
        <f t="shared" si="441"/>
        <v>0</v>
      </c>
      <c r="S383" s="83">
        <f t="shared" si="441"/>
        <v>0</v>
      </c>
      <c r="T383" s="83">
        <f t="shared" si="441"/>
        <v>0</v>
      </c>
      <c r="U383" s="83">
        <f t="shared" si="441"/>
        <v>0</v>
      </c>
      <c r="V383" s="83">
        <f t="shared" si="441"/>
        <v>0</v>
      </c>
      <c r="W383" s="83">
        <f t="shared" si="441"/>
        <v>0</v>
      </c>
      <c r="X383" s="83">
        <f t="shared" si="441"/>
        <v>0</v>
      </c>
      <c r="Y383" s="83">
        <f t="shared" si="441"/>
        <v>0</v>
      </c>
      <c r="Z383" s="83">
        <f t="shared" si="441"/>
        <v>0</v>
      </c>
      <c r="AA383" s="83">
        <f t="shared" si="441"/>
        <v>0</v>
      </c>
    </row>
    <row r="384" spans="1:50" s="3" customFormat="1" x14ac:dyDescent="0.25">
      <c r="A384" s="14">
        <v>2</v>
      </c>
      <c r="B384" s="25">
        <v>20</v>
      </c>
      <c r="C384" s="59"/>
      <c r="D384" s="59"/>
      <c r="E384" s="83">
        <f t="shared" ref="E384:AA384" si="442">IF(E$285&gt;$B384,0,$D$377*E$380)</f>
        <v>0</v>
      </c>
      <c r="F384" s="83">
        <f t="shared" si="442"/>
        <v>0</v>
      </c>
      <c r="G384" s="83">
        <f t="shared" si="442"/>
        <v>0</v>
      </c>
      <c r="H384" s="83">
        <f t="shared" si="442"/>
        <v>0</v>
      </c>
      <c r="I384" s="83">
        <f t="shared" si="442"/>
        <v>0</v>
      </c>
      <c r="J384" s="83">
        <f t="shared" si="442"/>
        <v>0</v>
      </c>
      <c r="K384" s="83">
        <f t="shared" si="442"/>
        <v>0</v>
      </c>
      <c r="L384" s="83">
        <f t="shared" si="442"/>
        <v>0</v>
      </c>
      <c r="M384" s="83">
        <f t="shared" si="442"/>
        <v>0</v>
      </c>
      <c r="N384" s="83">
        <f t="shared" si="442"/>
        <v>0</v>
      </c>
      <c r="O384" s="83">
        <f t="shared" si="442"/>
        <v>0</v>
      </c>
      <c r="P384" s="83">
        <f t="shared" si="442"/>
        <v>0</v>
      </c>
      <c r="Q384" s="83">
        <f t="shared" si="442"/>
        <v>0</v>
      </c>
      <c r="R384" s="83">
        <f t="shared" si="442"/>
        <v>0</v>
      </c>
      <c r="S384" s="83">
        <f t="shared" si="442"/>
        <v>0</v>
      </c>
      <c r="T384" s="83">
        <f t="shared" si="442"/>
        <v>0</v>
      </c>
      <c r="U384" s="83">
        <f t="shared" si="442"/>
        <v>0</v>
      </c>
      <c r="V384" s="83">
        <f t="shared" si="442"/>
        <v>0</v>
      </c>
      <c r="W384" s="83">
        <f t="shared" si="442"/>
        <v>0</v>
      </c>
      <c r="X384" s="83">
        <f t="shared" si="442"/>
        <v>0</v>
      </c>
      <c r="Y384" s="83">
        <f t="shared" si="442"/>
        <v>0</v>
      </c>
      <c r="Z384" s="83">
        <f t="shared" si="442"/>
        <v>0</v>
      </c>
      <c r="AA384" s="83">
        <f t="shared" si="442"/>
        <v>0</v>
      </c>
    </row>
    <row r="385" spans="1:27" s="3" customFormat="1" x14ac:dyDescent="0.25">
      <c r="A385" s="14">
        <v>3</v>
      </c>
      <c r="B385" s="25">
        <v>20</v>
      </c>
      <c r="C385" s="59"/>
      <c r="D385" s="59"/>
      <c r="E385" s="59"/>
      <c r="F385" s="83">
        <f>IF(F$285&gt;$B385,0,E$280*F$283)</f>
        <v>0</v>
      </c>
      <c r="G385" s="83">
        <f>IF((G$98-$E$98)&gt;$B385,0,($E377-SUM($F385:F385))*$F380)</f>
        <v>0</v>
      </c>
      <c r="H385" s="83">
        <f>IF((H$98-$E$98)&gt;$B385,0,($E377-SUM($F385:G385))*$F380)</f>
        <v>0</v>
      </c>
      <c r="I385" s="83">
        <f>IF((I$98-$E$98)&gt;$B385,0,($E377-SUM($F385:H385))*$F380)</f>
        <v>0</v>
      </c>
      <c r="J385" s="83">
        <f>IF((J$98-$E$98)&gt;$B385,0,($E377-SUM($F385:I385))*$F380)</f>
        <v>0</v>
      </c>
      <c r="K385" s="83">
        <f>IF((K$98-$E$98)&gt;$B385,0,($E377-SUM($F385:J385))*$F380)</f>
        <v>0</v>
      </c>
      <c r="L385" s="83">
        <f>IF((L$98-$E$98)&gt;$B385,0,($E377-SUM($F385:K385))*$F380)</f>
        <v>0</v>
      </c>
      <c r="M385" s="83">
        <f>IF((M$98-$E$98)&gt;$B385,0,($E377-SUM($F385:L385))*$F380)</f>
        <v>0</v>
      </c>
      <c r="N385" s="83">
        <f>IF((N$98-$E$98)&gt;$B385,0,($E377-SUM($F385:M385))*$F380)</f>
        <v>0</v>
      </c>
      <c r="O385" s="83">
        <f>IF((O$98-$E$98)&gt;$B385,0,($E377-SUM($F385:N385))*$F380)</f>
        <v>0</v>
      </c>
      <c r="P385" s="83">
        <f>IF((P$98-$E$98)&gt;$B385,0,($E377-SUM($F385:O385))*$F380)</f>
        <v>0</v>
      </c>
      <c r="Q385" s="83">
        <f>IF((Q$98-$E$98)&gt;$B385,0,($E377-SUM($F385:P385))*$F380)</f>
        <v>0</v>
      </c>
      <c r="R385" s="83">
        <f>IF((R$98-$E$98)&gt;$B385,0,($E377-SUM($F385:Q385))*$F380)</f>
        <v>0</v>
      </c>
      <c r="S385" s="83">
        <f>IF((S$98-$E$98)&gt;$B385,0,($E377-SUM($F385:R385))*$F380)</f>
        <v>0</v>
      </c>
      <c r="T385" s="83">
        <f>IF((T$98-$E$98)&gt;$B385,0,($E377-SUM($F385:S385))*$F380)</f>
        <v>0</v>
      </c>
      <c r="U385" s="83">
        <f>IF((U$98-$E$98)&gt;$B385,0,($E377-SUM($F385:T385))*$F380)</f>
        <v>0</v>
      </c>
      <c r="V385" s="83">
        <f>IF((V$98-$E$98)&gt;$B385,0,($E377-SUM($F385:U385))*$F380)</f>
        <v>0</v>
      </c>
      <c r="W385" s="83">
        <f>IF((W$98-$E$98)&gt;$B385,0,($E377-SUM($F385:V385))*$F380)</f>
        <v>0</v>
      </c>
      <c r="X385" s="83">
        <f>IF((X$98-$E$98)&gt;$B385,0,($E377-SUM($F385:W385))*$F380)</f>
        <v>0</v>
      </c>
      <c r="Y385" s="83">
        <f>IF((Y$98-$E$98)&gt;$B385,0,($E377-SUM($F385:X385))*$F380)</f>
        <v>0</v>
      </c>
      <c r="Z385" s="83">
        <f>IF((Z$98-$E$98)&gt;$B385,0,($E377-SUM($F385:Y385))*$F380)</f>
        <v>0</v>
      </c>
      <c r="AA385" s="83">
        <f>IF((AA$98-$E$98)&gt;$B385,0,($E377-SUM($F385:Z385))*$F380)</f>
        <v>0</v>
      </c>
    </row>
    <row r="386" spans="1:27" s="3" customFormat="1" x14ac:dyDescent="0.25">
      <c r="A386" s="14">
        <v>4</v>
      </c>
      <c r="B386" s="25">
        <v>20</v>
      </c>
      <c r="C386" s="59"/>
      <c r="D386" s="59"/>
      <c r="E386" s="59"/>
      <c r="F386" s="59"/>
      <c r="G386" s="83">
        <f>IF(G$285&gt;$B386,0,F$280*G$283)</f>
        <v>0</v>
      </c>
      <c r="H386" s="83">
        <f>IF((H$98-$F$98)&gt;$B386,0,($F$131-SUM($G386:G386))*$G380)</f>
        <v>0</v>
      </c>
      <c r="I386" s="83">
        <f>IF((I$98-$F$98)&gt;$B386,0,($F$131-SUM($G386:H386))*$G380)</f>
        <v>0</v>
      </c>
      <c r="J386" s="83">
        <f>IF((J$98-$F$98)&gt;$B386,0,($F$131-SUM($G386:I386))*$G380)</f>
        <v>0</v>
      </c>
      <c r="K386" s="83">
        <f>IF((K$98-$F$98)&gt;$B386,0,($F$131-SUM($G386:J386))*$G380)</f>
        <v>0</v>
      </c>
      <c r="L386" s="83">
        <f>IF((L$98-$F$98)&gt;$B386,0,($F$131-SUM($G386:K386))*$G380)</f>
        <v>0</v>
      </c>
      <c r="M386" s="83">
        <f>IF((M$98-$F$98)&gt;$B386,0,($F$131-SUM($G386:L386))*$G380)</f>
        <v>0</v>
      </c>
      <c r="N386" s="83">
        <f>IF((N$98-$F$98)&gt;$B386,0,($F$131-SUM($G386:M386))*$G380)</f>
        <v>0</v>
      </c>
      <c r="O386" s="83">
        <f>IF((O$98-$F$98)&gt;$B386,0,($F$131-SUM($G386:N386))*$G380)</f>
        <v>0</v>
      </c>
      <c r="P386" s="83">
        <f>IF((P$98-$F$98)&gt;$B386,0,($F$131-SUM($G386:O386))*$G380)</f>
        <v>0</v>
      </c>
      <c r="Q386" s="83">
        <f>IF((Q$98-$F$98)&gt;$B386,0,($F$131-SUM($G386:P386))*$G380)</f>
        <v>0</v>
      </c>
      <c r="R386" s="83">
        <f>IF((R$98-$F$98)&gt;$B386,0,($F$131-SUM($G386:Q386))*$G380)</f>
        <v>0</v>
      </c>
      <c r="S386" s="83">
        <f>IF((S$98-$F$98)&gt;$B386,0,($F$131-SUM($G386:R386))*$G380)</f>
        <v>0</v>
      </c>
      <c r="T386" s="83">
        <f>IF((T$98-$F$98)&gt;$B386,0,($F$131-SUM($G386:S386))*$G380)</f>
        <v>0</v>
      </c>
      <c r="U386" s="83">
        <f>IF((U$98-$F$98)&gt;$B386,0,($F$131-SUM($G386:T386))*$G380)</f>
        <v>0</v>
      </c>
      <c r="V386" s="83">
        <f>IF((V$98-$F$98)&gt;$B386,0,($F$131-SUM($G386:U386))*$G380)</f>
        <v>0</v>
      </c>
      <c r="W386" s="83">
        <f>IF((W$98-$F$98)&gt;$B386,0,($F$131-SUM($G386:V386))*$G380)</f>
        <v>0</v>
      </c>
      <c r="X386" s="83">
        <f>IF((X$98-$F$98)&gt;$B386,0,($F$131-SUM($G386:W386))*$G380)</f>
        <v>0</v>
      </c>
      <c r="Y386" s="83">
        <f>IF((Y$98-$F$98)&gt;$B386,0,($F$131-SUM($G386:X386))*$G380)</f>
        <v>0</v>
      </c>
      <c r="Z386" s="83">
        <f>IF((Z$98-$F$98)&gt;$B386,0,($F$131-SUM($G386:Y386))*$G380)</f>
        <v>0</v>
      </c>
      <c r="AA386" s="83">
        <f>IF((AA$98-$F$98)&gt;$B386,0,($F$131-SUM($G386:Z386))*$G380)</f>
        <v>0</v>
      </c>
    </row>
    <row r="387" spans="1:27" s="3" customFormat="1" ht="15.75" x14ac:dyDescent="0.25">
      <c r="A387" s="81">
        <v>5</v>
      </c>
      <c r="B387" s="25">
        <v>20</v>
      </c>
      <c r="C387" s="59"/>
      <c r="D387" s="59"/>
      <c r="E387" s="59"/>
      <c r="F387" s="59"/>
      <c r="G387" s="59"/>
      <c r="H387" s="83">
        <f>IF(H$285&gt;$B387,0,G$280*H$283)</f>
        <v>0</v>
      </c>
      <c r="I387" s="83">
        <f>IF((I$98-$G$98)&gt;$B387,0,($G$131-SUM($H387:H387))*$H380)</f>
        <v>0</v>
      </c>
      <c r="J387" s="83">
        <f>IF((J$98-$G$98)&gt;$B387,0,($G$131-SUM($H387:I387))*$H380)</f>
        <v>0</v>
      </c>
      <c r="K387" s="83">
        <f>IF((K$98-$G$98)&gt;$B387,0,($G$131-SUM($H387:J387))*$H380)</f>
        <v>0</v>
      </c>
      <c r="L387" s="83">
        <f>IF((L$98-$G$98)&gt;$B387,0,($G$131-SUM($H387:K387))*$H380)</f>
        <v>0</v>
      </c>
      <c r="M387" s="83">
        <f>IF((M$98-$G$98)&gt;$B387,0,($G$131-SUM($H387:L387))*$H380)</f>
        <v>0</v>
      </c>
      <c r="N387" s="83">
        <f>IF((N$98-$G$98)&gt;$B387,0,($G$131-SUM($H387:M387))*$H380)</f>
        <v>0</v>
      </c>
      <c r="O387" s="83">
        <f>IF((O$98-$G$98)&gt;$B387,0,($G$131-SUM($H387:N387))*$H380)</f>
        <v>0</v>
      </c>
      <c r="P387" s="83">
        <f>IF((P$98-$G$98)&gt;$B387,0,($G$131-SUM($H387:O387))*$H380)</f>
        <v>0</v>
      </c>
      <c r="Q387" s="83">
        <f>IF((Q$98-$G$98)&gt;$B387,0,($G$131-SUM($H387:P387))*$H380)</f>
        <v>0</v>
      </c>
      <c r="R387" s="83">
        <f>IF((R$98-$G$98)&gt;$B387,0,($G$131-SUM($H387:Q387))*$H380)</f>
        <v>0</v>
      </c>
      <c r="S387" s="83">
        <f>IF((S$98-$G$98)&gt;$B387,0,($G$131-SUM($H387:R387))*$H380)</f>
        <v>0</v>
      </c>
      <c r="T387" s="83">
        <f>IF((T$98-$G$98)&gt;$B387,0,($G$131-SUM($H387:S387))*$H380)</f>
        <v>0</v>
      </c>
      <c r="U387" s="83">
        <f>IF((U$98-$G$98)&gt;$B387,0,($G$131-SUM($H387:T387))*$H380)</f>
        <v>0</v>
      </c>
      <c r="V387" s="83">
        <f>IF((V$98-$G$98)&gt;$B387,0,($G$131-SUM($H387:U387))*$H380)</f>
        <v>0</v>
      </c>
      <c r="W387" s="83">
        <f>IF((W$98-$G$98)&gt;$B387,0,($G$131-SUM($H387:V387))*$H380)</f>
        <v>0</v>
      </c>
      <c r="X387" s="83">
        <f>IF((X$98-$G$98)&gt;$B387,0,($G$131-SUM($H387:W387))*$H380)</f>
        <v>0</v>
      </c>
      <c r="Y387" s="83">
        <f>IF((Y$98-$G$98)&gt;$B387,0,($G$131-SUM($H387:X387))*$H380)</f>
        <v>0</v>
      </c>
      <c r="Z387" s="83">
        <f>IF((Z$98-$G$98)&gt;$B387,0,($G$131-SUM($H387:Y387))*$H380)</f>
        <v>0</v>
      </c>
      <c r="AA387" s="83">
        <f>IF((AA$98-$G$98)&gt;$B387,0,($G$131-SUM($H387:Z387))*$H380)</f>
        <v>0</v>
      </c>
    </row>
    <row r="388" spans="1:27" s="3" customFormat="1" x14ac:dyDescent="0.25">
      <c r="A388" s="14">
        <v>6</v>
      </c>
      <c r="B388" s="25">
        <v>20</v>
      </c>
      <c r="C388" s="59"/>
      <c r="D388" s="59"/>
      <c r="E388" s="59"/>
      <c r="F388" s="59"/>
      <c r="G388" s="59"/>
      <c r="H388" s="59"/>
      <c r="I388" s="83">
        <f>IF(I$285&gt;$B388,0,H$280*I$283)</f>
        <v>0</v>
      </c>
      <c r="J388" s="83">
        <f>IF((J$98-$H$98)&gt;$B388,0,($H$131-SUM($I388:I388))*$I380)</f>
        <v>0</v>
      </c>
      <c r="K388" s="83">
        <f>IF((K$98-$H$98)&gt;$B388,0,($H$131-SUM($I388:J388))*$I380)</f>
        <v>0</v>
      </c>
      <c r="L388" s="83">
        <f>IF((L$98-$H$98)&gt;$B388,0,($H$131-SUM($I388:K388))*$I380)</f>
        <v>0</v>
      </c>
      <c r="M388" s="83">
        <f>IF((M$98-$H$98)&gt;$B388,0,($H$131-SUM($I388:L388))*$I380)</f>
        <v>0</v>
      </c>
      <c r="N388" s="83">
        <f>IF((N$98-$H$98)&gt;$B388,0,($H$131-SUM($I388:M388))*$I380)</f>
        <v>0</v>
      </c>
      <c r="O388" s="83">
        <f>IF((O$98-$H$98)&gt;$B388,0,($H$131-SUM($I388:N388))*$I380)</f>
        <v>0</v>
      </c>
      <c r="P388" s="83">
        <f>IF((P$98-$H$98)&gt;$B388,0,($H$131-SUM($I388:O388))*$I380)</f>
        <v>0</v>
      </c>
      <c r="Q388" s="83">
        <f>IF((Q$98-$H$98)&gt;$B388,0,($H$131-SUM($I388:P388))*$I380)</f>
        <v>0</v>
      </c>
      <c r="R388" s="83">
        <f>IF((R$98-$H$98)&gt;$B388,0,($H$131-SUM($I388:Q388))*$I380)</f>
        <v>0</v>
      </c>
      <c r="S388" s="83">
        <f>IF((S$98-$H$98)&gt;$B388,0,($H$131-SUM($I388:R388))*$I380)</f>
        <v>0</v>
      </c>
      <c r="T388" s="83">
        <f>IF((T$98-$H$98)&gt;$B388,0,($H$131-SUM($I388:S388))*$I380)</f>
        <v>0</v>
      </c>
      <c r="U388" s="83">
        <f>IF((U$98-$H$98)&gt;$B388,0,($H$131-SUM($I388:T388))*$I380)</f>
        <v>0</v>
      </c>
      <c r="V388" s="83">
        <f>IF((V$98-$H$98)&gt;$B388,0,($H$131-SUM($I388:U388))*$I380)</f>
        <v>0</v>
      </c>
      <c r="W388" s="83">
        <f>IF((W$98-$H$98)&gt;$B388,0,($H$131-SUM($I388:V388))*$I380)</f>
        <v>0</v>
      </c>
      <c r="X388" s="83">
        <f>IF((X$98-$H$98)&gt;$B388,0,($H$131-SUM($I388:W388))*$I380)</f>
        <v>0</v>
      </c>
      <c r="Y388" s="83">
        <f>IF((Y$98-$H$98)&gt;$B388,0,($H$131-SUM($I388:X388))*$I380)</f>
        <v>0</v>
      </c>
      <c r="Z388" s="83">
        <f>IF((Z$98-$H$98)&gt;$B388,0,($H$131-SUM($I388:Y388))*$I380)</f>
        <v>0</v>
      </c>
      <c r="AA388" s="83">
        <f>IF((AA$98-$H$98)&gt;$B388,0,($H$131-SUM($I388:Z388))*$I380)</f>
        <v>0</v>
      </c>
    </row>
    <row r="389" spans="1:27" s="3" customFormat="1" x14ac:dyDescent="0.25">
      <c r="A389" s="14">
        <v>7</v>
      </c>
      <c r="B389" s="25">
        <v>20</v>
      </c>
      <c r="C389" s="59"/>
      <c r="D389" s="59"/>
      <c r="E389" s="59"/>
      <c r="F389" s="59"/>
      <c r="G389" s="59"/>
      <c r="H389" s="59"/>
      <c r="I389" s="59"/>
      <c r="J389" s="83">
        <f>IF(J$285&gt;$B389,0,I$280*J$283)</f>
        <v>0</v>
      </c>
      <c r="K389" s="83">
        <f>IF((K$98-$I$98)&gt;$B389,0,($I$160-SUM($J389:J389))*$J380)</f>
        <v>0</v>
      </c>
      <c r="L389" s="83">
        <f>IF((L$98-$I$98)&gt;$B389,0,($I$160-SUM($J389:K389))*$J380)</f>
        <v>0</v>
      </c>
      <c r="M389" s="83">
        <f>IF((M$98-$I$98)&gt;$B389,0,($I$160-SUM($J389:L389))*$J380)</f>
        <v>0</v>
      </c>
      <c r="N389" s="83">
        <f>IF((N$98-$I$98)&gt;$B389,0,($I$160-SUM($J389:M389))*$J380)</f>
        <v>0</v>
      </c>
      <c r="O389" s="83">
        <f>IF((O$98-$I$98)&gt;$B389,0,($I$160-SUM($J389:N389))*$J380)</f>
        <v>0</v>
      </c>
      <c r="P389" s="83">
        <f>IF((P$98-$I$98)&gt;$B389,0,($I$160-SUM($J389:O389))*$J380)</f>
        <v>0</v>
      </c>
      <c r="Q389" s="83">
        <f>IF((Q$98-$I$98)&gt;$B389,0,($I$160-SUM($J389:P389))*$J380)</f>
        <v>0</v>
      </c>
      <c r="R389" s="83">
        <f>IF((R$98-$I$98)&gt;$B389,0,($I$160-SUM($J389:Q389))*$J380)</f>
        <v>0</v>
      </c>
      <c r="S389" s="83">
        <f>IF((S$98-$I$98)&gt;$B389,0,($I$160-SUM($J389:R389))*$J380)</f>
        <v>0</v>
      </c>
      <c r="T389" s="83">
        <f>IF((T$98-$I$98)&gt;$B389,0,($I$160-SUM($J389:S389))*$J380)</f>
        <v>0</v>
      </c>
      <c r="U389" s="83">
        <f>IF((U$98-$I$98)&gt;$B389,0,($I$160-SUM($J389:T389))*$J380)</f>
        <v>0</v>
      </c>
      <c r="V389" s="83">
        <f>IF((V$98-$I$98)&gt;$B389,0,($I$160-SUM($J389:U389))*$J380)</f>
        <v>0</v>
      </c>
      <c r="W389" s="83">
        <f>IF((W$98-$I$98)&gt;$B389,0,($I$160-SUM($J389:V389))*$J380)</f>
        <v>0</v>
      </c>
      <c r="X389" s="83">
        <f>IF((X$98-$I$98)&gt;$B389,0,($I$160-SUM($J389:W389))*$J380)</f>
        <v>0</v>
      </c>
      <c r="Y389" s="83">
        <f>IF((Y$98-$I$98)&gt;$B389,0,($I$160-SUM($J389:X389))*$J380)</f>
        <v>0</v>
      </c>
      <c r="Z389" s="83">
        <f>IF((Z$98-$I$98)&gt;$B389,0,($I$160-SUM($J389:Y389))*$J380)</f>
        <v>0</v>
      </c>
      <c r="AA389" s="83">
        <f>IF((AA$98-$I$98)&gt;$B389,0,($I$160-SUM($J389:Z389))*$J380)</f>
        <v>0</v>
      </c>
    </row>
    <row r="390" spans="1:27" s="3" customFormat="1" ht="15.75" x14ac:dyDescent="0.25">
      <c r="A390" s="81">
        <v>8</v>
      </c>
      <c r="B390" s="25">
        <v>20</v>
      </c>
      <c r="C390" s="59"/>
      <c r="D390" s="59"/>
      <c r="E390" s="59"/>
      <c r="F390" s="59"/>
      <c r="G390" s="59"/>
      <c r="H390" s="59"/>
      <c r="I390" s="59"/>
      <c r="J390" s="59"/>
      <c r="K390" s="83">
        <f>IF(K$285&gt;$B390,0,J$280*K$283)</f>
        <v>0</v>
      </c>
      <c r="L390" s="83">
        <f>IF((L$98-$J$98)&gt;$B390,0,($J$160-SUM($K390:K390))*$K380)</f>
        <v>0</v>
      </c>
      <c r="M390" s="83">
        <f>IF((M$98-$J$98)&gt;$B390,0,($J$160-SUM($K390:L390))*$K380)</f>
        <v>0</v>
      </c>
      <c r="N390" s="83">
        <f>IF((N$98-$J$98)&gt;$B390,0,($J$160-SUM($K390:M390))*$K380)</f>
        <v>0</v>
      </c>
      <c r="O390" s="83">
        <f>IF((O$98-$J$98)&gt;$B390,0,($J$160-SUM($K390:N390))*$K380)</f>
        <v>0</v>
      </c>
      <c r="P390" s="83">
        <f>IF((P$98-$J$98)&gt;$B390,0,($J$160-SUM($K390:O390))*$K380)</f>
        <v>0</v>
      </c>
      <c r="Q390" s="83">
        <f>IF((Q$98-$J$98)&gt;$B390,0,($J$160-SUM($K390:P390))*$K380)</f>
        <v>0</v>
      </c>
      <c r="R390" s="83">
        <f>IF((R$98-$J$98)&gt;$B390,0,($J$160-SUM($K390:Q390))*$K380)</f>
        <v>0</v>
      </c>
      <c r="S390" s="83">
        <f>IF((S$98-$J$98)&gt;$B390,0,($J$160-SUM($K390:R390))*$K380)</f>
        <v>0</v>
      </c>
      <c r="T390" s="83">
        <f>IF((T$98-$J$98)&gt;$B390,0,($J$160-SUM($K390:S390))*$K380)</f>
        <v>0</v>
      </c>
      <c r="U390" s="83">
        <f>IF((U$98-$J$98)&gt;$B390,0,($J$160-SUM($K390:T390))*$K380)</f>
        <v>0</v>
      </c>
      <c r="V390" s="83">
        <f>IF((V$98-$J$98)&gt;$B390,0,($J$160-SUM($K390:U390))*$K380)</f>
        <v>0</v>
      </c>
      <c r="W390" s="83">
        <f>IF((W$98-$J$98)&gt;$B390,0,($J$160-SUM($K390:V390))*$K380)</f>
        <v>0</v>
      </c>
      <c r="X390" s="83">
        <f>IF((X$98-$J$98)&gt;$B390,0,($J$160-SUM($K390:W390))*$K380)</f>
        <v>0</v>
      </c>
      <c r="Y390" s="83">
        <f>IF((Y$98-$J$98)&gt;$B390,0,($J$160-SUM($K390:X390))*$K380)</f>
        <v>0</v>
      </c>
      <c r="Z390" s="83">
        <f>IF((Z$98-$J$98)&gt;$B390,0,($J$160-SUM($K390:Y390))*$K380)</f>
        <v>0</v>
      </c>
      <c r="AA390" s="83">
        <f>IF((AA$98-$J$98)&gt;$B390,0,($J$160-SUM($K390:Z390))*$K380)</f>
        <v>0</v>
      </c>
    </row>
    <row r="391" spans="1:27" s="3" customFormat="1" ht="15.75" x14ac:dyDescent="0.25">
      <c r="A391" s="81">
        <v>9</v>
      </c>
      <c r="B391" s="25">
        <v>20</v>
      </c>
      <c r="C391" s="59"/>
      <c r="D391" s="59"/>
      <c r="E391" s="59"/>
      <c r="F391" s="59"/>
      <c r="G391" s="59"/>
      <c r="H391" s="59"/>
      <c r="I391" s="59"/>
      <c r="J391" s="59"/>
      <c r="K391" s="83"/>
      <c r="L391" s="83">
        <f>IF(L$285&gt;$B391,0,K$280*L$283)</f>
        <v>0</v>
      </c>
      <c r="M391" s="83">
        <f>IF((M$98-$K$98)&gt;$B390,0,($K$160-SUM(L391:L391))*$L380)</f>
        <v>0</v>
      </c>
      <c r="N391" s="83">
        <f>IF((N$98-$K$98)&gt;$B390,0,($K$160*$L380))</f>
        <v>0</v>
      </c>
      <c r="O391" s="83">
        <f>IF((O$98-$K$98)&gt;$B390,0,($K$160-SUM(N391:N391))*$L380)</f>
        <v>0</v>
      </c>
      <c r="P391" s="83">
        <f>IF((P$98-$K$98)&gt;$B390,0,($K$160*$L380))</f>
        <v>0</v>
      </c>
      <c r="Q391" s="83">
        <f>IF((Q$98-$K$98)&gt;$B390,0,($K$160-SUM(P391:P391))*$L380)</f>
        <v>0</v>
      </c>
      <c r="R391" s="83">
        <f>IF((R$98-$K$98)&gt;$B390,0,($K$160*$L380))</f>
        <v>0</v>
      </c>
      <c r="S391" s="83">
        <f>IF((S$98-$K$98)&gt;$B390,0,($K$160-SUM(R391:R391))*$L380)</f>
        <v>0</v>
      </c>
      <c r="T391" s="83">
        <f>IF((T$98-$K$98)&gt;$B390,0,($K$160*$L380))</f>
        <v>0</v>
      </c>
      <c r="U391" s="83">
        <f>IF((U$98-$K$98)&gt;$B390,0,($K$160-SUM(T391:T391))*$L380)</f>
        <v>0</v>
      </c>
      <c r="V391" s="83">
        <f>IF((V$98-$K$98)&gt;$B390,0,($K$160*$L380))</f>
        <v>0</v>
      </c>
      <c r="W391" s="83">
        <f>IF((W$98-$K$98)&gt;$B390,0,($K$160-SUM(V391:V391))*$L380)</f>
        <v>0</v>
      </c>
      <c r="X391" s="83">
        <f>IF((X$98-$K$98)&gt;$B390,0,($K$160-SUM(W391:W391))*$L380)</f>
        <v>0</v>
      </c>
      <c r="Y391" s="83">
        <f>IF((Y$98-$K$98)&gt;$B390,0,($K$160*$L380))</f>
        <v>0</v>
      </c>
      <c r="Z391" s="83">
        <f>IF((Z$98-$K$98)&gt;$B390,0,($K$160-SUM(Y391:Y391))*$L380)</f>
        <v>0</v>
      </c>
      <c r="AA391" s="83">
        <f>IF((AA$98-$K$98)&gt;$B390,0,($K$160-SUM(Z391:Z391))*$L380)</f>
        <v>0</v>
      </c>
    </row>
    <row r="392" spans="1:27" s="3" customFormat="1" ht="15.75" x14ac:dyDescent="0.25">
      <c r="A392" s="81">
        <v>10</v>
      </c>
      <c r="B392" s="25">
        <v>20</v>
      </c>
      <c r="C392" s="59"/>
      <c r="D392" s="59"/>
      <c r="E392" s="59"/>
      <c r="F392" s="59"/>
      <c r="G392" s="59"/>
      <c r="H392" s="59"/>
      <c r="I392" s="59"/>
      <c r="J392" s="59"/>
      <c r="K392" s="83"/>
      <c r="L392" s="83"/>
      <c r="M392" s="83">
        <f>IF(M$285&gt;$B392,0,L$280*M$283)</f>
        <v>0</v>
      </c>
      <c r="N392" s="83"/>
      <c r="O392" s="83">
        <f>IF((O$98-$L$98)&gt;$B390,0,$L$160*$M380)</f>
        <v>0</v>
      </c>
      <c r="P392" s="83"/>
      <c r="Q392" s="83">
        <f>IF((Q$98-$L$98)&gt;$B390,0,$L$160*$M380)</f>
        <v>0</v>
      </c>
      <c r="R392" s="83"/>
      <c r="S392" s="83">
        <f>IF((S$98-$L$98)&gt;$B390,0,$L$160*$M380)</f>
        <v>0</v>
      </c>
      <c r="T392" s="83"/>
      <c r="U392" s="83">
        <f>IF((U$98-$L$98)&gt;$B390,0,$L$160*$M380)</f>
        <v>0</v>
      </c>
      <c r="V392" s="83"/>
      <c r="W392" s="83">
        <f>IF((W$98-$L$98)&gt;$B390,0,$L$160*$M380)</f>
        <v>0</v>
      </c>
      <c r="X392" s="83">
        <f>IF((X$98-$L$98)&gt;$B390,0,$L$160*$M380)</f>
        <v>0</v>
      </c>
      <c r="Y392" s="83"/>
      <c r="Z392" s="83">
        <f>IF((Z$98-$L$98)&gt;$B390,0,$L$160*$M380)</f>
        <v>0</v>
      </c>
      <c r="AA392" s="83">
        <f>IF((AA$98-$L$98)&gt;$B390,0,$L$160*$M380)</f>
        <v>0</v>
      </c>
    </row>
    <row r="393" spans="1:27" s="3" customFormat="1" ht="15.75" x14ac:dyDescent="0.25">
      <c r="A393" s="81">
        <v>11</v>
      </c>
      <c r="B393" s="25">
        <v>20</v>
      </c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3">
        <f>IF(N$285&gt;$B393,0,M$280*N$283)</f>
        <v>0</v>
      </c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</row>
    <row r="394" spans="1:27" s="3" customFormat="1" ht="15.75" x14ac:dyDescent="0.25">
      <c r="A394" s="81">
        <v>12</v>
      </c>
      <c r="B394" s="25">
        <v>20</v>
      </c>
      <c r="C394" s="59"/>
      <c r="D394" s="59"/>
      <c r="E394" s="59"/>
      <c r="F394" s="59"/>
      <c r="G394" s="59"/>
      <c r="H394" s="59"/>
      <c r="I394" s="59"/>
      <c r="J394" s="59"/>
      <c r="K394" s="83"/>
      <c r="O394" s="83">
        <f>IF(O$285&gt;$B394,0,N$280*O$283)</f>
        <v>0</v>
      </c>
    </row>
    <row r="395" spans="1:27" s="3" customFormat="1" ht="15.75" x14ac:dyDescent="0.25">
      <c r="A395" s="81">
        <v>13</v>
      </c>
      <c r="B395" s="25">
        <v>20</v>
      </c>
      <c r="C395" s="59"/>
      <c r="D395" s="176"/>
      <c r="E395" s="176"/>
      <c r="F395" s="176"/>
      <c r="G395" s="176"/>
      <c r="H395" s="176"/>
      <c r="I395" s="176"/>
      <c r="J395" s="176"/>
      <c r="K395" s="176"/>
      <c r="P395" s="83">
        <f>IF(P$285&gt;$B395,0,O$280*P$283)</f>
        <v>0</v>
      </c>
    </row>
    <row r="396" spans="1:27" s="3" customFormat="1" ht="15.75" x14ac:dyDescent="0.25">
      <c r="A396" s="396">
        <v>14</v>
      </c>
      <c r="B396" s="25">
        <v>20</v>
      </c>
      <c r="Q396" s="83">
        <f>IF(Q$285&gt;$B396,0,P$280*Q$283)</f>
        <v>0</v>
      </c>
    </row>
    <row r="397" spans="1:27" s="3" customFormat="1" ht="15.75" x14ac:dyDescent="0.25">
      <c r="A397" s="396">
        <v>15</v>
      </c>
      <c r="B397" s="25">
        <v>20</v>
      </c>
      <c r="R397" s="83">
        <f>IF(R$285&gt;$B397,0,Q$280*R$283)</f>
        <v>0</v>
      </c>
    </row>
    <row r="398" spans="1:27" s="3" customFormat="1" ht="15.75" x14ac:dyDescent="0.25">
      <c r="A398" s="396">
        <v>16</v>
      </c>
      <c r="B398" s="25">
        <v>20</v>
      </c>
      <c r="S398" s="83">
        <f>IF(S$285&gt;$B398,0,R$280*S$283)</f>
        <v>0</v>
      </c>
    </row>
    <row r="399" spans="1:27" s="3" customFormat="1" ht="15.75" x14ac:dyDescent="0.25">
      <c r="A399" s="396">
        <v>17</v>
      </c>
      <c r="B399" s="25">
        <v>20</v>
      </c>
      <c r="T399" s="83">
        <f>IF(T$285&gt;$B399,0,S$280*T$283)</f>
        <v>0</v>
      </c>
    </row>
    <row r="400" spans="1:27" s="3" customFormat="1" ht="15.75" x14ac:dyDescent="0.25">
      <c r="A400" s="396">
        <v>18</v>
      </c>
      <c r="B400" s="25">
        <v>20</v>
      </c>
      <c r="U400" s="83">
        <f>IF(U$285&gt;$B400,0,T$280*U$283)</f>
        <v>0</v>
      </c>
    </row>
    <row r="401" spans="1:50" s="3" customFormat="1" ht="15.75" x14ac:dyDescent="0.25">
      <c r="A401" s="396">
        <v>19</v>
      </c>
      <c r="B401" s="25">
        <v>20</v>
      </c>
      <c r="V401" s="83">
        <f>IF(V$285&gt;$B401,0,U$280*V$283)</f>
        <v>0</v>
      </c>
    </row>
    <row r="402" spans="1:50" s="3" customFormat="1" ht="15.75" x14ac:dyDescent="0.25">
      <c r="A402" s="396">
        <v>20</v>
      </c>
      <c r="B402" s="25">
        <v>20</v>
      </c>
      <c r="W402" s="83">
        <f>IF(W$285&gt;$B402,0,V$280*W$283)</f>
        <v>0</v>
      </c>
    </row>
    <row r="403" spans="1:50" s="3" customFormat="1" ht="15.75" x14ac:dyDescent="0.25">
      <c r="A403" s="396">
        <v>21</v>
      </c>
      <c r="B403" s="25">
        <v>20</v>
      </c>
      <c r="X403" s="83">
        <f>IF(X$285&gt;$B403,0,W$280*X$283)</f>
        <v>0</v>
      </c>
    </row>
    <row r="404" spans="1:50" s="3" customFormat="1" ht="15.75" x14ac:dyDescent="0.25">
      <c r="A404" s="396">
        <v>22</v>
      </c>
      <c r="B404" s="25">
        <v>20</v>
      </c>
      <c r="Y404" s="83">
        <f>IF(Y$285&gt;$B404,0,X$280*Y$283)</f>
        <v>0</v>
      </c>
    </row>
    <row r="405" spans="1:50" s="3" customFormat="1" ht="15.75" x14ac:dyDescent="0.25">
      <c r="A405" s="396">
        <v>23</v>
      </c>
      <c r="B405" s="25">
        <v>20</v>
      </c>
      <c r="Z405" s="83">
        <f>IF(Z$285&gt;$B405,0,Y$280*Z$283)</f>
        <v>0</v>
      </c>
    </row>
    <row r="406" spans="1:50" s="3" customFormat="1" ht="15.75" x14ac:dyDescent="0.25">
      <c r="A406" s="396">
        <v>24</v>
      </c>
      <c r="B406" s="25">
        <v>20</v>
      </c>
      <c r="AA406" s="83">
        <f>IF(AA$285&gt;$B406,0,Z$280*AA$283)</f>
        <v>0</v>
      </c>
    </row>
    <row r="407" spans="1:50" s="3" customFormat="1" x14ac:dyDescent="0.25">
      <c r="A407" s="3" t="s">
        <v>302</v>
      </c>
      <c r="D407" s="401">
        <f>SUM(D383:D406)</f>
        <v>0</v>
      </c>
      <c r="E407" s="401">
        <f>SUM(E383:E406)</f>
        <v>0</v>
      </c>
      <c r="F407" s="401">
        <f t="shared" ref="F407:AA407" si="443">SUM(F383:F406)</f>
        <v>0</v>
      </c>
      <c r="G407" s="401">
        <f t="shared" si="443"/>
        <v>0</v>
      </c>
      <c r="H407" s="401">
        <f t="shared" si="443"/>
        <v>0</v>
      </c>
      <c r="I407" s="401">
        <f t="shared" si="443"/>
        <v>0</v>
      </c>
      <c r="J407" s="401">
        <f t="shared" si="443"/>
        <v>0</v>
      </c>
      <c r="K407" s="401">
        <f t="shared" si="443"/>
        <v>0</v>
      </c>
      <c r="L407" s="401">
        <f t="shared" si="443"/>
        <v>0</v>
      </c>
      <c r="M407" s="401">
        <f t="shared" si="443"/>
        <v>0</v>
      </c>
      <c r="N407" s="401">
        <f t="shared" si="443"/>
        <v>0</v>
      </c>
      <c r="O407" s="401">
        <f t="shared" si="443"/>
        <v>0</v>
      </c>
      <c r="P407" s="401">
        <f t="shared" si="443"/>
        <v>0</v>
      </c>
      <c r="Q407" s="401">
        <f t="shared" si="443"/>
        <v>0</v>
      </c>
      <c r="R407" s="401">
        <f t="shared" si="443"/>
        <v>0</v>
      </c>
      <c r="S407" s="401">
        <f t="shared" si="443"/>
        <v>0</v>
      </c>
      <c r="T407" s="401">
        <f t="shared" si="443"/>
        <v>0</v>
      </c>
      <c r="U407" s="401">
        <f t="shared" si="443"/>
        <v>0</v>
      </c>
      <c r="V407" s="401">
        <f t="shared" si="443"/>
        <v>0</v>
      </c>
      <c r="W407" s="401">
        <f t="shared" si="443"/>
        <v>0</v>
      </c>
      <c r="X407" s="401">
        <f t="shared" si="443"/>
        <v>0</v>
      </c>
      <c r="Y407" s="401">
        <f t="shared" si="443"/>
        <v>0</v>
      </c>
      <c r="Z407" s="401">
        <f t="shared" si="443"/>
        <v>0</v>
      </c>
      <c r="AA407" s="401">
        <f t="shared" si="443"/>
        <v>0</v>
      </c>
    </row>
    <row r="408" spans="1:50" s="3" customFormat="1" ht="15.75" x14ac:dyDescent="0.25">
      <c r="A408" s="81" t="s">
        <v>303</v>
      </c>
      <c r="D408" s="401">
        <f>D407</f>
        <v>0</v>
      </c>
      <c r="E408" s="402">
        <f t="shared" ref="E408:AA408" si="444">IF(E382&gt;$B$286+1,0,E407+D408)</f>
        <v>0</v>
      </c>
      <c r="F408" s="402">
        <f t="shared" si="444"/>
        <v>0</v>
      </c>
      <c r="G408" s="402">
        <f t="shared" si="444"/>
        <v>0</v>
      </c>
      <c r="H408" s="402">
        <f t="shared" si="444"/>
        <v>0</v>
      </c>
      <c r="I408" s="402">
        <f t="shared" si="444"/>
        <v>0</v>
      </c>
      <c r="J408" s="402">
        <f t="shared" si="444"/>
        <v>0</v>
      </c>
      <c r="K408" s="402">
        <f t="shared" si="444"/>
        <v>0</v>
      </c>
      <c r="L408" s="402">
        <f t="shared" si="444"/>
        <v>0</v>
      </c>
      <c r="M408" s="402">
        <f t="shared" si="444"/>
        <v>0</v>
      </c>
      <c r="N408" s="402">
        <f t="shared" si="444"/>
        <v>0</v>
      </c>
      <c r="O408" s="402">
        <f t="shared" si="444"/>
        <v>0</v>
      </c>
      <c r="P408" s="402">
        <f t="shared" si="444"/>
        <v>0</v>
      </c>
      <c r="Q408" s="402">
        <f t="shared" si="444"/>
        <v>0</v>
      </c>
      <c r="R408" s="402">
        <f t="shared" si="444"/>
        <v>0</v>
      </c>
      <c r="S408" s="402">
        <f t="shared" si="444"/>
        <v>0</v>
      </c>
      <c r="T408" s="402">
        <f t="shared" si="444"/>
        <v>0</v>
      </c>
      <c r="U408" s="402">
        <f t="shared" si="444"/>
        <v>0</v>
      </c>
      <c r="V408" s="402">
        <f t="shared" si="444"/>
        <v>0</v>
      </c>
      <c r="W408" s="402">
        <f t="shared" si="444"/>
        <v>0</v>
      </c>
      <c r="X408" s="402">
        <f t="shared" si="444"/>
        <v>0</v>
      </c>
      <c r="Y408" s="402">
        <f t="shared" si="444"/>
        <v>0</v>
      </c>
      <c r="Z408" s="402">
        <f t="shared" si="444"/>
        <v>0</v>
      </c>
      <c r="AA408" s="402">
        <f t="shared" si="444"/>
        <v>0</v>
      </c>
    </row>
    <row r="409" spans="1:50" s="3" customFormat="1" ht="15.75" x14ac:dyDescent="0.25">
      <c r="A409" s="81" t="str">
        <f>A345</f>
        <v>Valor en libros</v>
      </c>
      <c r="D409" s="401">
        <f>D377</f>
        <v>0</v>
      </c>
      <c r="E409" s="402">
        <f>E377+D409-E407</f>
        <v>0</v>
      </c>
      <c r="F409" s="402">
        <f t="shared" ref="F409" si="445">F377+E409-F407</f>
        <v>0</v>
      </c>
      <c r="G409" s="402">
        <f t="shared" ref="G409" si="446">G377+F409-G407</f>
        <v>0</v>
      </c>
      <c r="H409" s="402">
        <f t="shared" ref="H409" si="447">H377+G409-H407</f>
        <v>0</v>
      </c>
      <c r="I409" s="402">
        <f>I377+H409-I407</f>
        <v>0</v>
      </c>
      <c r="J409" s="402">
        <f t="shared" ref="J409" si="448">J377+I409-J407</f>
        <v>0</v>
      </c>
      <c r="K409" s="402">
        <f t="shared" ref="K409" si="449">K377+J409-K407</f>
        <v>0</v>
      </c>
      <c r="L409" s="402">
        <f t="shared" ref="L409" si="450">L377+K409-L407</f>
        <v>0</v>
      </c>
      <c r="M409" s="402">
        <f t="shared" ref="M409" si="451">M377+L409-M407</f>
        <v>0</v>
      </c>
      <c r="N409" s="402">
        <f t="shared" ref="N409" si="452">N377+M409-N407</f>
        <v>0</v>
      </c>
      <c r="O409" s="402">
        <f t="shared" ref="O409" si="453">O377+N409-O407</f>
        <v>0</v>
      </c>
      <c r="P409" s="402">
        <f t="shared" ref="P409" si="454">P377+O409-P407</f>
        <v>0</v>
      </c>
      <c r="Q409" s="402">
        <f t="shared" ref="Q409" si="455">Q377+P409-Q407</f>
        <v>0</v>
      </c>
      <c r="R409" s="402">
        <f t="shared" ref="R409" si="456">R377+Q409-R407</f>
        <v>0</v>
      </c>
      <c r="S409" s="402">
        <f t="shared" ref="S409" si="457">S377+R409-S407</f>
        <v>0</v>
      </c>
      <c r="T409" s="402">
        <f t="shared" ref="T409" si="458">T377+S409-T407</f>
        <v>0</v>
      </c>
      <c r="U409" s="402">
        <f t="shared" ref="U409" si="459">U377+T409-U407</f>
        <v>0</v>
      </c>
      <c r="V409" s="402">
        <f t="shared" ref="V409" si="460">V377+U409-V407</f>
        <v>0</v>
      </c>
      <c r="W409" s="402">
        <f t="shared" ref="W409" si="461">W377+V409-W407</f>
        <v>0</v>
      </c>
      <c r="X409" s="402">
        <f t="shared" ref="X409" si="462">X377+W409-X407</f>
        <v>0</v>
      </c>
      <c r="Y409" s="402">
        <f t="shared" ref="Y409" si="463">Y377+X409-Y407</f>
        <v>0</v>
      </c>
      <c r="Z409" s="402">
        <f t="shared" ref="Z409" si="464">Z377+Y409-Z407</f>
        <v>0</v>
      </c>
      <c r="AA409" s="402">
        <f t="shared" ref="AA409" si="465">AA377+Z409-AA407</f>
        <v>0</v>
      </c>
    </row>
    <row r="411" spans="1:50" ht="31.5" x14ac:dyDescent="0.5">
      <c r="A411" s="458" t="str">
        <f>A51</f>
        <v>Estudios</v>
      </c>
      <c r="B411" s="52"/>
      <c r="C411" s="78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</row>
    <row r="412" spans="1:50" x14ac:dyDescent="0.25">
      <c r="A412" s="59" t="s">
        <v>92</v>
      </c>
      <c r="B412" s="59"/>
      <c r="C412" s="59">
        <v>0</v>
      </c>
      <c r="D412" s="59">
        <v>1</v>
      </c>
      <c r="E412" s="59">
        <v>2</v>
      </c>
      <c r="F412" s="59">
        <v>3</v>
      </c>
      <c r="G412" s="59">
        <v>4</v>
      </c>
      <c r="H412" s="59">
        <v>5</v>
      </c>
      <c r="I412" s="59">
        <v>6</v>
      </c>
      <c r="J412" s="59">
        <v>7</v>
      </c>
      <c r="K412" s="59">
        <v>8</v>
      </c>
      <c r="L412" s="59">
        <v>9</v>
      </c>
      <c r="M412" s="59">
        <v>10</v>
      </c>
      <c r="N412" s="59">
        <v>11</v>
      </c>
      <c r="O412" s="59">
        <v>12</v>
      </c>
      <c r="P412" s="59">
        <v>13</v>
      </c>
      <c r="Q412" s="59">
        <v>14</v>
      </c>
      <c r="R412" s="59">
        <v>15</v>
      </c>
      <c r="S412" s="59">
        <v>16</v>
      </c>
      <c r="T412" s="59">
        <v>17</v>
      </c>
      <c r="U412" s="59">
        <v>18</v>
      </c>
      <c r="V412" s="59">
        <v>19</v>
      </c>
      <c r="W412" s="59">
        <v>20</v>
      </c>
      <c r="X412" s="59">
        <v>21</v>
      </c>
      <c r="Y412" s="59">
        <v>22</v>
      </c>
      <c r="Z412" s="59">
        <v>23</v>
      </c>
      <c r="AA412" s="59">
        <v>24</v>
      </c>
    </row>
    <row r="413" spans="1:50" ht="23.25" x14ac:dyDescent="0.35">
      <c r="A413" s="459" t="s">
        <v>88</v>
      </c>
      <c r="B413" s="77"/>
      <c r="C413" s="77"/>
      <c r="D413" s="77"/>
      <c r="E413" s="77"/>
      <c r="F413" s="77"/>
      <c r="G413" s="77"/>
      <c r="H413" s="77"/>
      <c r="I413" s="77"/>
      <c r="J413" s="77"/>
      <c r="K413" s="77"/>
    </row>
    <row r="414" spans="1:50" ht="15.75" x14ac:dyDescent="0.25">
      <c r="A414" s="20" t="s">
        <v>91</v>
      </c>
      <c r="B414" s="285" t="s">
        <v>93</v>
      </c>
      <c r="C414" s="19" t="s">
        <v>94</v>
      </c>
    </row>
    <row r="415" spans="1:50" ht="15.75" x14ac:dyDescent="0.25">
      <c r="A415" s="81">
        <f>D$9</f>
        <v>1</v>
      </c>
      <c r="B415" s="25">
        <v>20</v>
      </c>
      <c r="C415" s="59">
        <f>(B415*(B415+1))/2</f>
        <v>210</v>
      </c>
      <c r="D415" s="76">
        <f t="shared" ref="D415:AA415" si="466">IF($B415&lt;D$1,0,((($B415-C$315)/$C415)*$C$51))</f>
        <v>0</v>
      </c>
      <c r="E415" s="76">
        <f t="shared" si="466"/>
        <v>0</v>
      </c>
      <c r="F415" s="76">
        <f t="shared" si="466"/>
        <v>0</v>
      </c>
      <c r="G415" s="76">
        <f t="shared" si="466"/>
        <v>0</v>
      </c>
      <c r="H415" s="76">
        <f t="shared" si="466"/>
        <v>0</v>
      </c>
      <c r="I415" s="76">
        <f t="shared" si="466"/>
        <v>0</v>
      </c>
      <c r="J415" s="76">
        <f t="shared" si="466"/>
        <v>0</v>
      </c>
      <c r="K415" s="76">
        <f t="shared" si="466"/>
        <v>0</v>
      </c>
      <c r="L415" s="76">
        <f t="shared" si="466"/>
        <v>0</v>
      </c>
      <c r="M415" s="76">
        <f t="shared" si="466"/>
        <v>0</v>
      </c>
      <c r="N415" s="76">
        <f t="shared" si="466"/>
        <v>0</v>
      </c>
      <c r="O415" s="76">
        <f t="shared" si="466"/>
        <v>0</v>
      </c>
      <c r="P415" s="76">
        <f t="shared" si="466"/>
        <v>0</v>
      </c>
      <c r="Q415" s="76">
        <f t="shared" si="466"/>
        <v>0</v>
      </c>
      <c r="R415" s="76">
        <f t="shared" si="466"/>
        <v>0</v>
      </c>
      <c r="S415" s="76">
        <f t="shared" si="466"/>
        <v>0</v>
      </c>
      <c r="T415" s="76">
        <f t="shared" si="466"/>
        <v>0</v>
      </c>
      <c r="U415" s="76">
        <f t="shared" si="466"/>
        <v>0</v>
      </c>
      <c r="V415" s="76">
        <f t="shared" si="466"/>
        <v>0</v>
      </c>
      <c r="W415" s="76">
        <f t="shared" si="466"/>
        <v>0</v>
      </c>
      <c r="X415" s="76">
        <f t="shared" si="466"/>
        <v>0</v>
      </c>
      <c r="Y415" s="76">
        <f t="shared" si="466"/>
        <v>0</v>
      </c>
      <c r="Z415" s="76">
        <f t="shared" si="466"/>
        <v>0</v>
      </c>
      <c r="AA415" s="76">
        <f t="shared" si="466"/>
        <v>0</v>
      </c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</row>
    <row r="416" spans="1:50" ht="15.75" x14ac:dyDescent="0.25">
      <c r="A416" s="81">
        <f>E$9</f>
        <v>2</v>
      </c>
      <c r="B416" s="25">
        <v>20</v>
      </c>
      <c r="C416" s="59">
        <f t="shared" ref="C416:C424" si="467">(B416*(B416+1))/2</f>
        <v>210</v>
      </c>
      <c r="D416" s="3"/>
      <c r="E416" s="76">
        <f t="shared" ref="E416:AA416" si="468">IF($B416&lt;D$1,0,((($B416-C$315)/$C416)*$D$45))</f>
        <v>0</v>
      </c>
      <c r="F416" s="76">
        <f t="shared" si="468"/>
        <v>0</v>
      </c>
      <c r="G416" s="76">
        <f t="shared" si="468"/>
        <v>0</v>
      </c>
      <c r="H416" s="76">
        <f t="shared" si="468"/>
        <v>0</v>
      </c>
      <c r="I416" s="76">
        <f t="shared" si="468"/>
        <v>0</v>
      </c>
      <c r="J416" s="76">
        <f t="shared" si="468"/>
        <v>0</v>
      </c>
      <c r="K416" s="76">
        <f t="shared" si="468"/>
        <v>0</v>
      </c>
      <c r="L416" s="76">
        <f t="shared" si="468"/>
        <v>0</v>
      </c>
      <c r="M416" s="76">
        <f t="shared" si="468"/>
        <v>0</v>
      </c>
      <c r="N416" s="76">
        <f t="shared" si="468"/>
        <v>0</v>
      </c>
      <c r="O416" s="76">
        <f t="shared" si="468"/>
        <v>0</v>
      </c>
      <c r="P416" s="76">
        <f t="shared" si="468"/>
        <v>0</v>
      </c>
      <c r="Q416" s="76">
        <f t="shared" si="468"/>
        <v>0</v>
      </c>
      <c r="R416" s="76">
        <f t="shared" si="468"/>
        <v>0</v>
      </c>
      <c r="S416" s="76">
        <f t="shared" si="468"/>
        <v>0</v>
      </c>
      <c r="T416" s="76">
        <f t="shared" si="468"/>
        <v>0</v>
      </c>
      <c r="U416" s="76">
        <f t="shared" si="468"/>
        <v>0</v>
      </c>
      <c r="V416" s="76">
        <f t="shared" si="468"/>
        <v>0</v>
      </c>
      <c r="W416" s="76">
        <f t="shared" si="468"/>
        <v>0</v>
      </c>
      <c r="X416" s="76">
        <f t="shared" si="468"/>
        <v>0</v>
      </c>
      <c r="Y416" s="76">
        <f t="shared" si="468"/>
        <v>0</v>
      </c>
      <c r="Z416" s="76">
        <f t="shared" si="468"/>
        <v>0</v>
      </c>
      <c r="AA416" s="76">
        <f t="shared" si="468"/>
        <v>0</v>
      </c>
      <c r="AB416" s="76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</row>
    <row r="417" spans="1:50" ht="15.75" x14ac:dyDescent="0.25">
      <c r="A417" s="81">
        <f>F$9</f>
        <v>3</v>
      </c>
      <c r="B417" s="25">
        <v>20</v>
      </c>
      <c r="C417" s="59">
        <f t="shared" si="467"/>
        <v>210</v>
      </c>
      <c r="D417" s="3"/>
      <c r="E417" s="3"/>
      <c r="F417" s="76">
        <f t="shared" ref="F417:AA417" si="469">IF($B417&lt;D$1,0,((($B417-C$315)/$C417)*$E$45))</f>
        <v>0</v>
      </c>
      <c r="G417" s="76">
        <f t="shared" si="469"/>
        <v>0</v>
      </c>
      <c r="H417" s="76">
        <f t="shared" si="469"/>
        <v>0</v>
      </c>
      <c r="I417" s="76">
        <f t="shared" si="469"/>
        <v>0</v>
      </c>
      <c r="J417" s="76">
        <f t="shared" si="469"/>
        <v>0</v>
      </c>
      <c r="K417" s="76">
        <f t="shared" si="469"/>
        <v>0</v>
      </c>
      <c r="L417" s="76">
        <f t="shared" si="469"/>
        <v>0</v>
      </c>
      <c r="M417" s="76">
        <f t="shared" si="469"/>
        <v>0</v>
      </c>
      <c r="N417" s="76">
        <f t="shared" si="469"/>
        <v>0</v>
      </c>
      <c r="O417" s="76">
        <f t="shared" si="469"/>
        <v>0</v>
      </c>
      <c r="P417" s="76">
        <f t="shared" si="469"/>
        <v>0</v>
      </c>
      <c r="Q417" s="76">
        <f t="shared" si="469"/>
        <v>0</v>
      </c>
      <c r="R417" s="76">
        <f t="shared" si="469"/>
        <v>0</v>
      </c>
      <c r="S417" s="76">
        <f t="shared" si="469"/>
        <v>0</v>
      </c>
      <c r="T417" s="76">
        <f t="shared" si="469"/>
        <v>0</v>
      </c>
      <c r="U417" s="76">
        <f t="shared" si="469"/>
        <v>0</v>
      </c>
      <c r="V417" s="76">
        <f t="shared" si="469"/>
        <v>0</v>
      </c>
      <c r="W417" s="76">
        <f t="shared" si="469"/>
        <v>0</v>
      </c>
      <c r="X417" s="76">
        <f t="shared" si="469"/>
        <v>0</v>
      </c>
      <c r="Y417" s="76">
        <f t="shared" si="469"/>
        <v>0</v>
      </c>
      <c r="Z417" s="76">
        <f t="shared" si="469"/>
        <v>0</v>
      </c>
      <c r="AA417" s="76">
        <f t="shared" si="469"/>
        <v>0</v>
      </c>
      <c r="AB417" s="76"/>
      <c r="AC417" s="76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</row>
    <row r="418" spans="1:50" ht="15.75" x14ac:dyDescent="0.25">
      <c r="A418" s="81">
        <f>G$9</f>
        <v>4</v>
      </c>
      <c r="B418" s="25">
        <v>20</v>
      </c>
      <c r="C418" s="59">
        <f t="shared" si="467"/>
        <v>210</v>
      </c>
      <c r="D418" s="3"/>
      <c r="E418" s="3"/>
      <c r="F418" s="3"/>
      <c r="G418" s="76">
        <f t="shared" ref="G418:AA418" si="470">IF($B418&lt;D$1,0,((($B418-C$315)/$C418)*$F$45))</f>
        <v>0</v>
      </c>
      <c r="H418" s="76">
        <f t="shared" si="470"/>
        <v>0</v>
      </c>
      <c r="I418" s="76">
        <f t="shared" si="470"/>
        <v>0</v>
      </c>
      <c r="J418" s="76">
        <f t="shared" si="470"/>
        <v>0</v>
      </c>
      <c r="K418" s="76">
        <f t="shared" si="470"/>
        <v>0</v>
      </c>
      <c r="L418" s="76">
        <f t="shared" si="470"/>
        <v>0</v>
      </c>
      <c r="M418" s="76">
        <f t="shared" si="470"/>
        <v>0</v>
      </c>
      <c r="N418" s="76">
        <f t="shared" si="470"/>
        <v>0</v>
      </c>
      <c r="O418" s="76">
        <f t="shared" si="470"/>
        <v>0</v>
      </c>
      <c r="P418" s="76">
        <f t="shared" si="470"/>
        <v>0</v>
      </c>
      <c r="Q418" s="76">
        <f t="shared" si="470"/>
        <v>0</v>
      </c>
      <c r="R418" s="76">
        <f t="shared" si="470"/>
        <v>0</v>
      </c>
      <c r="S418" s="76">
        <f t="shared" si="470"/>
        <v>0</v>
      </c>
      <c r="T418" s="76">
        <f t="shared" si="470"/>
        <v>0</v>
      </c>
      <c r="U418" s="76">
        <f t="shared" si="470"/>
        <v>0</v>
      </c>
      <c r="V418" s="76">
        <f t="shared" si="470"/>
        <v>0</v>
      </c>
      <c r="W418" s="76">
        <f t="shared" si="470"/>
        <v>0</v>
      </c>
      <c r="X418" s="76">
        <f t="shared" si="470"/>
        <v>0</v>
      </c>
      <c r="Y418" s="76">
        <f t="shared" si="470"/>
        <v>0</v>
      </c>
      <c r="Z418" s="76">
        <f t="shared" si="470"/>
        <v>0</v>
      </c>
      <c r="AA418" s="76">
        <f t="shared" si="470"/>
        <v>0</v>
      </c>
      <c r="AB418" s="76"/>
      <c r="AC418" s="76"/>
      <c r="AD418" s="76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</row>
    <row r="419" spans="1:50" ht="15.75" x14ac:dyDescent="0.25">
      <c r="A419" s="81">
        <f>H$9</f>
        <v>5</v>
      </c>
      <c r="B419" s="25">
        <v>20</v>
      </c>
      <c r="C419" s="59">
        <f t="shared" si="467"/>
        <v>210</v>
      </c>
      <c r="D419" s="3"/>
      <c r="E419" s="3"/>
      <c r="F419" s="3"/>
      <c r="G419" s="3"/>
      <c r="H419" s="76">
        <f t="shared" ref="H419:AA419" si="471">IF($B419&lt;D$1,0,((($B419-C$315)/$C419)*$G$45))</f>
        <v>0</v>
      </c>
      <c r="I419" s="76">
        <f t="shared" si="471"/>
        <v>0</v>
      </c>
      <c r="J419" s="76">
        <f t="shared" si="471"/>
        <v>0</v>
      </c>
      <c r="K419" s="76">
        <f t="shared" si="471"/>
        <v>0</v>
      </c>
      <c r="L419" s="76">
        <f t="shared" si="471"/>
        <v>0</v>
      </c>
      <c r="M419" s="76">
        <f t="shared" si="471"/>
        <v>0</v>
      </c>
      <c r="N419" s="76">
        <f t="shared" si="471"/>
        <v>0</v>
      </c>
      <c r="O419" s="76">
        <f t="shared" si="471"/>
        <v>0</v>
      </c>
      <c r="P419" s="76">
        <f t="shared" si="471"/>
        <v>0</v>
      </c>
      <c r="Q419" s="76">
        <f t="shared" si="471"/>
        <v>0</v>
      </c>
      <c r="R419" s="76">
        <f t="shared" si="471"/>
        <v>0</v>
      </c>
      <c r="S419" s="76">
        <f t="shared" si="471"/>
        <v>0</v>
      </c>
      <c r="T419" s="76">
        <f t="shared" si="471"/>
        <v>0</v>
      </c>
      <c r="U419" s="76">
        <f t="shared" si="471"/>
        <v>0</v>
      </c>
      <c r="V419" s="76">
        <f t="shared" si="471"/>
        <v>0</v>
      </c>
      <c r="W419" s="76">
        <f t="shared" si="471"/>
        <v>0</v>
      </c>
      <c r="X419" s="76">
        <f t="shared" si="471"/>
        <v>0</v>
      </c>
      <c r="Y419" s="76">
        <f t="shared" si="471"/>
        <v>0</v>
      </c>
      <c r="Z419" s="76">
        <f t="shared" si="471"/>
        <v>0</v>
      </c>
      <c r="AA419" s="76">
        <f t="shared" si="471"/>
        <v>0</v>
      </c>
      <c r="AB419" s="76"/>
      <c r="AC419" s="76"/>
      <c r="AD419" s="76"/>
      <c r="AE419" s="76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</row>
    <row r="420" spans="1:50" ht="15.75" x14ac:dyDescent="0.25">
      <c r="A420" s="81">
        <f>I$9</f>
        <v>6</v>
      </c>
      <c r="B420" s="25">
        <v>20</v>
      </c>
      <c r="C420" s="59">
        <f t="shared" si="467"/>
        <v>210</v>
      </c>
      <c r="D420" s="3"/>
      <c r="E420" s="3"/>
      <c r="F420" s="3"/>
      <c r="G420" s="3"/>
      <c r="H420" s="3"/>
      <c r="I420" s="76">
        <f t="shared" ref="I420:AA420" si="472">IF($B420&lt;D$1,0,((($B420-C$315)/$C420)*$H$45))</f>
        <v>0</v>
      </c>
      <c r="J420" s="76">
        <f t="shared" si="472"/>
        <v>0</v>
      </c>
      <c r="K420" s="76">
        <f t="shared" si="472"/>
        <v>0</v>
      </c>
      <c r="L420" s="76">
        <f t="shared" si="472"/>
        <v>0</v>
      </c>
      <c r="M420" s="76">
        <f t="shared" si="472"/>
        <v>0</v>
      </c>
      <c r="N420" s="76">
        <f t="shared" si="472"/>
        <v>0</v>
      </c>
      <c r="O420" s="76">
        <f t="shared" si="472"/>
        <v>0</v>
      </c>
      <c r="P420" s="76">
        <f t="shared" si="472"/>
        <v>0</v>
      </c>
      <c r="Q420" s="76">
        <f t="shared" si="472"/>
        <v>0</v>
      </c>
      <c r="R420" s="76">
        <f t="shared" si="472"/>
        <v>0</v>
      </c>
      <c r="S420" s="76">
        <f t="shared" si="472"/>
        <v>0</v>
      </c>
      <c r="T420" s="76">
        <f t="shared" si="472"/>
        <v>0</v>
      </c>
      <c r="U420" s="76">
        <f t="shared" si="472"/>
        <v>0</v>
      </c>
      <c r="V420" s="76">
        <f t="shared" si="472"/>
        <v>0</v>
      </c>
      <c r="W420" s="76">
        <f t="shared" si="472"/>
        <v>0</v>
      </c>
      <c r="X420" s="76">
        <f t="shared" si="472"/>
        <v>0</v>
      </c>
      <c r="Y420" s="76">
        <f t="shared" si="472"/>
        <v>0</v>
      </c>
      <c r="Z420" s="76">
        <f t="shared" si="472"/>
        <v>0</v>
      </c>
      <c r="AA420" s="76">
        <f t="shared" si="472"/>
        <v>0</v>
      </c>
      <c r="AB420" s="76"/>
      <c r="AC420" s="76"/>
      <c r="AD420" s="76"/>
      <c r="AE420" s="76"/>
      <c r="AF420" s="76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</row>
    <row r="421" spans="1:50" ht="15.75" x14ac:dyDescent="0.25">
      <c r="A421" s="81">
        <f>J$9</f>
        <v>7</v>
      </c>
      <c r="B421" s="25">
        <v>20</v>
      </c>
      <c r="C421" s="59">
        <f t="shared" si="467"/>
        <v>210</v>
      </c>
      <c r="D421" s="3"/>
      <c r="E421" s="3"/>
      <c r="F421" s="3"/>
      <c r="G421" s="3"/>
      <c r="H421" s="3"/>
      <c r="I421" s="3"/>
      <c r="J421" s="76">
        <f t="shared" ref="J421:AA421" si="473">IF($B421&lt;D$1,0,((($B421-C$315)/$C421)*$I$45))</f>
        <v>0</v>
      </c>
      <c r="K421" s="76">
        <f t="shared" si="473"/>
        <v>0</v>
      </c>
      <c r="L421" s="76">
        <f t="shared" si="473"/>
        <v>0</v>
      </c>
      <c r="M421" s="76">
        <f t="shared" si="473"/>
        <v>0</v>
      </c>
      <c r="N421" s="76">
        <f t="shared" si="473"/>
        <v>0</v>
      </c>
      <c r="O421" s="76">
        <f t="shared" si="473"/>
        <v>0</v>
      </c>
      <c r="P421" s="76">
        <f t="shared" si="473"/>
        <v>0</v>
      </c>
      <c r="Q421" s="76">
        <f t="shared" si="473"/>
        <v>0</v>
      </c>
      <c r="R421" s="76">
        <f t="shared" si="473"/>
        <v>0</v>
      </c>
      <c r="S421" s="76">
        <f t="shared" si="473"/>
        <v>0</v>
      </c>
      <c r="T421" s="76">
        <f t="shared" si="473"/>
        <v>0</v>
      </c>
      <c r="U421" s="76">
        <f t="shared" si="473"/>
        <v>0</v>
      </c>
      <c r="V421" s="76">
        <f t="shared" si="473"/>
        <v>0</v>
      </c>
      <c r="W421" s="76">
        <f t="shared" si="473"/>
        <v>0</v>
      </c>
      <c r="X421" s="76">
        <f t="shared" si="473"/>
        <v>0</v>
      </c>
      <c r="Y421" s="76">
        <f t="shared" si="473"/>
        <v>0</v>
      </c>
      <c r="Z421" s="76">
        <f t="shared" si="473"/>
        <v>0</v>
      </c>
      <c r="AA421" s="76">
        <f t="shared" si="473"/>
        <v>0</v>
      </c>
      <c r="AB421" s="76"/>
      <c r="AC421" s="76"/>
      <c r="AD421" s="76"/>
      <c r="AE421" s="76"/>
      <c r="AF421" s="76"/>
      <c r="AG421" s="76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</row>
    <row r="422" spans="1:50" ht="15.75" x14ac:dyDescent="0.25">
      <c r="A422" s="81">
        <f>K$9</f>
        <v>8</v>
      </c>
      <c r="B422" s="25">
        <v>20</v>
      </c>
      <c r="C422" s="59">
        <f t="shared" si="467"/>
        <v>210</v>
      </c>
      <c r="D422" s="3"/>
      <c r="E422" s="3"/>
      <c r="F422" s="3"/>
      <c r="G422" s="3"/>
      <c r="H422" s="3"/>
      <c r="I422" s="3"/>
      <c r="J422" s="3"/>
      <c r="K422" s="76">
        <f t="shared" ref="K422:AA422" si="474">IF($B422&lt;D$1,0,((($B422-C$315)/$C422)*$J$45))</f>
        <v>0</v>
      </c>
      <c r="L422" s="76">
        <f t="shared" si="474"/>
        <v>0</v>
      </c>
      <c r="M422" s="76">
        <f t="shared" si="474"/>
        <v>0</v>
      </c>
      <c r="N422" s="76">
        <f t="shared" si="474"/>
        <v>0</v>
      </c>
      <c r="O422" s="76">
        <f t="shared" si="474"/>
        <v>0</v>
      </c>
      <c r="P422" s="76">
        <f t="shared" si="474"/>
        <v>0</v>
      </c>
      <c r="Q422" s="76">
        <f t="shared" si="474"/>
        <v>0</v>
      </c>
      <c r="R422" s="76">
        <f t="shared" si="474"/>
        <v>0</v>
      </c>
      <c r="S422" s="76">
        <f t="shared" si="474"/>
        <v>0</v>
      </c>
      <c r="T422" s="76">
        <f t="shared" si="474"/>
        <v>0</v>
      </c>
      <c r="U422" s="76">
        <f t="shared" si="474"/>
        <v>0</v>
      </c>
      <c r="V422" s="76">
        <f t="shared" si="474"/>
        <v>0</v>
      </c>
      <c r="W422" s="76">
        <f t="shared" si="474"/>
        <v>0</v>
      </c>
      <c r="X422" s="76">
        <f t="shared" si="474"/>
        <v>0</v>
      </c>
      <c r="Y422" s="76">
        <f t="shared" si="474"/>
        <v>0</v>
      </c>
      <c r="Z422" s="76">
        <f t="shared" si="474"/>
        <v>0</v>
      </c>
      <c r="AA422" s="76">
        <f t="shared" si="474"/>
        <v>0</v>
      </c>
      <c r="AB422" s="76"/>
      <c r="AC422" s="76"/>
      <c r="AD422" s="76"/>
      <c r="AE422" s="76"/>
      <c r="AF422" s="76"/>
      <c r="AG422" s="76"/>
      <c r="AH422" s="76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</row>
    <row r="423" spans="1:50" ht="15.75" x14ac:dyDescent="0.25">
      <c r="A423" s="81">
        <f>L$9</f>
        <v>9</v>
      </c>
      <c r="B423" s="25">
        <v>20</v>
      </c>
      <c r="C423" s="59">
        <f t="shared" si="467"/>
        <v>210</v>
      </c>
      <c r="D423" s="3"/>
      <c r="E423" s="3"/>
      <c r="F423" s="3"/>
      <c r="G423" s="3"/>
      <c r="H423" s="3"/>
      <c r="I423" s="3"/>
      <c r="J423" s="3"/>
      <c r="K423" s="3"/>
      <c r="L423" s="76">
        <f t="shared" ref="L423:AA423" si="475">IF($B423&lt;D$1,0,((($B423-C$315)/$C423)*$K$45))</f>
        <v>0</v>
      </c>
      <c r="M423" s="76">
        <f t="shared" si="475"/>
        <v>0</v>
      </c>
      <c r="N423" s="76">
        <f t="shared" si="475"/>
        <v>0</v>
      </c>
      <c r="O423" s="76">
        <f t="shared" si="475"/>
        <v>0</v>
      </c>
      <c r="P423" s="76">
        <f t="shared" si="475"/>
        <v>0</v>
      </c>
      <c r="Q423" s="76">
        <f t="shared" si="475"/>
        <v>0</v>
      </c>
      <c r="R423" s="76">
        <f t="shared" si="475"/>
        <v>0</v>
      </c>
      <c r="S423" s="76">
        <f t="shared" si="475"/>
        <v>0</v>
      </c>
      <c r="T423" s="76">
        <f t="shared" si="475"/>
        <v>0</v>
      </c>
      <c r="U423" s="76">
        <f t="shared" si="475"/>
        <v>0</v>
      </c>
      <c r="V423" s="76">
        <f t="shared" si="475"/>
        <v>0</v>
      </c>
      <c r="W423" s="76">
        <f t="shared" si="475"/>
        <v>0</v>
      </c>
      <c r="X423" s="76">
        <f t="shared" si="475"/>
        <v>0</v>
      </c>
      <c r="Y423" s="76">
        <f t="shared" si="475"/>
        <v>0</v>
      </c>
      <c r="Z423" s="76">
        <f t="shared" si="475"/>
        <v>0</v>
      </c>
      <c r="AA423" s="76">
        <f t="shared" si="475"/>
        <v>0</v>
      </c>
      <c r="AB423" s="76"/>
      <c r="AC423" s="76"/>
      <c r="AD423" s="76"/>
      <c r="AE423" s="76"/>
      <c r="AF423" s="76"/>
      <c r="AG423" s="76"/>
      <c r="AH423" s="76"/>
      <c r="AI423" s="76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</row>
    <row r="424" spans="1:50" ht="15.75" x14ac:dyDescent="0.25">
      <c r="A424" s="81">
        <f>M$9</f>
        <v>10</v>
      </c>
      <c r="B424" s="25">
        <v>20</v>
      </c>
      <c r="C424" s="59">
        <f t="shared" si="467"/>
        <v>210</v>
      </c>
      <c r="D424" s="3"/>
      <c r="E424" s="3"/>
      <c r="F424" s="3"/>
      <c r="G424" s="3"/>
      <c r="H424" s="3"/>
      <c r="I424" s="3"/>
      <c r="J424" s="3"/>
      <c r="K424" s="3"/>
      <c r="L424" s="3"/>
      <c r="M424" s="76">
        <f t="shared" ref="M424:AA424" si="476">IF($B424&lt;D$1,0,((($B424-C$315)/$C424)*$L$45))</f>
        <v>0</v>
      </c>
      <c r="N424" s="76">
        <f t="shared" si="476"/>
        <v>0</v>
      </c>
      <c r="O424" s="76">
        <f t="shared" si="476"/>
        <v>0</v>
      </c>
      <c r="P424" s="76">
        <f t="shared" si="476"/>
        <v>0</v>
      </c>
      <c r="Q424" s="76">
        <f t="shared" si="476"/>
        <v>0</v>
      </c>
      <c r="R424" s="76">
        <f t="shared" si="476"/>
        <v>0</v>
      </c>
      <c r="S424" s="76">
        <f t="shared" si="476"/>
        <v>0</v>
      </c>
      <c r="T424" s="76">
        <f t="shared" si="476"/>
        <v>0</v>
      </c>
      <c r="U424" s="76">
        <f t="shared" si="476"/>
        <v>0</v>
      </c>
      <c r="V424" s="76">
        <f t="shared" si="476"/>
        <v>0</v>
      </c>
      <c r="W424" s="76">
        <f t="shared" si="476"/>
        <v>0</v>
      </c>
      <c r="X424" s="76">
        <f t="shared" si="476"/>
        <v>0</v>
      </c>
      <c r="Y424" s="76">
        <f t="shared" si="476"/>
        <v>0</v>
      </c>
      <c r="Z424" s="76">
        <f t="shared" si="476"/>
        <v>0</v>
      </c>
      <c r="AA424" s="76">
        <f t="shared" si="476"/>
        <v>0</v>
      </c>
      <c r="AB424" s="76"/>
      <c r="AC424" s="76"/>
      <c r="AD424" s="76"/>
      <c r="AE424" s="76"/>
      <c r="AF424" s="76"/>
      <c r="AG424" s="76"/>
      <c r="AH424" s="76"/>
      <c r="AI424" s="76"/>
      <c r="AJ424" s="76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</row>
    <row r="425" spans="1:50" ht="15.75" x14ac:dyDescent="0.25">
      <c r="A425" s="81">
        <v>11</v>
      </c>
      <c r="B425" s="25">
        <v>20</v>
      </c>
      <c r="C425" s="59">
        <f>(B425*(B425+1))/2</f>
        <v>210</v>
      </c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76">
        <f t="shared" ref="N425:AA425" si="477">IF($B425&lt;D$1,0,((($B425-C$315)/$C425)*$M$45))</f>
        <v>0</v>
      </c>
      <c r="O425" s="76">
        <f t="shared" si="477"/>
        <v>0</v>
      </c>
      <c r="P425" s="76">
        <f t="shared" si="477"/>
        <v>0</v>
      </c>
      <c r="Q425" s="76">
        <f t="shared" si="477"/>
        <v>0</v>
      </c>
      <c r="R425" s="76">
        <f t="shared" si="477"/>
        <v>0</v>
      </c>
      <c r="S425" s="76">
        <f t="shared" si="477"/>
        <v>0</v>
      </c>
      <c r="T425" s="76">
        <f t="shared" si="477"/>
        <v>0</v>
      </c>
      <c r="U425" s="76">
        <f t="shared" si="477"/>
        <v>0</v>
      </c>
      <c r="V425" s="76">
        <f t="shared" si="477"/>
        <v>0</v>
      </c>
      <c r="W425" s="76">
        <f t="shared" si="477"/>
        <v>0</v>
      </c>
      <c r="X425" s="76">
        <f t="shared" si="477"/>
        <v>0</v>
      </c>
      <c r="Y425" s="76">
        <f t="shared" si="477"/>
        <v>0</v>
      </c>
      <c r="Z425" s="76">
        <f t="shared" si="477"/>
        <v>0</v>
      </c>
      <c r="AA425" s="76">
        <f t="shared" si="477"/>
        <v>0</v>
      </c>
      <c r="AB425" s="76"/>
      <c r="AC425" s="76"/>
      <c r="AD425" s="76"/>
      <c r="AE425" s="76"/>
      <c r="AF425" s="76"/>
      <c r="AG425" s="76"/>
      <c r="AH425" s="76"/>
      <c r="AI425" s="76"/>
      <c r="AJ425" s="76"/>
      <c r="AK425" s="76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</row>
    <row r="426" spans="1:50" ht="15.75" x14ac:dyDescent="0.25">
      <c r="A426" s="81">
        <v>12</v>
      </c>
      <c r="B426" s="25">
        <v>20</v>
      </c>
      <c r="C426" s="59">
        <f t="shared" ref="C426:C438" si="478">(B426*(B426+1))/2</f>
        <v>210</v>
      </c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76">
        <f t="shared" ref="O426:AA426" si="479">IF($B426&lt;D$1,0,((($B426-C$315)/$C426)*$N$45))</f>
        <v>0</v>
      </c>
      <c r="P426" s="76">
        <f t="shared" si="479"/>
        <v>0</v>
      </c>
      <c r="Q426" s="76">
        <f t="shared" si="479"/>
        <v>0</v>
      </c>
      <c r="R426" s="76">
        <f t="shared" si="479"/>
        <v>0</v>
      </c>
      <c r="S426" s="76">
        <f t="shared" si="479"/>
        <v>0</v>
      </c>
      <c r="T426" s="76">
        <f t="shared" si="479"/>
        <v>0</v>
      </c>
      <c r="U426" s="76">
        <f t="shared" si="479"/>
        <v>0</v>
      </c>
      <c r="V426" s="76">
        <f t="shared" si="479"/>
        <v>0</v>
      </c>
      <c r="W426" s="76">
        <f t="shared" si="479"/>
        <v>0</v>
      </c>
      <c r="X426" s="76">
        <f t="shared" si="479"/>
        <v>0</v>
      </c>
      <c r="Y426" s="76">
        <f t="shared" si="479"/>
        <v>0</v>
      </c>
      <c r="Z426" s="76">
        <f t="shared" si="479"/>
        <v>0</v>
      </c>
      <c r="AA426" s="76">
        <f t="shared" si="479"/>
        <v>0</v>
      </c>
      <c r="AB426" s="76"/>
      <c r="AC426" s="76"/>
      <c r="AD426" s="76"/>
      <c r="AE426" s="76"/>
      <c r="AF426" s="76"/>
      <c r="AG426" s="76"/>
      <c r="AH426" s="76"/>
      <c r="AI426" s="76"/>
      <c r="AJ426" s="76"/>
      <c r="AK426" s="76"/>
      <c r="AL426" s="76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</row>
    <row r="427" spans="1:50" ht="15.75" x14ac:dyDescent="0.25">
      <c r="A427" s="81">
        <v>13</v>
      </c>
      <c r="B427" s="25">
        <v>20</v>
      </c>
      <c r="C427" s="59">
        <f t="shared" si="478"/>
        <v>210</v>
      </c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76">
        <f t="shared" ref="P427:AA427" si="480">IF($B427&lt;D$1,0,((($B427-C$315)/$C427)*$O$45))</f>
        <v>0</v>
      </c>
      <c r="Q427" s="76">
        <f t="shared" si="480"/>
        <v>0</v>
      </c>
      <c r="R427" s="76">
        <f t="shared" si="480"/>
        <v>0</v>
      </c>
      <c r="S427" s="76">
        <f t="shared" si="480"/>
        <v>0</v>
      </c>
      <c r="T427" s="76">
        <f t="shared" si="480"/>
        <v>0</v>
      </c>
      <c r="U427" s="76">
        <f t="shared" si="480"/>
        <v>0</v>
      </c>
      <c r="V427" s="76">
        <f t="shared" si="480"/>
        <v>0</v>
      </c>
      <c r="W427" s="76">
        <f t="shared" si="480"/>
        <v>0</v>
      </c>
      <c r="X427" s="76">
        <f t="shared" si="480"/>
        <v>0</v>
      </c>
      <c r="Y427" s="76">
        <f t="shared" si="480"/>
        <v>0</v>
      </c>
      <c r="Z427" s="76">
        <f t="shared" si="480"/>
        <v>0</v>
      </c>
      <c r="AA427" s="76">
        <f t="shared" si="480"/>
        <v>0</v>
      </c>
      <c r="AB427" s="76"/>
      <c r="AC427" s="76"/>
      <c r="AD427" s="76"/>
      <c r="AE427" s="76"/>
      <c r="AF427" s="76"/>
      <c r="AG427" s="76"/>
      <c r="AH427" s="76"/>
      <c r="AI427" s="76"/>
      <c r="AJ427" s="76"/>
      <c r="AK427" s="76"/>
      <c r="AL427" s="76"/>
      <c r="AM427" s="76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</row>
    <row r="428" spans="1:50" ht="15.75" x14ac:dyDescent="0.25">
      <c r="A428" s="81">
        <v>14</v>
      </c>
      <c r="B428" s="25">
        <v>20</v>
      </c>
      <c r="C428" s="59">
        <f t="shared" si="478"/>
        <v>210</v>
      </c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76">
        <f t="shared" ref="Q428:AA428" si="481">IF($B428&lt;D$1,0,((($B428-C$315)/$C428)*$P$45))</f>
        <v>0</v>
      </c>
      <c r="R428" s="76">
        <f t="shared" si="481"/>
        <v>0</v>
      </c>
      <c r="S428" s="76">
        <f t="shared" si="481"/>
        <v>0</v>
      </c>
      <c r="T428" s="76">
        <f t="shared" si="481"/>
        <v>0</v>
      </c>
      <c r="U428" s="76">
        <f t="shared" si="481"/>
        <v>0</v>
      </c>
      <c r="V428" s="76">
        <f t="shared" si="481"/>
        <v>0</v>
      </c>
      <c r="W428" s="76">
        <f t="shared" si="481"/>
        <v>0</v>
      </c>
      <c r="X428" s="76">
        <f t="shared" si="481"/>
        <v>0</v>
      </c>
      <c r="Y428" s="76">
        <f t="shared" si="481"/>
        <v>0</v>
      </c>
      <c r="Z428" s="76">
        <f t="shared" si="481"/>
        <v>0</v>
      </c>
      <c r="AA428" s="76">
        <f t="shared" si="481"/>
        <v>0</v>
      </c>
      <c r="AB428" s="76"/>
      <c r="AC428" s="76"/>
      <c r="AD428" s="76"/>
      <c r="AE428" s="76"/>
      <c r="AF428" s="76"/>
      <c r="AG428" s="76"/>
      <c r="AH428" s="76"/>
      <c r="AI428" s="76"/>
      <c r="AJ428" s="76"/>
      <c r="AK428" s="76"/>
      <c r="AL428" s="76"/>
      <c r="AM428" s="76"/>
      <c r="AN428" s="76"/>
      <c r="AO428" s="3"/>
      <c r="AP428" s="3"/>
      <c r="AQ428" s="3"/>
      <c r="AR428" s="3"/>
      <c r="AS428" s="3"/>
      <c r="AT428" s="3"/>
      <c r="AU428" s="3"/>
      <c r="AV428" s="3"/>
      <c r="AW428" s="3"/>
      <c r="AX428" s="3"/>
    </row>
    <row r="429" spans="1:50" ht="15.75" x14ac:dyDescent="0.25">
      <c r="A429" s="81">
        <v>15</v>
      </c>
      <c r="B429" s="25">
        <v>20</v>
      </c>
      <c r="C429" s="59">
        <f t="shared" si="478"/>
        <v>210</v>
      </c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76">
        <f t="shared" ref="R429:AA429" si="482">IF($B429&lt;D$1,0,((($B429-C$315)/$C429)*$Q$45))</f>
        <v>0</v>
      </c>
      <c r="S429" s="76">
        <f t="shared" si="482"/>
        <v>0</v>
      </c>
      <c r="T429" s="76">
        <f t="shared" si="482"/>
        <v>0</v>
      </c>
      <c r="U429" s="76">
        <f t="shared" si="482"/>
        <v>0</v>
      </c>
      <c r="V429" s="76">
        <f t="shared" si="482"/>
        <v>0</v>
      </c>
      <c r="W429" s="76">
        <f t="shared" si="482"/>
        <v>0</v>
      </c>
      <c r="X429" s="76">
        <f t="shared" si="482"/>
        <v>0</v>
      </c>
      <c r="Y429" s="76">
        <f t="shared" si="482"/>
        <v>0</v>
      </c>
      <c r="Z429" s="76">
        <f t="shared" si="482"/>
        <v>0</v>
      </c>
      <c r="AA429" s="76">
        <f t="shared" si="482"/>
        <v>0</v>
      </c>
      <c r="AB429" s="76"/>
      <c r="AC429" s="76"/>
      <c r="AD429" s="76"/>
      <c r="AE429" s="76"/>
      <c r="AF429" s="76"/>
      <c r="AG429" s="76"/>
      <c r="AH429" s="76"/>
      <c r="AI429" s="76"/>
      <c r="AJ429" s="76"/>
      <c r="AK429" s="76"/>
      <c r="AL429" s="76"/>
      <c r="AM429" s="76"/>
      <c r="AN429" s="76"/>
      <c r="AO429" s="76"/>
      <c r="AP429" s="3"/>
      <c r="AQ429" s="3"/>
      <c r="AR429" s="3"/>
      <c r="AS429" s="3"/>
      <c r="AT429" s="3"/>
      <c r="AU429" s="3"/>
      <c r="AV429" s="3"/>
      <c r="AW429" s="3"/>
      <c r="AX429" s="3"/>
    </row>
    <row r="430" spans="1:50" ht="15.75" x14ac:dyDescent="0.25">
      <c r="A430" s="81">
        <v>16</v>
      </c>
      <c r="B430" s="25">
        <v>20</v>
      </c>
      <c r="C430" s="59">
        <f t="shared" si="478"/>
        <v>210</v>
      </c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76">
        <f t="shared" ref="S430:AA430" si="483">IF($B430&lt;D$1,0,((($B430-C$315)/$C430)*$R$45))</f>
        <v>0</v>
      </c>
      <c r="T430" s="76">
        <f t="shared" si="483"/>
        <v>0</v>
      </c>
      <c r="U430" s="76">
        <f t="shared" si="483"/>
        <v>0</v>
      </c>
      <c r="V430" s="76">
        <f t="shared" si="483"/>
        <v>0</v>
      </c>
      <c r="W430" s="76">
        <f t="shared" si="483"/>
        <v>0</v>
      </c>
      <c r="X430" s="76">
        <f t="shared" si="483"/>
        <v>0</v>
      </c>
      <c r="Y430" s="76">
        <f t="shared" si="483"/>
        <v>0</v>
      </c>
      <c r="Z430" s="76">
        <f t="shared" si="483"/>
        <v>0</v>
      </c>
      <c r="AA430" s="76">
        <f t="shared" si="483"/>
        <v>0</v>
      </c>
      <c r="AB430" s="76"/>
      <c r="AC430" s="76"/>
      <c r="AD430" s="76"/>
      <c r="AE430" s="76"/>
      <c r="AF430" s="76"/>
      <c r="AG430" s="76"/>
      <c r="AH430" s="76"/>
      <c r="AI430" s="76"/>
      <c r="AJ430" s="76"/>
      <c r="AK430" s="76"/>
      <c r="AL430" s="76"/>
      <c r="AM430" s="76"/>
      <c r="AN430" s="76"/>
      <c r="AO430" s="76"/>
      <c r="AP430" s="76"/>
      <c r="AQ430" s="3"/>
      <c r="AR430" s="3"/>
      <c r="AS430" s="3"/>
      <c r="AT430" s="3"/>
      <c r="AU430" s="3"/>
      <c r="AV430" s="3"/>
      <c r="AW430" s="3"/>
      <c r="AX430" s="3"/>
    </row>
    <row r="431" spans="1:50" ht="15.75" x14ac:dyDescent="0.25">
      <c r="A431" s="81">
        <v>17</v>
      </c>
      <c r="B431" s="25">
        <v>20</v>
      </c>
      <c r="C431" s="59">
        <f t="shared" si="478"/>
        <v>210</v>
      </c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76">
        <f t="shared" ref="T431:AA431" si="484">IF($B431&lt;D$1,0,((($B431-C$315)/$C431)*$S$45))</f>
        <v>0</v>
      </c>
      <c r="U431" s="76">
        <f t="shared" si="484"/>
        <v>0</v>
      </c>
      <c r="V431" s="76">
        <f t="shared" si="484"/>
        <v>0</v>
      </c>
      <c r="W431" s="76">
        <f t="shared" si="484"/>
        <v>0</v>
      </c>
      <c r="X431" s="76">
        <f t="shared" si="484"/>
        <v>0</v>
      </c>
      <c r="Y431" s="76">
        <f t="shared" si="484"/>
        <v>0</v>
      </c>
      <c r="Z431" s="76">
        <f t="shared" si="484"/>
        <v>0</v>
      </c>
      <c r="AA431" s="76">
        <f t="shared" si="484"/>
        <v>0</v>
      </c>
      <c r="AB431" s="76"/>
      <c r="AC431" s="76"/>
      <c r="AD431" s="76"/>
      <c r="AE431" s="76"/>
      <c r="AF431" s="76"/>
      <c r="AG431" s="76"/>
      <c r="AH431" s="76"/>
      <c r="AI431" s="76"/>
      <c r="AJ431" s="76"/>
      <c r="AK431" s="76"/>
      <c r="AL431" s="76"/>
      <c r="AM431" s="76"/>
      <c r="AN431" s="76"/>
      <c r="AO431" s="76"/>
      <c r="AP431" s="76"/>
      <c r="AQ431" s="76"/>
      <c r="AR431" s="3"/>
      <c r="AS431" s="3"/>
      <c r="AT431" s="3"/>
      <c r="AU431" s="3"/>
      <c r="AV431" s="3"/>
      <c r="AW431" s="3"/>
      <c r="AX431" s="3"/>
    </row>
    <row r="432" spans="1:50" ht="15.75" x14ac:dyDescent="0.25">
      <c r="A432" s="81">
        <v>18</v>
      </c>
      <c r="B432" s="25">
        <v>20</v>
      </c>
      <c r="C432" s="59">
        <f t="shared" si="478"/>
        <v>210</v>
      </c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76">
        <f t="shared" ref="U432:AA432" si="485">IF($B432&lt;D$1,0,((($B432-C$315)/$C432)*$T$45))</f>
        <v>0</v>
      </c>
      <c r="V432" s="76">
        <f t="shared" si="485"/>
        <v>0</v>
      </c>
      <c r="W432" s="76">
        <f t="shared" si="485"/>
        <v>0</v>
      </c>
      <c r="X432" s="76">
        <f t="shared" si="485"/>
        <v>0</v>
      </c>
      <c r="Y432" s="76">
        <f t="shared" si="485"/>
        <v>0</v>
      </c>
      <c r="Z432" s="76">
        <f t="shared" si="485"/>
        <v>0</v>
      </c>
      <c r="AA432" s="76">
        <f t="shared" si="485"/>
        <v>0</v>
      </c>
      <c r="AB432" s="76"/>
      <c r="AC432" s="76"/>
      <c r="AD432" s="76"/>
      <c r="AE432" s="76"/>
      <c r="AF432" s="76"/>
      <c r="AG432" s="76"/>
      <c r="AH432" s="76"/>
      <c r="AI432" s="76"/>
      <c r="AJ432" s="76"/>
      <c r="AK432" s="76"/>
      <c r="AL432" s="76"/>
      <c r="AM432" s="76"/>
      <c r="AN432" s="76"/>
      <c r="AO432" s="76"/>
      <c r="AP432" s="76"/>
      <c r="AQ432" s="76"/>
      <c r="AR432" s="76"/>
      <c r="AS432" s="3"/>
      <c r="AT432" s="3"/>
      <c r="AU432" s="3"/>
      <c r="AV432" s="3"/>
      <c r="AW432" s="3"/>
      <c r="AX432" s="3"/>
    </row>
    <row r="433" spans="1:50" ht="15.75" x14ac:dyDescent="0.25">
      <c r="A433" s="81">
        <v>19</v>
      </c>
      <c r="B433" s="25">
        <v>20</v>
      </c>
      <c r="C433" s="59">
        <f t="shared" si="478"/>
        <v>210</v>
      </c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76">
        <f t="shared" ref="V433:AA433" si="486">IF($B433&lt;D$1,0,((($B433-C$315)/$C433)*$U$45))</f>
        <v>0</v>
      </c>
      <c r="W433" s="76">
        <f t="shared" si="486"/>
        <v>0</v>
      </c>
      <c r="X433" s="76">
        <f t="shared" si="486"/>
        <v>0</v>
      </c>
      <c r="Y433" s="76">
        <f t="shared" si="486"/>
        <v>0</v>
      </c>
      <c r="Z433" s="76">
        <f t="shared" si="486"/>
        <v>0</v>
      </c>
      <c r="AA433" s="76">
        <f t="shared" si="486"/>
        <v>0</v>
      </c>
      <c r="AB433" s="76"/>
      <c r="AC433" s="76"/>
      <c r="AD433" s="76"/>
      <c r="AE433" s="76"/>
      <c r="AF433" s="76"/>
      <c r="AG433" s="76"/>
      <c r="AH433" s="76"/>
      <c r="AI433" s="76"/>
      <c r="AJ433" s="76"/>
      <c r="AK433" s="76"/>
      <c r="AL433" s="76"/>
      <c r="AM433" s="76"/>
      <c r="AN433" s="76"/>
      <c r="AO433" s="76"/>
      <c r="AP433" s="76"/>
      <c r="AQ433" s="76"/>
      <c r="AR433" s="76"/>
      <c r="AS433" s="76"/>
      <c r="AT433" s="3"/>
      <c r="AU433" s="3"/>
      <c r="AV433" s="3"/>
      <c r="AW433" s="3"/>
      <c r="AX433" s="3"/>
    </row>
    <row r="434" spans="1:50" ht="15.75" x14ac:dyDescent="0.25">
      <c r="A434" s="81">
        <v>20</v>
      </c>
      <c r="B434" s="25">
        <v>20</v>
      </c>
      <c r="C434" s="59">
        <f t="shared" si="478"/>
        <v>210</v>
      </c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76">
        <f>IF($B434&lt;D$1,0,((($B434-C$315)/$C434)*$V$45))</f>
        <v>0</v>
      </c>
      <c r="X434" s="76">
        <f>IF($B434&lt;E$1,0,((($B434-D$315)/$C434)*$V$45))</f>
        <v>0</v>
      </c>
      <c r="Y434" s="76">
        <f>IF($B434&lt;F$1,0,((($B434-E$315)/$C434)*$V$45))</f>
        <v>0</v>
      </c>
      <c r="Z434" s="76">
        <f>IF($B434&lt;G$1,0,((($B434-F$315)/$C434)*$V$45))</f>
        <v>0</v>
      </c>
      <c r="AA434" s="76">
        <f>IF($B434&lt;H$1,0,((($B434-G$315)/$C434)*$V$45))</f>
        <v>0</v>
      </c>
      <c r="AB434" s="76"/>
      <c r="AC434" s="76"/>
      <c r="AD434" s="76"/>
      <c r="AE434" s="76"/>
      <c r="AF434" s="76"/>
      <c r="AG434" s="76"/>
      <c r="AH434" s="76"/>
      <c r="AI434" s="76"/>
      <c r="AJ434" s="76"/>
      <c r="AK434" s="76"/>
      <c r="AL434" s="76"/>
      <c r="AM434" s="76"/>
      <c r="AN434" s="76"/>
      <c r="AO434" s="76"/>
      <c r="AP434" s="76"/>
      <c r="AQ434" s="76"/>
      <c r="AR434" s="76"/>
      <c r="AS434" s="76"/>
      <c r="AT434" s="76"/>
      <c r="AU434" s="3"/>
      <c r="AV434" s="3"/>
      <c r="AW434" s="3"/>
      <c r="AX434" s="3"/>
    </row>
    <row r="435" spans="1:50" ht="15.75" x14ac:dyDescent="0.25">
      <c r="A435" s="81">
        <v>21</v>
      </c>
      <c r="B435" s="25">
        <v>20</v>
      </c>
      <c r="C435" s="59">
        <f t="shared" si="478"/>
        <v>210</v>
      </c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76">
        <f>IF($B435&lt;D$1,0,((($B435-C$315)/$C435)*$W$45))</f>
        <v>0</v>
      </c>
      <c r="Y435" s="76">
        <f>IF($B435&lt;E$1,0,((($B435-D$315)/$C435)*$W$45))</f>
        <v>0</v>
      </c>
      <c r="Z435" s="76">
        <f>IF($B435&lt;F$1,0,((($B435-E$315)/$C435)*$W$45))</f>
        <v>0</v>
      </c>
      <c r="AA435" s="76">
        <f>IF($B435&lt;G$1,0,((($B435-F$315)/$C435)*$W$45))</f>
        <v>0</v>
      </c>
      <c r="AB435" s="76"/>
      <c r="AC435" s="76"/>
      <c r="AD435" s="76"/>
      <c r="AE435" s="76"/>
      <c r="AF435" s="76"/>
      <c r="AG435" s="76"/>
      <c r="AH435" s="76"/>
      <c r="AI435" s="76"/>
      <c r="AJ435" s="76"/>
      <c r="AK435" s="76"/>
      <c r="AL435" s="76"/>
      <c r="AM435" s="76"/>
      <c r="AN435" s="76"/>
      <c r="AO435" s="76"/>
      <c r="AP435" s="76"/>
      <c r="AQ435" s="76"/>
      <c r="AR435" s="76"/>
      <c r="AS435" s="76"/>
      <c r="AT435" s="76"/>
      <c r="AU435" s="76"/>
      <c r="AV435" s="3"/>
      <c r="AW435" s="3"/>
      <c r="AX435" s="3"/>
    </row>
    <row r="436" spans="1:50" ht="15.75" x14ac:dyDescent="0.25">
      <c r="A436" s="81">
        <v>22</v>
      </c>
      <c r="B436" s="25">
        <v>20</v>
      </c>
      <c r="C436" s="59">
        <f t="shared" si="478"/>
        <v>210</v>
      </c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76">
        <f>IF($B436&lt;D$1,0,((($B436-C$315)/$C436)*$X$45))</f>
        <v>0</v>
      </c>
      <c r="Z436" s="76">
        <f>IF($B436&lt;E$1,0,((($B436-D$315)/$C436)*$X$45))</f>
        <v>0</v>
      </c>
      <c r="AA436" s="76">
        <f>IF($B436&lt;F$1,0,((($B436-E$315)/$C436)*$X$45))</f>
        <v>0</v>
      </c>
      <c r="AB436" s="76"/>
      <c r="AC436" s="76"/>
      <c r="AD436" s="76"/>
      <c r="AE436" s="76"/>
      <c r="AF436" s="76"/>
      <c r="AG436" s="76"/>
      <c r="AH436" s="76"/>
      <c r="AI436" s="76"/>
      <c r="AJ436" s="76"/>
      <c r="AK436" s="76"/>
      <c r="AL436" s="76"/>
      <c r="AM436" s="76"/>
      <c r="AN436" s="76"/>
      <c r="AO436" s="76"/>
      <c r="AP436" s="76"/>
      <c r="AQ436" s="76"/>
      <c r="AR436" s="76"/>
      <c r="AS436" s="76"/>
      <c r="AT436" s="76"/>
      <c r="AU436" s="76"/>
      <c r="AV436" s="76"/>
      <c r="AW436" s="3"/>
      <c r="AX436" s="3"/>
    </row>
    <row r="437" spans="1:50" ht="15.75" x14ac:dyDescent="0.25">
      <c r="A437" s="81">
        <v>23</v>
      </c>
      <c r="B437" s="25">
        <v>20</v>
      </c>
      <c r="C437" s="59">
        <f t="shared" si="478"/>
        <v>210</v>
      </c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76">
        <f>IF($B437&lt;D$1,0,((($B437-C$315)/$C437)*$Y$45))</f>
        <v>0</v>
      </c>
      <c r="AA437" s="76">
        <f>IF($B437&lt;E$1,0,((($B437-D$315)/$C437)*$Y$45))</f>
        <v>0</v>
      </c>
      <c r="AB437" s="76"/>
      <c r="AC437" s="76"/>
      <c r="AD437" s="76"/>
      <c r="AE437" s="76"/>
      <c r="AF437" s="76"/>
      <c r="AG437" s="76"/>
      <c r="AH437" s="76"/>
      <c r="AI437" s="76"/>
      <c r="AJ437" s="76"/>
      <c r="AK437" s="76"/>
      <c r="AL437" s="76"/>
      <c r="AM437" s="76"/>
      <c r="AN437" s="76"/>
      <c r="AO437" s="76"/>
      <c r="AP437" s="76"/>
      <c r="AQ437" s="76"/>
      <c r="AR437" s="76"/>
      <c r="AS437" s="76"/>
      <c r="AT437" s="76"/>
      <c r="AU437" s="76"/>
      <c r="AV437" s="76"/>
      <c r="AW437" s="76"/>
      <c r="AX437" s="3"/>
    </row>
    <row r="438" spans="1:50" ht="15.75" x14ac:dyDescent="0.25">
      <c r="A438" s="81">
        <v>24</v>
      </c>
      <c r="B438" s="25">
        <v>20</v>
      </c>
      <c r="C438" s="59">
        <f t="shared" si="478"/>
        <v>210</v>
      </c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76">
        <f>IF($B438&lt;D$1,0,((($B438-C$315)/$C438)*$Z$45))</f>
        <v>0</v>
      </c>
      <c r="AB438" s="76"/>
      <c r="AC438" s="76"/>
      <c r="AD438" s="76"/>
      <c r="AE438" s="76"/>
      <c r="AF438" s="76"/>
      <c r="AG438" s="76"/>
      <c r="AH438" s="76"/>
      <c r="AI438" s="76"/>
      <c r="AJ438" s="76"/>
      <c r="AK438" s="76"/>
      <c r="AL438" s="76"/>
      <c r="AM438" s="76"/>
      <c r="AN438" s="76"/>
      <c r="AO438" s="76"/>
      <c r="AP438" s="76"/>
      <c r="AQ438" s="76"/>
      <c r="AR438" s="76"/>
      <c r="AS438" s="76"/>
      <c r="AT438" s="76"/>
      <c r="AU438" s="76"/>
      <c r="AV438" s="76"/>
      <c r="AW438" s="76"/>
      <c r="AX438" s="76"/>
    </row>
    <row r="439" spans="1:50" x14ac:dyDescent="0.25">
      <c r="A439" s="84"/>
      <c r="B439" s="84"/>
      <c r="C439" s="84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  <c r="AA439" s="86"/>
    </row>
    <row r="440" spans="1:50" x14ac:dyDescent="0.25">
      <c r="A440" s="59" t="s">
        <v>95</v>
      </c>
      <c r="B440" s="59"/>
      <c r="C440" s="59"/>
      <c r="D440" s="83">
        <f>SUM(D415:D438)</f>
        <v>0</v>
      </c>
      <c r="E440" s="83">
        <f t="shared" ref="E440:AA440" si="487">SUM(E415:E438)</f>
        <v>0</v>
      </c>
      <c r="F440" s="83">
        <f t="shared" si="487"/>
        <v>0</v>
      </c>
      <c r="G440" s="83">
        <f t="shared" si="487"/>
        <v>0</v>
      </c>
      <c r="H440" s="83">
        <f t="shared" si="487"/>
        <v>0</v>
      </c>
      <c r="I440" s="83">
        <f t="shared" si="487"/>
        <v>0</v>
      </c>
      <c r="J440" s="83">
        <f t="shared" si="487"/>
        <v>0</v>
      </c>
      <c r="K440" s="83">
        <f t="shared" si="487"/>
        <v>0</v>
      </c>
      <c r="L440" s="83">
        <f t="shared" si="487"/>
        <v>0</v>
      </c>
      <c r="M440" s="83">
        <f t="shared" si="487"/>
        <v>0</v>
      </c>
      <c r="N440" s="83">
        <f t="shared" si="487"/>
        <v>0</v>
      </c>
      <c r="O440" s="83">
        <f t="shared" si="487"/>
        <v>0</v>
      </c>
      <c r="P440" s="83">
        <f t="shared" si="487"/>
        <v>0</v>
      </c>
      <c r="Q440" s="83">
        <f t="shared" si="487"/>
        <v>0</v>
      </c>
      <c r="R440" s="83">
        <f t="shared" si="487"/>
        <v>0</v>
      </c>
      <c r="S440" s="83">
        <f t="shared" si="487"/>
        <v>0</v>
      </c>
      <c r="T440" s="83">
        <f t="shared" si="487"/>
        <v>0</v>
      </c>
      <c r="U440" s="83">
        <f t="shared" si="487"/>
        <v>0</v>
      </c>
      <c r="V440" s="83">
        <f t="shared" si="487"/>
        <v>0</v>
      </c>
      <c r="W440" s="83">
        <f t="shared" si="487"/>
        <v>0</v>
      </c>
      <c r="X440" s="83">
        <f t="shared" si="487"/>
        <v>0</v>
      </c>
      <c r="Y440" s="83">
        <f t="shared" si="487"/>
        <v>0</v>
      </c>
      <c r="Z440" s="83">
        <f t="shared" si="487"/>
        <v>0</v>
      </c>
      <c r="AA440" s="83">
        <f t="shared" si="487"/>
        <v>0</v>
      </c>
      <c r="AB440" s="83"/>
      <c r="AC440" s="83"/>
      <c r="AD440" s="83"/>
      <c r="AE440" s="83"/>
      <c r="AF440" s="83"/>
      <c r="AG440" s="83"/>
      <c r="AH440" s="83"/>
      <c r="AI440" s="83"/>
      <c r="AJ440" s="83"/>
      <c r="AK440" s="83"/>
      <c r="AL440" s="83"/>
      <c r="AM440" s="83"/>
      <c r="AN440" s="83"/>
      <c r="AO440" s="83"/>
      <c r="AP440" s="83"/>
      <c r="AQ440" s="83"/>
      <c r="AR440" s="83"/>
      <c r="AS440" s="83"/>
      <c r="AT440" s="83"/>
      <c r="AU440" s="83"/>
      <c r="AV440" s="83"/>
      <c r="AW440" s="83"/>
      <c r="AX440" s="83"/>
    </row>
    <row r="441" spans="1:50" x14ac:dyDescent="0.25">
      <c r="A441" s="59" t="s">
        <v>96</v>
      </c>
      <c r="B441" s="59"/>
      <c r="C441" s="59"/>
      <c r="D441" s="83">
        <f>D440</f>
        <v>0</v>
      </c>
      <c r="E441" s="83">
        <f t="shared" ref="E441" si="488">E440</f>
        <v>0</v>
      </c>
      <c r="F441" s="83">
        <f t="shared" ref="F441" si="489">F440</f>
        <v>0</v>
      </c>
      <c r="G441" s="83">
        <f t="shared" ref="G441" si="490">G440</f>
        <v>0</v>
      </c>
      <c r="H441" s="83">
        <f t="shared" ref="H441" si="491">H440</f>
        <v>0</v>
      </c>
      <c r="I441" s="83">
        <f t="shared" ref="I441" si="492">I440</f>
        <v>0</v>
      </c>
      <c r="J441" s="83">
        <f t="shared" ref="J441" si="493">J440</f>
        <v>0</v>
      </c>
      <c r="K441" s="83">
        <f t="shared" ref="K441" si="494">K440</f>
        <v>0</v>
      </c>
      <c r="L441" s="83">
        <f t="shared" ref="L441" si="495">L440</f>
        <v>0</v>
      </c>
      <c r="M441" s="83">
        <f t="shared" ref="M441" si="496">M440</f>
        <v>0</v>
      </c>
      <c r="N441" s="83">
        <f t="shared" ref="N441" si="497">N440</f>
        <v>0</v>
      </c>
      <c r="O441" s="83">
        <f t="shared" ref="O441" si="498">O440</f>
        <v>0</v>
      </c>
      <c r="P441" s="83">
        <f t="shared" ref="P441" si="499">P440</f>
        <v>0</v>
      </c>
      <c r="Q441" s="83">
        <f t="shared" ref="Q441" si="500">Q440</f>
        <v>0</v>
      </c>
      <c r="R441" s="83">
        <f t="shared" ref="R441" si="501">R440</f>
        <v>0</v>
      </c>
      <c r="S441" s="83">
        <f t="shared" ref="S441" si="502">S440</f>
        <v>0</v>
      </c>
      <c r="T441" s="83">
        <f t="shared" ref="T441" si="503">T440</f>
        <v>0</v>
      </c>
      <c r="U441" s="83">
        <f t="shared" ref="U441" si="504">U440</f>
        <v>0</v>
      </c>
      <c r="V441" s="83">
        <f t="shared" ref="V441" si="505">V440</f>
        <v>0</v>
      </c>
      <c r="W441" s="83">
        <f t="shared" ref="W441" si="506">W440</f>
        <v>0</v>
      </c>
      <c r="X441" s="83">
        <f t="shared" ref="X441" si="507">X440</f>
        <v>0</v>
      </c>
      <c r="Y441" s="83">
        <f t="shared" ref="Y441" si="508">Y440</f>
        <v>0</v>
      </c>
      <c r="Z441" s="83">
        <f t="shared" ref="Z441" si="509">Z440</f>
        <v>0</v>
      </c>
      <c r="AA441" s="83">
        <f t="shared" ref="AA441" si="510">AA440</f>
        <v>0</v>
      </c>
      <c r="AB441" s="83"/>
      <c r="AC441" s="83"/>
      <c r="AD441" s="83"/>
      <c r="AE441" s="83"/>
      <c r="AF441" s="83"/>
      <c r="AG441" s="83"/>
      <c r="AH441" s="83"/>
      <c r="AI441" s="83"/>
      <c r="AJ441" s="83"/>
      <c r="AK441" s="83"/>
      <c r="AL441" s="83"/>
      <c r="AM441" s="83"/>
      <c r="AN441" s="83"/>
      <c r="AO441" s="83"/>
      <c r="AP441" s="83"/>
      <c r="AQ441" s="83"/>
      <c r="AR441" s="83"/>
      <c r="AS441" s="83"/>
      <c r="AT441" s="83"/>
      <c r="AU441" s="83"/>
      <c r="AV441" s="83"/>
      <c r="AW441" s="83"/>
      <c r="AX441" s="83"/>
    </row>
    <row r="442" spans="1:50" x14ac:dyDescent="0.25">
      <c r="A442" s="59" t="s">
        <v>98</v>
      </c>
      <c r="B442" s="59"/>
      <c r="C442" s="59"/>
      <c r="D442" s="83">
        <f t="shared" ref="D442:AA442" si="511">C51-D441</f>
        <v>0</v>
      </c>
      <c r="E442" s="83">
        <f t="shared" si="511"/>
        <v>0</v>
      </c>
      <c r="F442" s="83">
        <f t="shared" si="511"/>
        <v>0</v>
      </c>
      <c r="G442" s="83">
        <f t="shared" si="511"/>
        <v>0</v>
      </c>
      <c r="H442" s="83">
        <f t="shared" si="511"/>
        <v>0</v>
      </c>
      <c r="I442" s="83">
        <f t="shared" si="511"/>
        <v>0</v>
      </c>
      <c r="J442" s="83">
        <f t="shared" si="511"/>
        <v>0</v>
      </c>
      <c r="K442" s="83">
        <f t="shared" si="511"/>
        <v>0</v>
      </c>
      <c r="L442" s="83">
        <f t="shared" si="511"/>
        <v>0</v>
      </c>
      <c r="M442" s="83">
        <f t="shared" si="511"/>
        <v>0</v>
      </c>
      <c r="N442" s="83">
        <f t="shared" si="511"/>
        <v>0</v>
      </c>
      <c r="O442" s="83">
        <f t="shared" si="511"/>
        <v>0</v>
      </c>
      <c r="P442" s="83">
        <f t="shared" si="511"/>
        <v>0</v>
      </c>
      <c r="Q442" s="83">
        <f t="shared" si="511"/>
        <v>0</v>
      </c>
      <c r="R442" s="83">
        <f t="shared" si="511"/>
        <v>0</v>
      </c>
      <c r="S442" s="83">
        <f t="shared" si="511"/>
        <v>0</v>
      </c>
      <c r="T442" s="83">
        <f t="shared" si="511"/>
        <v>0</v>
      </c>
      <c r="U442" s="83">
        <f t="shared" si="511"/>
        <v>0</v>
      </c>
      <c r="V442" s="83">
        <f t="shared" si="511"/>
        <v>0</v>
      </c>
      <c r="W442" s="83">
        <f t="shared" si="511"/>
        <v>0</v>
      </c>
      <c r="X442" s="83">
        <f t="shared" si="511"/>
        <v>0</v>
      </c>
      <c r="Y442" s="83">
        <f t="shared" si="511"/>
        <v>0</v>
      </c>
      <c r="Z442" s="83">
        <f t="shared" si="511"/>
        <v>0</v>
      </c>
      <c r="AA442" s="83">
        <f t="shared" si="511"/>
        <v>0</v>
      </c>
      <c r="AB442" s="83"/>
      <c r="AC442" s="83"/>
      <c r="AD442" s="83"/>
      <c r="AE442" s="83"/>
      <c r="AF442" s="83"/>
      <c r="AG442" s="83"/>
      <c r="AH442" s="83"/>
      <c r="AI442" s="83"/>
      <c r="AJ442" s="83"/>
      <c r="AK442" s="83"/>
      <c r="AL442" s="83"/>
      <c r="AM442" s="83"/>
      <c r="AN442" s="83"/>
      <c r="AO442" s="83"/>
      <c r="AP442" s="83"/>
      <c r="AQ442" s="83"/>
      <c r="AR442" s="83"/>
      <c r="AS442" s="83"/>
      <c r="AT442" s="83"/>
      <c r="AU442" s="83"/>
      <c r="AV442" s="83"/>
      <c r="AW442" s="83"/>
      <c r="AX442" s="83"/>
    </row>
    <row r="443" spans="1:50" x14ac:dyDescent="0.25">
      <c r="A443" s="89"/>
      <c r="C443" s="82"/>
      <c r="D443" s="82"/>
      <c r="E443" s="82"/>
      <c r="F443" s="82"/>
      <c r="G443" s="82"/>
      <c r="H443" s="82"/>
      <c r="I443" s="82"/>
      <c r="J443" s="82"/>
      <c r="K443" s="82"/>
    </row>
    <row r="444" spans="1:50" ht="23.25" x14ac:dyDescent="0.35">
      <c r="A444" s="459" t="s">
        <v>97</v>
      </c>
      <c r="B444" s="65" t="str">
        <f>B414</f>
        <v>Periodos/depreciación</v>
      </c>
      <c r="C444" s="82"/>
      <c r="D444" s="14">
        <v>1</v>
      </c>
      <c r="E444" s="14">
        <v>2</v>
      </c>
      <c r="F444" s="14">
        <v>3</v>
      </c>
      <c r="G444" s="14">
        <v>4</v>
      </c>
      <c r="H444" s="14">
        <v>5</v>
      </c>
      <c r="I444" s="14">
        <v>6</v>
      </c>
      <c r="J444" s="14">
        <v>7</v>
      </c>
      <c r="K444" s="14">
        <v>8</v>
      </c>
      <c r="L444" s="14">
        <v>9</v>
      </c>
      <c r="M444" s="14">
        <v>10</v>
      </c>
      <c r="N444" s="14">
        <v>11</v>
      </c>
      <c r="O444" s="14">
        <v>12</v>
      </c>
      <c r="P444" s="14">
        <v>13</v>
      </c>
      <c r="Q444" s="14">
        <v>14</v>
      </c>
      <c r="R444" s="14">
        <v>15</v>
      </c>
      <c r="S444" s="14">
        <v>16</v>
      </c>
      <c r="T444" s="14">
        <v>17</v>
      </c>
      <c r="U444" s="14">
        <v>18</v>
      </c>
      <c r="V444" s="14">
        <v>19</v>
      </c>
      <c r="W444" s="14">
        <v>20</v>
      </c>
      <c r="X444" s="14">
        <v>21</v>
      </c>
      <c r="Y444" s="14">
        <v>22</v>
      </c>
      <c r="Z444" s="14">
        <v>23</v>
      </c>
      <c r="AA444" s="14">
        <v>24</v>
      </c>
    </row>
    <row r="445" spans="1:50" ht="15.75" x14ac:dyDescent="0.25">
      <c r="A445" s="20" t="str">
        <f t="shared" ref="A445:A454" si="512">A414</f>
        <v>Años a proyectar</v>
      </c>
      <c r="B445" s="405"/>
    </row>
    <row r="446" spans="1:50" ht="15.75" x14ac:dyDescent="0.25">
      <c r="A446" s="81">
        <f t="shared" si="512"/>
        <v>1</v>
      </c>
      <c r="B446" s="25"/>
      <c r="C446" s="59"/>
      <c r="D446" s="83">
        <f t="shared" ref="D446:AA446" si="513">IF($D$347&gt;$B445,0,$C$45/$B445)</f>
        <v>0</v>
      </c>
      <c r="E446" s="83">
        <f t="shared" si="513"/>
        <v>0</v>
      </c>
      <c r="F446" s="83">
        <f t="shared" si="513"/>
        <v>0</v>
      </c>
      <c r="G446" s="83">
        <f t="shared" si="513"/>
        <v>0</v>
      </c>
      <c r="H446" s="83">
        <f t="shared" si="513"/>
        <v>0</v>
      </c>
      <c r="I446" s="83">
        <f t="shared" si="513"/>
        <v>0</v>
      </c>
      <c r="J446" s="83">
        <f t="shared" si="513"/>
        <v>0</v>
      </c>
      <c r="K446" s="83">
        <f t="shared" si="513"/>
        <v>0</v>
      </c>
      <c r="L446" s="83">
        <f t="shared" si="513"/>
        <v>0</v>
      </c>
      <c r="M446" s="83">
        <f t="shared" si="513"/>
        <v>0</v>
      </c>
      <c r="N446" s="83">
        <f t="shared" si="513"/>
        <v>0</v>
      </c>
      <c r="O446" s="83">
        <f t="shared" si="513"/>
        <v>0</v>
      </c>
      <c r="P446" s="83">
        <f t="shared" si="513"/>
        <v>0</v>
      </c>
      <c r="Q446" s="83">
        <f t="shared" si="513"/>
        <v>0</v>
      </c>
      <c r="R446" s="83">
        <f t="shared" si="513"/>
        <v>0</v>
      </c>
      <c r="S446" s="83">
        <f t="shared" si="513"/>
        <v>0</v>
      </c>
      <c r="T446" s="83">
        <f t="shared" si="513"/>
        <v>0</v>
      </c>
      <c r="U446" s="83">
        <f t="shared" si="513"/>
        <v>0</v>
      </c>
      <c r="V446" s="83">
        <f t="shared" si="513"/>
        <v>0</v>
      </c>
      <c r="W446" s="83">
        <f t="shared" si="513"/>
        <v>0</v>
      </c>
      <c r="X446" s="83">
        <f t="shared" si="513"/>
        <v>0</v>
      </c>
      <c r="Y446" s="83">
        <f t="shared" si="513"/>
        <v>0</v>
      </c>
      <c r="Z446" s="83">
        <f t="shared" si="513"/>
        <v>0</v>
      </c>
      <c r="AA446" s="83">
        <f t="shared" si="513"/>
        <v>0</v>
      </c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</row>
    <row r="447" spans="1:50" ht="15.75" x14ac:dyDescent="0.25">
      <c r="A447" s="81">
        <f t="shared" si="512"/>
        <v>2</v>
      </c>
      <c r="B447" s="25"/>
      <c r="C447" s="59"/>
      <c r="D447" s="59"/>
      <c r="E447" s="83">
        <f t="shared" ref="E447:AA447" si="514">IF($D$347&gt;$B446,0,$D$45/$B446)</f>
        <v>0</v>
      </c>
      <c r="F447" s="83">
        <f t="shared" si="514"/>
        <v>0</v>
      </c>
      <c r="G447" s="83">
        <f t="shared" si="514"/>
        <v>0</v>
      </c>
      <c r="H447" s="83">
        <f t="shared" si="514"/>
        <v>0</v>
      </c>
      <c r="I447" s="83">
        <f t="shared" si="514"/>
        <v>0</v>
      </c>
      <c r="J447" s="83">
        <f t="shared" si="514"/>
        <v>0</v>
      </c>
      <c r="K447" s="83">
        <f t="shared" si="514"/>
        <v>0</v>
      </c>
      <c r="L447" s="83">
        <f t="shared" si="514"/>
        <v>0</v>
      </c>
      <c r="M447" s="83">
        <f t="shared" si="514"/>
        <v>0</v>
      </c>
      <c r="N447" s="83">
        <f t="shared" si="514"/>
        <v>0</v>
      </c>
      <c r="O447" s="83">
        <f t="shared" si="514"/>
        <v>0</v>
      </c>
      <c r="P447" s="83">
        <f t="shared" si="514"/>
        <v>0</v>
      </c>
      <c r="Q447" s="83">
        <f t="shared" si="514"/>
        <v>0</v>
      </c>
      <c r="R447" s="83">
        <f t="shared" si="514"/>
        <v>0</v>
      </c>
      <c r="S447" s="83">
        <f t="shared" si="514"/>
        <v>0</v>
      </c>
      <c r="T447" s="83">
        <f t="shared" si="514"/>
        <v>0</v>
      </c>
      <c r="U447" s="83">
        <f t="shared" si="514"/>
        <v>0</v>
      </c>
      <c r="V447" s="83">
        <f t="shared" si="514"/>
        <v>0</v>
      </c>
      <c r="W447" s="83">
        <f t="shared" si="514"/>
        <v>0</v>
      </c>
      <c r="X447" s="83">
        <f t="shared" si="514"/>
        <v>0</v>
      </c>
      <c r="Y447" s="83">
        <f t="shared" si="514"/>
        <v>0</v>
      </c>
      <c r="Z447" s="83">
        <f t="shared" si="514"/>
        <v>0</v>
      </c>
      <c r="AA447" s="83">
        <f t="shared" si="514"/>
        <v>0</v>
      </c>
      <c r="AB447" s="8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</row>
    <row r="448" spans="1:50" ht="15.75" x14ac:dyDescent="0.25">
      <c r="A448" s="81">
        <f t="shared" si="512"/>
        <v>3</v>
      </c>
      <c r="B448" s="25"/>
      <c r="C448" s="59"/>
      <c r="D448" s="59"/>
      <c r="E448" s="59"/>
      <c r="F448" s="83">
        <f t="shared" ref="F448:AA448" si="515">IF($D$347&gt;$B447,0,$E$45/$B447)</f>
        <v>0</v>
      </c>
      <c r="G448" s="83">
        <f t="shared" si="515"/>
        <v>0</v>
      </c>
      <c r="H448" s="83">
        <f t="shared" si="515"/>
        <v>0</v>
      </c>
      <c r="I448" s="83">
        <f t="shared" si="515"/>
        <v>0</v>
      </c>
      <c r="J448" s="83">
        <f t="shared" si="515"/>
        <v>0</v>
      </c>
      <c r="K448" s="83">
        <f t="shared" si="515"/>
        <v>0</v>
      </c>
      <c r="L448" s="83">
        <f t="shared" si="515"/>
        <v>0</v>
      </c>
      <c r="M448" s="83">
        <f t="shared" si="515"/>
        <v>0</v>
      </c>
      <c r="N448" s="83">
        <f t="shared" si="515"/>
        <v>0</v>
      </c>
      <c r="O448" s="83">
        <f t="shared" si="515"/>
        <v>0</v>
      </c>
      <c r="P448" s="83">
        <f t="shared" si="515"/>
        <v>0</v>
      </c>
      <c r="Q448" s="83">
        <f t="shared" si="515"/>
        <v>0</v>
      </c>
      <c r="R448" s="83">
        <f t="shared" si="515"/>
        <v>0</v>
      </c>
      <c r="S448" s="83">
        <f t="shared" si="515"/>
        <v>0</v>
      </c>
      <c r="T448" s="83">
        <f t="shared" si="515"/>
        <v>0</v>
      </c>
      <c r="U448" s="83">
        <f t="shared" si="515"/>
        <v>0</v>
      </c>
      <c r="V448" s="83">
        <f t="shared" si="515"/>
        <v>0</v>
      </c>
      <c r="W448" s="83">
        <f t="shared" si="515"/>
        <v>0</v>
      </c>
      <c r="X448" s="83">
        <f t="shared" si="515"/>
        <v>0</v>
      </c>
      <c r="Y448" s="83">
        <f t="shared" si="515"/>
        <v>0</v>
      </c>
      <c r="Z448" s="83">
        <f t="shared" si="515"/>
        <v>0</v>
      </c>
      <c r="AA448" s="83">
        <f t="shared" si="515"/>
        <v>0</v>
      </c>
      <c r="AB448" s="83"/>
      <c r="AC448" s="8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</row>
    <row r="449" spans="1:50" ht="15.75" x14ac:dyDescent="0.25">
      <c r="A449" s="81">
        <f t="shared" si="512"/>
        <v>4</v>
      </c>
      <c r="B449" s="25"/>
      <c r="C449" s="59"/>
      <c r="D449" s="59"/>
      <c r="E449" s="59"/>
      <c r="F449" s="59"/>
      <c r="G449" s="83">
        <f t="shared" ref="G449:AA449" si="516">IF($D$347&gt;$B448,0,$F$45/$B448)</f>
        <v>0</v>
      </c>
      <c r="H449" s="83">
        <f t="shared" si="516"/>
        <v>0</v>
      </c>
      <c r="I449" s="83">
        <f t="shared" si="516"/>
        <v>0</v>
      </c>
      <c r="J449" s="83">
        <f t="shared" si="516"/>
        <v>0</v>
      </c>
      <c r="K449" s="83">
        <f t="shared" si="516"/>
        <v>0</v>
      </c>
      <c r="L449" s="83">
        <f t="shared" si="516"/>
        <v>0</v>
      </c>
      <c r="M449" s="83">
        <f t="shared" si="516"/>
        <v>0</v>
      </c>
      <c r="N449" s="83">
        <f t="shared" si="516"/>
        <v>0</v>
      </c>
      <c r="O449" s="83">
        <f t="shared" si="516"/>
        <v>0</v>
      </c>
      <c r="P449" s="83">
        <f t="shared" si="516"/>
        <v>0</v>
      </c>
      <c r="Q449" s="83">
        <f t="shared" si="516"/>
        <v>0</v>
      </c>
      <c r="R449" s="83">
        <f t="shared" si="516"/>
        <v>0</v>
      </c>
      <c r="S449" s="83">
        <f t="shared" si="516"/>
        <v>0</v>
      </c>
      <c r="T449" s="83">
        <f t="shared" si="516"/>
        <v>0</v>
      </c>
      <c r="U449" s="83">
        <f t="shared" si="516"/>
        <v>0</v>
      </c>
      <c r="V449" s="83">
        <f t="shared" si="516"/>
        <v>0</v>
      </c>
      <c r="W449" s="83">
        <f t="shared" si="516"/>
        <v>0</v>
      </c>
      <c r="X449" s="83">
        <f t="shared" si="516"/>
        <v>0</v>
      </c>
      <c r="Y449" s="83">
        <f t="shared" si="516"/>
        <v>0</v>
      </c>
      <c r="Z449" s="83">
        <f t="shared" si="516"/>
        <v>0</v>
      </c>
      <c r="AA449" s="83">
        <f t="shared" si="516"/>
        <v>0</v>
      </c>
      <c r="AB449" s="83"/>
      <c r="AC449" s="83"/>
      <c r="AD449" s="8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</row>
    <row r="450" spans="1:50" ht="15.75" x14ac:dyDescent="0.25">
      <c r="A450" s="81">
        <f t="shared" si="512"/>
        <v>5</v>
      </c>
      <c r="B450" s="25"/>
      <c r="C450" s="59"/>
      <c r="D450" s="59"/>
      <c r="E450" s="59"/>
      <c r="F450" s="59"/>
      <c r="G450" s="59"/>
      <c r="H450" s="83">
        <f t="shared" ref="H450:AA450" si="517">IF($D$347&gt;$B449,0,$G$45/$B449)</f>
        <v>0</v>
      </c>
      <c r="I450" s="83">
        <f t="shared" si="517"/>
        <v>0</v>
      </c>
      <c r="J450" s="83">
        <f t="shared" si="517"/>
        <v>0</v>
      </c>
      <c r="K450" s="83">
        <f t="shared" si="517"/>
        <v>0</v>
      </c>
      <c r="L450" s="83">
        <f t="shared" si="517"/>
        <v>0</v>
      </c>
      <c r="M450" s="83">
        <f t="shared" si="517"/>
        <v>0</v>
      </c>
      <c r="N450" s="83">
        <f t="shared" si="517"/>
        <v>0</v>
      </c>
      <c r="O450" s="83">
        <f t="shared" si="517"/>
        <v>0</v>
      </c>
      <c r="P450" s="83">
        <f t="shared" si="517"/>
        <v>0</v>
      </c>
      <c r="Q450" s="83">
        <f t="shared" si="517"/>
        <v>0</v>
      </c>
      <c r="R450" s="83">
        <f t="shared" si="517"/>
        <v>0</v>
      </c>
      <c r="S450" s="83">
        <f t="shared" si="517"/>
        <v>0</v>
      </c>
      <c r="T450" s="83">
        <f t="shared" si="517"/>
        <v>0</v>
      </c>
      <c r="U450" s="83">
        <f t="shared" si="517"/>
        <v>0</v>
      </c>
      <c r="V450" s="83">
        <f t="shared" si="517"/>
        <v>0</v>
      </c>
      <c r="W450" s="83">
        <f t="shared" si="517"/>
        <v>0</v>
      </c>
      <c r="X450" s="83">
        <f t="shared" si="517"/>
        <v>0</v>
      </c>
      <c r="Y450" s="83">
        <f t="shared" si="517"/>
        <v>0</v>
      </c>
      <c r="Z450" s="83">
        <f t="shared" si="517"/>
        <v>0</v>
      </c>
      <c r="AA450" s="83">
        <f t="shared" si="517"/>
        <v>0</v>
      </c>
      <c r="AB450" s="83"/>
      <c r="AC450" s="83"/>
      <c r="AD450" s="83"/>
      <c r="AE450" s="8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</row>
    <row r="451" spans="1:50" ht="15.75" x14ac:dyDescent="0.25">
      <c r="A451" s="81">
        <f t="shared" si="512"/>
        <v>6</v>
      </c>
      <c r="B451" s="25"/>
      <c r="C451" s="59"/>
      <c r="D451" s="59"/>
      <c r="E451" s="59"/>
      <c r="F451" s="59"/>
      <c r="G451" s="59"/>
      <c r="H451" s="59"/>
      <c r="I451" s="83">
        <f t="shared" ref="I451:AA451" si="518">IF($D$347&gt;$B450,0,$H$45/$B450)</f>
        <v>0</v>
      </c>
      <c r="J451" s="83">
        <f t="shared" si="518"/>
        <v>0</v>
      </c>
      <c r="K451" s="83">
        <f t="shared" si="518"/>
        <v>0</v>
      </c>
      <c r="L451" s="83">
        <f t="shared" si="518"/>
        <v>0</v>
      </c>
      <c r="M451" s="83">
        <f t="shared" si="518"/>
        <v>0</v>
      </c>
      <c r="N451" s="83">
        <f t="shared" si="518"/>
        <v>0</v>
      </c>
      <c r="O451" s="83">
        <f t="shared" si="518"/>
        <v>0</v>
      </c>
      <c r="P451" s="83">
        <f t="shared" si="518"/>
        <v>0</v>
      </c>
      <c r="Q451" s="83">
        <f t="shared" si="518"/>
        <v>0</v>
      </c>
      <c r="R451" s="83">
        <f t="shared" si="518"/>
        <v>0</v>
      </c>
      <c r="S451" s="83">
        <f t="shared" si="518"/>
        <v>0</v>
      </c>
      <c r="T451" s="83">
        <f t="shared" si="518"/>
        <v>0</v>
      </c>
      <c r="U451" s="83">
        <f t="shared" si="518"/>
        <v>0</v>
      </c>
      <c r="V451" s="83">
        <f t="shared" si="518"/>
        <v>0</v>
      </c>
      <c r="W451" s="83">
        <f t="shared" si="518"/>
        <v>0</v>
      </c>
      <c r="X451" s="83">
        <f t="shared" si="518"/>
        <v>0</v>
      </c>
      <c r="Y451" s="83">
        <f t="shared" si="518"/>
        <v>0</v>
      </c>
      <c r="Z451" s="83">
        <f t="shared" si="518"/>
        <v>0</v>
      </c>
      <c r="AA451" s="83">
        <f t="shared" si="518"/>
        <v>0</v>
      </c>
      <c r="AB451" s="83"/>
      <c r="AC451" s="83"/>
      <c r="AD451" s="83"/>
      <c r="AE451" s="83"/>
      <c r="AF451" s="8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</row>
    <row r="452" spans="1:50" ht="15.75" x14ac:dyDescent="0.25">
      <c r="A452" s="81">
        <f t="shared" si="512"/>
        <v>7</v>
      </c>
      <c r="B452" s="25"/>
      <c r="C452" s="59"/>
      <c r="D452" s="59"/>
      <c r="E452" s="59"/>
      <c r="F452" s="59"/>
      <c r="G452" s="59"/>
      <c r="H452" s="59"/>
      <c r="I452" s="59"/>
      <c r="J452" s="83">
        <f t="shared" ref="J452:AA452" si="519">IF($D$347&gt;$B451,0,$I$45/$B451)</f>
        <v>0</v>
      </c>
      <c r="K452" s="83">
        <f t="shared" si="519"/>
        <v>0</v>
      </c>
      <c r="L452" s="83">
        <f t="shared" si="519"/>
        <v>0</v>
      </c>
      <c r="M452" s="83">
        <f t="shared" si="519"/>
        <v>0</v>
      </c>
      <c r="N452" s="83">
        <f t="shared" si="519"/>
        <v>0</v>
      </c>
      <c r="O452" s="83">
        <f t="shared" si="519"/>
        <v>0</v>
      </c>
      <c r="P452" s="83">
        <f t="shared" si="519"/>
        <v>0</v>
      </c>
      <c r="Q452" s="83">
        <f t="shared" si="519"/>
        <v>0</v>
      </c>
      <c r="R452" s="83">
        <f t="shared" si="519"/>
        <v>0</v>
      </c>
      <c r="S452" s="83">
        <f t="shared" si="519"/>
        <v>0</v>
      </c>
      <c r="T452" s="83">
        <f t="shared" si="519"/>
        <v>0</v>
      </c>
      <c r="U452" s="83">
        <f t="shared" si="519"/>
        <v>0</v>
      </c>
      <c r="V452" s="83">
        <f t="shared" si="519"/>
        <v>0</v>
      </c>
      <c r="W452" s="83">
        <f t="shared" si="519"/>
        <v>0</v>
      </c>
      <c r="X452" s="83">
        <f t="shared" si="519"/>
        <v>0</v>
      </c>
      <c r="Y452" s="83">
        <f t="shared" si="519"/>
        <v>0</v>
      </c>
      <c r="Z452" s="83">
        <f t="shared" si="519"/>
        <v>0</v>
      </c>
      <c r="AA452" s="83">
        <f t="shared" si="519"/>
        <v>0</v>
      </c>
      <c r="AB452" s="83"/>
      <c r="AC452" s="83"/>
      <c r="AD452" s="83"/>
      <c r="AE452" s="83"/>
      <c r="AF452" s="83"/>
      <c r="AG452" s="8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</row>
    <row r="453" spans="1:50" ht="15.75" x14ac:dyDescent="0.25">
      <c r="A453" s="81">
        <f t="shared" si="512"/>
        <v>8</v>
      </c>
      <c r="B453" s="25"/>
      <c r="C453" s="59"/>
      <c r="D453" s="59"/>
      <c r="E453" s="59"/>
      <c r="F453" s="59"/>
      <c r="G453" s="59"/>
      <c r="H453" s="59"/>
      <c r="I453" s="59"/>
      <c r="J453" s="59"/>
      <c r="K453" s="83">
        <f t="shared" ref="K453:AA453" si="520">IF($D$347&gt;$B452,0,$J$45/$B452)</f>
        <v>0</v>
      </c>
      <c r="L453" s="83">
        <f t="shared" si="520"/>
        <v>0</v>
      </c>
      <c r="M453" s="83">
        <f t="shared" si="520"/>
        <v>0</v>
      </c>
      <c r="N453" s="83">
        <f t="shared" si="520"/>
        <v>0</v>
      </c>
      <c r="O453" s="83">
        <f t="shared" si="520"/>
        <v>0</v>
      </c>
      <c r="P453" s="83">
        <f t="shared" si="520"/>
        <v>0</v>
      </c>
      <c r="Q453" s="83">
        <f t="shared" si="520"/>
        <v>0</v>
      </c>
      <c r="R453" s="83">
        <f t="shared" si="520"/>
        <v>0</v>
      </c>
      <c r="S453" s="83">
        <f t="shared" si="520"/>
        <v>0</v>
      </c>
      <c r="T453" s="83">
        <f t="shared" si="520"/>
        <v>0</v>
      </c>
      <c r="U453" s="83">
        <f t="shared" si="520"/>
        <v>0</v>
      </c>
      <c r="V453" s="83">
        <f t="shared" si="520"/>
        <v>0</v>
      </c>
      <c r="W453" s="83">
        <f t="shared" si="520"/>
        <v>0</v>
      </c>
      <c r="X453" s="83">
        <f t="shared" si="520"/>
        <v>0</v>
      </c>
      <c r="Y453" s="83">
        <f t="shared" si="520"/>
        <v>0</v>
      </c>
      <c r="Z453" s="83">
        <f t="shared" si="520"/>
        <v>0</v>
      </c>
      <c r="AA453" s="83">
        <f t="shared" si="520"/>
        <v>0</v>
      </c>
      <c r="AB453" s="83"/>
      <c r="AC453" s="83"/>
      <c r="AD453" s="83"/>
      <c r="AE453" s="83"/>
      <c r="AF453" s="83"/>
      <c r="AG453" s="83"/>
      <c r="AH453" s="8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</row>
    <row r="454" spans="1:50" ht="15.75" x14ac:dyDescent="0.25">
      <c r="A454" s="81">
        <f t="shared" si="512"/>
        <v>9</v>
      </c>
      <c r="B454" s="25"/>
      <c r="C454" s="59"/>
      <c r="D454" s="59"/>
      <c r="E454" s="59"/>
      <c r="F454" s="59"/>
      <c r="G454" s="59"/>
      <c r="H454" s="59"/>
      <c r="I454" s="59"/>
      <c r="J454" s="59"/>
      <c r="K454" s="83"/>
      <c r="L454" s="83">
        <f t="shared" ref="L454:AA454" si="521">IF($D$347&gt;$B453,0,$K$45/$B453)</f>
        <v>0</v>
      </c>
      <c r="M454" s="83">
        <f t="shared" si="521"/>
        <v>0</v>
      </c>
      <c r="N454" s="83">
        <f t="shared" si="521"/>
        <v>0</v>
      </c>
      <c r="O454" s="83">
        <f t="shared" si="521"/>
        <v>0</v>
      </c>
      <c r="P454" s="83">
        <f t="shared" si="521"/>
        <v>0</v>
      </c>
      <c r="Q454" s="83">
        <f t="shared" si="521"/>
        <v>0</v>
      </c>
      <c r="R454" s="83">
        <f t="shared" si="521"/>
        <v>0</v>
      </c>
      <c r="S454" s="83">
        <f t="shared" si="521"/>
        <v>0</v>
      </c>
      <c r="T454" s="83">
        <f t="shared" si="521"/>
        <v>0</v>
      </c>
      <c r="U454" s="83">
        <f t="shared" si="521"/>
        <v>0</v>
      </c>
      <c r="V454" s="83">
        <f t="shared" si="521"/>
        <v>0</v>
      </c>
      <c r="W454" s="83">
        <f t="shared" si="521"/>
        <v>0</v>
      </c>
      <c r="X454" s="83">
        <f t="shared" si="521"/>
        <v>0</v>
      </c>
      <c r="Y454" s="83">
        <f t="shared" si="521"/>
        <v>0</v>
      </c>
      <c r="Z454" s="83">
        <f t="shared" si="521"/>
        <v>0</v>
      </c>
      <c r="AA454" s="83">
        <f t="shared" si="521"/>
        <v>0</v>
      </c>
      <c r="AB454" s="83"/>
      <c r="AC454" s="83"/>
      <c r="AD454" s="83"/>
      <c r="AE454" s="83"/>
      <c r="AF454" s="83"/>
      <c r="AG454" s="83"/>
      <c r="AH454" s="83"/>
      <c r="AI454" s="8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</row>
    <row r="455" spans="1:50" ht="15.75" x14ac:dyDescent="0.25">
      <c r="A455" s="81">
        <f>A424</f>
        <v>10</v>
      </c>
      <c r="B455" s="3"/>
      <c r="C455" s="3"/>
      <c r="D455" s="59"/>
      <c r="E455" s="59"/>
      <c r="F455" s="59"/>
      <c r="G455" s="59"/>
      <c r="H455" s="59"/>
      <c r="I455" s="59"/>
      <c r="J455" s="59"/>
      <c r="K455" s="83"/>
      <c r="L455" s="83"/>
      <c r="M455" s="83">
        <f t="shared" ref="M455:AA455" si="522">IF($D$347&gt;$B454,0,$L$45/$B454)</f>
        <v>0</v>
      </c>
      <c r="N455" s="83">
        <f t="shared" si="522"/>
        <v>0</v>
      </c>
      <c r="O455" s="83">
        <f t="shared" si="522"/>
        <v>0</v>
      </c>
      <c r="P455" s="83">
        <f t="shared" si="522"/>
        <v>0</v>
      </c>
      <c r="Q455" s="83">
        <f t="shared" si="522"/>
        <v>0</v>
      </c>
      <c r="R455" s="83">
        <f t="shared" si="522"/>
        <v>0</v>
      </c>
      <c r="S455" s="83">
        <f t="shared" si="522"/>
        <v>0</v>
      </c>
      <c r="T455" s="83">
        <f t="shared" si="522"/>
        <v>0</v>
      </c>
      <c r="U455" s="83">
        <f t="shared" si="522"/>
        <v>0</v>
      </c>
      <c r="V455" s="83">
        <f t="shared" si="522"/>
        <v>0</v>
      </c>
      <c r="W455" s="83">
        <f t="shared" si="522"/>
        <v>0</v>
      </c>
      <c r="X455" s="83">
        <f t="shared" si="522"/>
        <v>0</v>
      </c>
      <c r="Y455" s="83">
        <f t="shared" si="522"/>
        <v>0</v>
      </c>
      <c r="Z455" s="83">
        <f t="shared" si="522"/>
        <v>0</v>
      </c>
      <c r="AA455" s="83">
        <f t="shared" si="522"/>
        <v>0</v>
      </c>
      <c r="AB455" s="83"/>
      <c r="AC455" s="83"/>
      <c r="AD455" s="83"/>
      <c r="AE455" s="83"/>
      <c r="AF455" s="83"/>
      <c r="AG455" s="83"/>
      <c r="AH455" s="83"/>
      <c r="AI455" s="83"/>
      <c r="AJ455" s="8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</row>
    <row r="456" spans="1:50" ht="15.75" x14ac:dyDescent="0.25">
      <c r="A456" s="81">
        <v>11</v>
      </c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83">
        <f t="shared" ref="N456:AA456" si="523">IF($D$347&gt;$B455,0,$M$45/$B455)</f>
        <v>0</v>
      </c>
      <c r="O456" s="83">
        <f t="shared" si="523"/>
        <v>0</v>
      </c>
      <c r="P456" s="83">
        <f t="shared" si="523"/>
        <v>0</v>
      </c>
      <c r="Q456" s="83">
        <f t="shared" si="523"/>
        <v>0</v>
      </c>
      <c r="R456" s="83">
        <f t="shared" si="523"/>
        <v>0</v>
      </c>
      <c r="S456" s="83">
        <f t="shared" si="523"/>
        <v>0</v>
      </c>
      <c r="T456" s="83">
        <f t="shared" si="523"/>
        <v>0</v>
      </c>
      <c r="U456" s="83">
        <f t="shared" si="523"/>
        <v>0</v>
      </c>
      <c r="V456" s="83">
        <f t="shared" si="523"/>
        <v>0</v>
      </c>
      <c r="W456" s="83">
        <f t="shared" si="523"/>
        <v>0</v>
      </c>
      <c r="X456" s="83">
        <f t="shared" si="523"/>
        <v>0</v>
      </c>
      <c r="Y456" s="83">
        <f t="shared" si="523"/>
        <v>0</v>
      </c>
      <c r="Z456" s="83">
        <f t="shared" si="523"/>
        <v>0</v>
      </c>
      <c r="AA456" s="83">
        <f t="shared" si="523"/>
        <v>0</v>
      </c>
      <c r="AB456" s="83"/>
      <c r="AC456" s="83"/>
      <c r="AD456" s="83"/>
      <c r="AE456" s="83"/>
      <c r="AF456" s="83"/>
      <c r="AG456" s="83"/>
      <c r="AH456" s="83"/>
      <c r="AI456" s="83"/>
      <c r="AJ456" s="83"/>
      <c r="AK456" s="8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</row>
    <row r="457" spans="1:50" ht="15.75" x14ac:dyDescent="0.25">
      <c r="A457" s="81">
        <v>12</v>
      </c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83">
        <f t="shared" ref="O457:AA457" si="524">IF($D$347&gt;$B456,0,$N$45/$B456)</f>
        <v>0</v>
      </c>
      <c r="P457" s="83">
        <f t="shared" si="524"/>
        <v>0</v>
      </c>
      <c r="Q457" s="83">
        <f t="shared" si="524"/>
        <v>0</v>
      </c>
      <c r="R457" s="83">
        <f t="shared" si="524"/>
        <v>0</v>
      </c>
      <c r="S457" s="83">
        <f t="shared" si="524"/>
        <v>0</v>
      </c>
      <c r="T457" s="83">
        <f t="shared" si="524"/>
        <v>0</v>
      </c>
      <c r="U457" s="83">
        <f t="shared" si="524"/>
        <v>0</v>
      </c>
      <c r="V457" s="83">
        <f t="shared" si="524"/>
        <v>0</v>
      </c>
      <c r="W457" s="83">
        <f t="shared" si="524"/>
        <v>0</v>
      </c>
      <c r="X457" s="83">
        <f t="shared" si="524"/>
        <v>0</v>
      </c>
      <c r="Y457" s="83">
        <f t="shared" si="524"/>
        <v>0</v>
      </c>
      <c r="Z457" s="83">
        <f t="shared" si="524"/>
        <v>0</v>
      </c>
      <c r="AA457" s="83">
        <f t="shared" si="524"/>
        <v>0</v>
      </c>
      <c r="AB457" s="83"/>
      <c r="AC457" s="83"/>
      <c r="AD457" s="83"/>
      <c r="AE457" s="83"/>
      <c r="AF457" s="83"/>
      <c r="AG457" s="83"/>
      <c r="AH457" s="83"/>
      <c r="AI457" s="83"/>
      <c r="AJ457" s="83"/>
      <c r="AK457" s="83"/>
      <c r="AL457" s="8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</row>
    <row r="458" spans="1:50" ht="15.75" x14ac:dyDescent="0.25">
      <c r="A458" s="81">
        <v>13</v>
      </c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83">
        <f t="shared" ref="P458:AA458" si="525">IF($D$347&gt;$B457,0,$O$45/$B457)</f>
        <v>0</v>
      </c>
      <c r="Q458" s="83">
        <f t="shared" si="525"/>
        <v>0</v>
      </c>
      <c r="R458" s="83">
        <f t="shared" si="525"/>
        <v>0</v>
      </c>
      <c r="S458" s="83">
        <f t="shared" si="525"/>
        <v>0</v>
      </c>
      <c r="T458" s="83">
        <f t="shared" si="525"/>
        <v>0</v>
      </c>
      <c r="U458" s="83">
        <f t="shared" si="525"/>
        <v>0</v>
      </c>
      <c r="V458" s="83">
        <f t="shared" si="525"/>
        <v>0</v>
      </c>
      <c r="W458" s="83">
        <f t="shared" si="525"/>
        <v>0</v>
      </c>
      <c r="X458" s="83">
        <f t="shared" si="525"/>
        <v>0</v>
      </c>
      <c r="Y458" s="83">
        <f t="shared" si="525"/>
        <v>0</v>
      </c>
      <c r="Z458" s="83">
        <f t="shared" si="525"/>
        <v>0</v>
      </c>
      <c r="AA458" s="83">
        <f t="shared" si="525"/>
        <v>0</v>
      </c>
      <c r="AB458" s="83"/>
      <c r="AC458" s="83"/>
      <c r="AD458" s="83"/>
      <c r="AE458" s="83"/>
      <c r="AF458" s="83"/>
      <c r="AG458" s="83"/>
      <c r="AH458" s="83"/>
      <c r="AI458" s="83"/>
      <c r="AJ458" s="83"/>
      <c r="AK458" s="83"/>
      <c r="AL458" s="83"/>
      <c r="AM458" s="8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</row>
    <row r="459" spans="1:50" ht="15.75" x14ac:dyDescent="0.25">
      <c r="A459" s="81">
        <v>14</v>
      </c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83">
        <f t="shared" ref="Q459:AA459" si="526">IF($D$347&gt;$B458,0,$P$45/$B458)</f>
        <v>0</v>
      </c>
      <c r="R459" s="83">
        <f t="shared" si="526"/>
        <v>0</v>
      </c>
      <c r="S459" s="83">
        <f t="shared" si="526"/>
        <v>0</v>
      </c>
      <c r="T459" s="83">
        <f t="shared" si="526"/>
        <v>0</v>
      </c>
      <c r="U459" s="83">
        <f t="shared" si="526"/>
        <v>0</v>
      </c>
      <c r="V459" s="83">
        <f t="shared" si="526"/>
        <v>0</v>
      </c>
      <c r="W459" s="83">
        <f t="shared" si="526"/>
        <v>0</v>
      </c>
      <c r="X459" s="83">
        <f t="shared" si="526"/>
        <v>0</v>
      </c>
      <c r="Y459" s="83">
        <f t="shared" si="526"/>
        <v>0</v>
      </c>
      <c r="Z459" s="83">
        <f t="shared" si="526"/>
        <v>0</v>
      </c>
      <c r="AA459" s="83">
        <f t="shared" si="526"/>
        <v>0</v>
      </c>
      <c r="AB459" s="83"/>
      <c r="AC459" s="83"/>
      <c r="AD459" s="83"/>
      <c r="AE459" s="83"/>
      <c r="AF459" s="83"/>
      <c r="AG459" s="83"/>
      <c r="AH459" s="83"/>
      <c r="AI459" s="83"/>
      <c r="AJ459" s="83"/>
      <c r="AK459" s="83"/>
      <c r="AL459" s="83"/>
      <c r="AM459" s="83"/>
      <c r="AN459" s="83"/>
      <c r="AO459" s="3"/>
      <c r="AP459" s="3"/>
      <c r="AQ459" s="3"/>
      <c r="AR459" s="3"/>
      <c r="AS459" s="3"/>
      <c r="AT459" s="3"/>
      <c r="AU459" s="3"/>
      <c r="AV459" s="3"/>
      <c r="AW459" s="3"/>
      <c r="AX459" s="3"/>
    </row>
    <row r="460" spans="1:50" ht="15.75" x14ac:dyDescent="0.25">
      <c r="A460" s="81">
        <v>15</v>
      </c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83">
        <f t="shared" ref="R460:AA460" si="527">IF($D$347&gt;$B459,0,$Q$45/$B459)</f>
        <v>0</v>
      </c>
      <c r="S460" s="83">
        <f t="shared" si="527"/>
        <v>0</v>
      </c>
      <c r="T460" s="83">
        <f t="shared" si="527"/>
        <v>0</v>
      </c>
      <c r="U460" s="83">
        <f t="shared" si="527"/>
        <v>0</v>
      </c>
      <c r="V460" s="83">
        <f t="shared" si="527"/>
        <v>0</v>
      </c>
      <c r="W460" s="83">
        <f t="shared" si="527"/>
        <v>0</v>
      </c>
      <c r="X460" s="83">
        <f t="shared" si="527"/>
        <v>0</v>
      </c>
      <c r="Y460" s="83">
        <f t="shared" si="527"/>
        <v>0</v>
      </c>
      <c r="Z460" s="83">
        <f t="shared" si="527"/>
        <v>0</v>
      </c>
      <c r="AA460" s="83">
        <f t="shared" si="527"/>
        <v>0</v>
      </c>
      <c r="AB460" s="83"/>
      <c r="AC460" s="83"/>
      <c r="AD460" s="83"/>
      <c r="AE460" s="83"/>
      <c r="AF460" s="83"/>
      <c r="AG460" s="83"/>
      <c r="AH460" s="83"/>
      <c r="AI460" s="83"/>
      <c r="AJ460" s="83"/>
      <c r="AK460" s="83"/>
      <c r="AL460" s="83"/>
      <c r="AM460" s="83"/>
      <c r="AN460" s="83"/>
      <c r="AO460" s="83"/>
      <c r="AP460" s="3"/>
      <c r="AQ460" s="3"/>
      <c r="AR460" s="3"/>
      <c r="AS460" s="3"/>
      <c r="AT460" s="3"/>
      <c r="AU460" s="3"/>
      <c r="AV460" s="3"/>
      <c r="AW460" s="3"/>
      <c r="AX460" s="3"/>
    </row>
    <row r="461" spans="1:50" ht="15.75" x14ac:dyDescent="0.25">
      <c r="A461" s="81">
        <v>16</v>
      </c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83">
        <f t="shared" ref="S461:AA461" si="528">IF($D$347&gt;$B460,0,$R$45/$B460)</f>
        <v>0</v>
      </c>
      <c r="T461" s="83">
        <f t="shared" si="528"/>
        <v>0</v>
      </c>
      <c r="U461" s="83">
        <f t="shared" si="528"/>
        <v>0</v>
      </c>
      <c r="V461" s="83">
        <f t="shared" si="528"/>
        <v>0</v>
      </c>
      <c r="W461" s="83">
        <f t="shared" si="528"/>
        <v>0</v>
      </c>
      <c r="X461" s="83">
        <f t="shared" si="528"/>
        <v>0</v>
      </c>
      <c r="Y461" s="83">
        <f t="shared" si="528"/>
        <v>0</v>
      </c>
      <c r="Z461" s="83">
        <f t="shared" si="528"/>
        <v>0</v>
      </c>
      <c r="AA461" s="83">
        <f t="shared" si="528"/>
        <v>0</v>
      </c>
      <c r="AB461" s="83"/>
      <c r="AC461" s="83"/>
      <c r="AD461" s="83"/>
      <c r="AE461" s="83"/>
      <c r="AF461" s="83"/>
      <c r="AG461" s="83"/>
      <c r="AH461" s="83"/>
      <c r="AI461" s="83"/>
      <c r="AJ461" s="83"/>
      <c r="AK461" s="83"/>
      <c r="AL461" s="83"/>
      <c r="AM461" s="83"/>
      <c r="AN461" s="83"/>
      <c r="AO461" s="83"/>
      <c r="AP461" s="83"/>
      <c r="AQ461" s="3"/>
      <c r="AR461" s="3"/>
      <c r="AS461" s="3"/>
      <c r="AT461" s="3"/>
      <c r="AU461" s="3"/>
      <c r="AV461" s="3"/>
      <c r="AW461" s="3"/>
      <c r="AX461" s="3"/>
    </row>
    <row r="462" spans="1:50" ht="15.75" x14ac:dyDescent="0.25">
      <c r="A462" s="81">
        <v>17</v>
      </c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83">
        <f t="shared" ref="T462:AA462" si="529">IF($D$347&gt;$B461,0,$S$45/$B461)</f>
        <v>0</v>
      </c>
      <c r="U462" s="83">
        <f t="shared" si="529"/>
        <v>0</v>
      </c>
      <c r="V462" s="83">
        <f t="shared" si="529"/>
        <v>0</v>
      </c>
      <c r="W462" s="83">
        <f t="shared" si="529"/>
        <v>0</v>
      </c>
      <c r="X462" s="83">
        <f t="shared" si="529"/>
        <v>0</v>
      </c>
      <c r="Y462" s="83">
        <f t="shared" si="529"/>
        <v>0</v>
      </c>
      <c r="Z462" s="83">
        <f t="shared" si="529"/>
        <v>0</v>
      </c>
      <c r="AA462" s="83">
        <f t="shared" si="529"/>
        <v>0</v>
      </c>
      <c r="AB462" s="83"/>
      <c r="AC462" s="83"/>
      <c r="AD462" s="83"/>
      <c r="AE462" s="83"/>
      <c r="AF462" s="83"/>
      <c r="AG462" s="83"/>
      <c r="AH462" s="83"/>
      <c r="AI462" s="83"/>
      <c r="AJ462" s="83"/>
      <c r="AK462" s="83"/>
      <c r="AL462" s="83"/>
      <c r="AM462" s="83"/>
      <c r="AN462" s="83"/>
      <c r="AO462" s="83"/>
      <c r="AP462" s="83"/>
      <c r="AQ462" s="83"/>
      <c r="AR462" s="3"/>
      <c r="AS462" s="3"/>
      <c r="AT462" s="3"/>
      <c r="AU462" s="3"/>
      <c r="AV462" s="3"/>
      <c r="AW462" s="3"/>
      <c r="AX462" s="3"/>
    </row>
    <row r="463" spans="1:50" ht="15.75" x14ac:dyDescent="0.25">
      <c r="A463" s="81">
        <v>18</v>
      </c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83">
        <f t="shared" ref="U463:AA463" si="530">IF($D$347&gt;$B462,0,$T$45/$B462)</f>
        <v>0</v>
      </c>
      <c r="V463" s="83">
        <f t="shared" si="530"/>
        <v>0</v>
      </c>
      <c r="W463" s="83">
        <f t="shared" si="530"/>
        <v>0</v>
      </c>
      <c r="X463" s="83">
        <f t="shared" si="530"/>
        <v>0</v>
      </c>
      <c r="Y463" s="83">
        <f t="shared" si="530"/>
        <v>0</v>
      </c>
      <c r="Z463" s="83">
        <f t="shared" si="530"/>
        <v>0</v>
      </c>
      <c r="AA463" s="83">
        <f t="shared" si="530"/>
        <v>0</v>
      </c>
      <c r="AB463" s="83"/>
      <c r="AC463" s="83"/>
      <c r="AD463" s="83"/>
      <c r="AE463" s="83"/>
      <c r="AF463" s="83"/>
      <c r="AG463" s="83"/>
      <c r="AH463" s="83"/>
      <c r="AI463" s="83"/>
      <c r="AJ463" s="83"/>
      <c r="AK463" s="83"/>
      <c r="AL463" s="83"/>
      <c r="AM463" s="83"/>
      <c r="AN463" s="83"/>
      <c r="AO463" s="83"/>
      <c r="AP463" s="83"/>
      <c r="AQ463" s="83"/>
      <c r="AR463" s="83"/>
      <c r="AS463" s="3"/>
      <c r="AT463" s="3"/>
      <c r="AU463" s="3"/>
      <c r="AV463" s="3"/>
      <c r="AW463" s="3"/>
      <c r="AX463" s="3"/>
    </row>
    <row r="464" spans="1:50" ht="15.75" x14ac:dyDescent="0.25">
      <c r="A464" s="81">
        <v>19</v>
      </c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83">
        <f t="shared" ref="V464:AA464" si="531">IF($D$347&gt;$B463,0,$U$45/$B463)</f>
        <v>0</v>
      </c>
      <c r="W464" s="83">
        <f t="shared" si="531"/>
        <v>0</v>
      </c>
      <c r="X464" s="83">
        <f t="shared" si="531"/>
        <v>0</v>
      </c>
      <c r="Y464" s="83">
        <f t="shared" si="531"/>
        <v>0</v>
      </c>
      <c r="Z464" s="83">
        <f t="shared" si="531"/>
        <v>0</v>
      </c>
      <c r="AA464" s="83">
        <f t="shared" si="531"/>
        <v>0</v>
      </c>
      <c r="AB464" s="83"/>
      <c r="AC464" s="83"/>
      <c r="AD464" s="83"/>
      <c r="AE464" s="83"/>
      <c r="AF464" s="83"/>
      <c r="AG464" s="83"/>
      <c r="AH464" s="83"/>
      <c r="AI464" s="83"/>
      <c r="AJ464" s="83"/>
      <c r="AK464" s="83"/>
      <c r="AL464" s="83"/>
      <c r="AM464" s="83"/>
      <c r="AN464" s="83"/>
      <c r="AO464" s="83"/>
      <c r="AP464" s="83"/>
      <c r="AQ464" s="83"/>
      <c r="AR464" s="83"/>
      <c r="AS464" s="83"/>
      <c r="AT464" s="3"/>
      <c r="AU464" s="3"/>
      <c r="AV464" s="3"/>
      <c r="AW464" s="3"/>
      <c r="AX464" s="3"/>
    </row>
    <row r="465" spans="1:50" ht="15.75" x14ac:dyDescent="0.25">
      <c r="A465" s="81">
        <v>20</v>
      </c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83">
        <f>IF($D$347&gt;$B464,0,$V$45/$B464)</f>
        <v>0</v>
      </c>
      <c r="X465" s="83">
        <f>IF($D$347&gt;$B464,0,$V$45/$B464)</f>
        <v>0</v>
      </c>
      <c r="Y465" s="83">
        <f>IF($D$347&gt;$B464,0,$V$45/$B464)</f>
        <v>0</v>
      </c>
      <c r="Z465" s="83">
        <f>IF($D$347&gt;$B464,0,$V$45/$B464)</f>
        <v>0</v>
      </c>
      <c r="AA465" s="83">
        <f>IF($D$347&gt;$B464,0,$V$45/$B464)</f>
        <v>0</v>
      </c>
      <c r="AB465" s="83"/>
      <c r="AC465" s="83"/>
      <c r="AD465" s="83"/>
      <c r="AE465" s="83"/>
      <c r="AF465" s="83"/>
      <c r="AG465" s="83"/>
      <c r="AH465" s="83"/>
      <c r="AI465" s="83"/>
      <c r="AJ465" s="83"/>
      <c r="AK465" s="83"/>
      <c r="AL465" s="83"/>
      <c r="AM465" s="83"/>
      <c r="AN465" s="83"/>
      <c r="AO465" s="83"/>
      <c r="AP465" s="83"/>
      <c r="AQ465" s="83"/>
      <c r="AR465" s="83"/>
      <c r="AS465" s="83"/>
      <c r="AT465" s="83"/>
      <c r="AU465" s="3"/>
      <c r="AV465" s="3"/>
      <c r="AW465" s="3"/>
      <c r="AX465" s="3"/>
    </row>
    <row r="466" spans="1:50" ht="15.75" x14ac:dyDescent="0.25">
      <c r="A466" s="81">
        <v>21</v>
      </c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83">
        <f>IF($D$347&gt;$B465,0,$W$45/$B465)</f>
        <v>0</v>
      </c>
      <c r="Y466" s="83">
        <f>IF($D$347&gt;$B465,0,$W$45/$B465)</f>
        <v>0</v>
      </c>
      <c r="Z466" s="83">
        <f>IF($D$347&gt;$B465,0,$W$45/$B465)</f>
        <v>0</v>
      </c>
      <c r="AA466" s="83">
        <f>IF($D$347&gt;$B465,0,$W$45/$B465)</f>
        <v>0</v>
      </c>
      <c r="AB466" s="83"/>
      <c r="AC466" s="83"/>
      <c r="AD466" s="83"/>
      <c r="AE466" s="83"/>
      <c r="AF466" s="83"/>
      <c r="AG466" s="83"/>
      <c r="AH466" s="83"/>
      <c r="AI466" s="83"/>
      <c r="AJ466" s="83"/>
      <c r="AK466" s="83"/>
      <c r="AL466" s="83"/>
      <c r="AM466" s="83"/>
      <c r="AN466" s="83"/>
      <c r="AO466" s="83"/>
      <c r="AP466" s="83"/>
      <c r="AQ466" s="83"/>
      <c r="AR466" s="83"/>
      <c r="AS466" s="83"/>
      <c r="AT466" s="83"/>
      <c r="AU466" s="83"/>
      <c r="AV466" s="3"/>
      <c r="AW466" s="3"/>
      <c r="AX466" s="3"/>
    </row>
    <row r="467" spans="1:50" ht="15.75" x14ac:dyDescent="0.25">
      <c r="A467" s="81">
        <v>22</v>
      </c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83">
        <f>IF($D$347&gt;$B466,0,$X$45/$B466)</f>
        <v>0</v>
      </c>
      <c r="Z467" s="83">
        <f>IF($D$347&gt;$B466,0,$X$45/$B466)</f>
        <v>0</v>
      </c>
      <c r="AA467" s="83">
        <f>IF($D$347&gt;$B466,0,$X$45/$B466)</f>
        <v>0</v>
      </c>
      <c r="AB467" s="83"/>
      <c r="AC467" s="83"/>
      <c r="AD467" s="83"/>
      <c r="AE467" s="83"/>
      <c r="AF467" s="83"/>
      <c r="AG467" s="83"/>
      <c r="AH467" s="83"/>
      <c r="AI467" s="83"/>
      <c r="AJ467" s="83"/>
      <c r="AK467" s="83"/>
      <c r="AL467" s="83"/>
      <c r="AM467" s="83"/>
      <c r="AN467" s="83"/>
      <c r="AO467" s="83"/>
      <c r="AP467" s="83"/>
      <c r="AQ467" s="83"/>
      <c r="AR467" s="83"/>
      <c r="AS467" s="83"/>
      <c r="AT467" s="83"/>
      <c r="AU467" s="83"/>
      <c r="AV467" s="83"/>
      <c r="AW467" s="3"/>
      <c r="AX467" s="3"/>
    </row>
    <row r="468" spans="1:50" ht="15.75" x14ac:dyDescent="0.25">
      <c r="A468" s="81">
        <v>23</v>
      </c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83">
        <f>IF($D$347&gt;$B467,0,$Y$45/$B467)</f>
        <v>0</v>
      </c>
      <c r="AA468" s="83">
        <f>IF($D$347&gt;$B467,0,$Y$45/$B467)</f>
        <v>0</v>
      </c>
      <c r="AB468" s="83"/>
      <c r="AC468" s="83"/>
      <c r="AD468" s="83"/>
      <c r="AE468" s="83"/>
      <c r="AF468" s="83"/>
      <c r="AG468" s="83"/>
      <c r="AH468" s="83"/>
      <c r="AI468" s="83"/>
      <c r="AJ468" s="83"/>
      <c r="AK468" s="83"/>
      <c r="AL468" s="83"/>
      <c r="AM468" s="83"/>
      <c r="AN468" s="83"/>
      <c r="AO468" s="83"/>
      <c r="AP468" s="83"/>
      <c r="AQ468" s="83"/>
      <c r="AR468" s="83"/>
      <c r="AS468" s="83"/>
      <c r="AT468" s="83"/>
      <c r="AU468" s="83"/>
      <c r="AV468" s="83"/>
      <c r="AW468" s="83"/>
      <c r="AX468" s="3"/>
    </row>
    <row r="469" spans="1:50" ht="16.5" thickBot="1" x14ac:dyDescent="0.3">
      <c r="A469" s="409">
        <v>24</v>
      </c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410">
        <f>IF($D$347&gt;$B468,0,$Z$45/$B468)</f>
        <v>0</v>
      </c>
      <c r="AB469" s="410"/>
      <c r="AC469" s="410"/>
      <c r="AD469" s="410"/>
      <c r="AE469" s="410"/>
      <c r="AF469" s="410"/>
      <c r="AG469" s="410"/>
      <c r="AH469" s="410"/>
      <c r="AI469" s="410"/>
      <c r="AJ469" s="410"/>
      <c r="AK469" s="410"/>
      <c r="AL469" s="410"/>
      <c r="AM469" s="410"/>
      <c r="AN469" s="410"/>
      <c r="AO469" s="410"/>
      <c r="AP469" s="410"/>
      <c r="AQ469" s="410"/>
      <c r="AR469" s="410"/>
      <c r="AS469" s="410"/>
      <c r="AT469" s="410"/>
      <c r="AU469" s="410"/>
      <c r="AV469" s="410"/>
      <c r="AW469" s="410"/>
      <c r="AX469" s="410"/>
    </row>
    <row r="470" spans="1:50" x14ac:dyDescent="0.25">
      <c r="A470" s="411" t="s">
        <v>95</v>
      </c>
      <c r="B470" s="412"/>
      <c r="C470" s="412"/>
      <c r="D470" s="413">
        <f>SUM(D446:D469)</f>
        <v>0</v>
      </c>
      <c r="E470" s="413">
        <f t="shared" ref="E470" si="532">SUM(E446:E469)</f>
        <v>0</v>
      </c>
      <c r="F470" s="413">
        <f t="shared" ref="F470" si="533">SUM(F446:F469)</f>
        <v>0</v>
      </c>
      <c r="G470" s="413">
        <f t="shared" ref="G470" si="534">SUM(G446:G469)</f>
        <v>0</v>
      </c>
      <c r="H470" s="413">
        <f t="shared" ref="H470" si="535">SUM(H446:H469)</f>
        <v>0</v>
      </c>
      <c r="I470" s="413">
        <f t="shared" ref="I470" si="536">SUM(I446:I469)</f>
        <v>0</v>
      </c>
      <c r="J470" s="413">
        <f t="shared" ref="J470" si="537">SUM(J446:J469)</f>
        <v>0</v>
      </c>
      <c r="K470" s="413">
        <f t="shared" ref="K470" si="538">SUM(K446:K469)</f>
        <v>0</v>
      </c>
      <c r="L470" s="413">
        <f t="shared" ref="L470" si="539">SUM(L446:L469)</f>
        <v>0</v>
      </c>
      <c r="M470" s="413">
        <f t="shared" ref="M470" si="540">SUM(M446:M469)</f>
        <v>0</v>
      </c>
      <c r="N470" s="413">
        <f t="shared" ref="N470" si="541">SUM(N446:N469)</f>
        <v>0</v>
      </c>
      <c r="O470" s="413">
        <f t="shared" ref="O470" si="542">SUM(O446:O469)</f>
        <v>0</v>
      </c>
      <c r="P470" s="413">
        <f t="shared" ref="P470" si="543">SUM(P446:P469)</f>
        <v>0</v>
      </c>
      <c r="Q470" s="413">
        <f t="shared" ref="Q470" si="544">SUM(Q446:Q469)</f>
        <v>0</v>
      </c>
      <c r="R470" s="413">
        <f t="shared" ref="R470" si="545">SUM(R446:R469)</f>
        <v>0</v>
      </c>
      <c r="S470" s="413">
        <f t="shared" ref="S470" si="546">SUM(S446:S469)</f>
        <v>0</v>
      </c>
      <c r="T470" s="413">
        <f t="shared" ref="T470" si="547">SUM(T446:T469)</f>
        <v>0</v>
      </c>
      <c r="U470" s="413">
        <f t="shared" ref="U470" si="548">SUM(U446:U469)</f>
        <v>0</v>
      </c>
      <c r="V470" s="413">
        <f t="shared" ref="V470" si="549">SUM(V446:V469)</f>
        <v>0</v>
      </c>
      <c r="W470" s="413">
        <f t="shared" ref="W470" si="550">SUM(W446:W469)</f>
        <v>0</v>
      </c>
      <c r="X470" s="413">
        <f t="shared" ref="X470" si="551">SUM(X446:X469)</f>
        <v>0</v>
      </c>
      <c r="Y470" s="413">
        <f t="shared" ref="Y470" si="552">SUM(Y446:Y469)</f>
        <v>0</v>
      </c>
      <c r="Z470" s="413">
        <f t="shared" ref="Z470" si="553">SUM(Z446:Z469)</f>
        <v>0</v>
      </c>
      <c r="AA470" s="413">
        <f t="shared" ref="AA470" si="554">SUM(AA446:AA469)</f>
        <v>0</v>
      </c>
      <c r="AB470" s="413"/>
      <c r="AC470" s="413"/>
      <c r="AD470" s="413"/>
      <c r="AE470" s="413"/>
      <c r="AF470" s="413"/>
      <c r="AG470" s="413"/>
      <c r="AH470" s="413"/>
      <c r="AI470" s="413"/>
      <c r="AJ470" s="413"/>
      <c r="AK470" s="413"/>
      <c r="AL470" s="413"/>
      <c r="AM470" s="413"/>
      <c r="AN470" s="413"/>
      <c r="AO470" s="413"/>
      <c r="AP470" s="413"/>
      <c r="AQ470" s="413"/>
      <c r="AR470" s="413"/>
      <c r="AS470" s="413"/>
      <c r="AT470" s="413"/>
      <c r="AU470" s="413"/>
      <c r="AV470" s="413"/>
      <c r="AW470" s="413"/>
      <c r="AX470" s="414"/>
    </row>
    <row r="471" spans="1:50" x14ac:dyDescent="0.25">
      <c r="A471" s="351" t="s">
        <v>96</v>
      </c>
      <c r="B471" s="59"/>
      <c r="C471" s="59"/>
      <c r="D471" s="83">
        <f>D470</f>
        <v>0</v>
      </c>
      <c r="E471" s="83">
        <f t="shared" ref="E471" si="555">E470</f>
        <v>0</v>
      </c>
      <c r="F471" s="83">
        <f t="shared" ref="F471" si="556">F470</f>
        <v>0</v>
      </c>
      <c r="G471" s="83">
        <f t="shared" ref="G471" si="557">G470</f>
        <v>0</v>
      </c>
      <c r="H471" s="83">
        <f t="shared" ref="H471" si="558">H470</f>
        <v>0</v>
      </c>
      <c r="I471" s="83">
        <f t="shared" ref="I471" si="559">I470</f>
        <v>0</v>
      </c>
      <c r="J471" s="83">
        <f t="shared" ref="J471" si="560">J470</f>
        <v>0</v>
      </c>
      <c r="K471" s="83">
        <f t="shared" ref="K471" si="561">K470</f>
        <v>0</v>
      </c>
      <c r="L471" s="83">
        <f t="shared" ref="L471" si="562">L470</f>
        <v>0</v>
      </c>
      <c r="M471" s="83">
        <f t="shared" ref="M471" si="563">M470</f>
        <v>0</v>
      </c>
      <c r="N471" s="83">
        <f t="shared" ref="N471" si="564">N470</f>
        <v>0</v>
      </c>
      <c r="O471" s="83">
        <f t="shared" ref="O471" si="565">O470</f>
        <v>0</v>
      </c>
      <c r="P471" s="83">
        <f t="shared" ref="P471" si="566">P470</f>
        <v>0</v>
      </c>
      <c r="Q471" s="83">
        <f t="shared" ref="Q471" si="567">Q470</f>
        <v>0</v>
      </c>
      <c r="R471" s="83">
        <f t="shared" ref="R471" si="568">R470</f>
        <v>0</v>
      </c>
      <c r="S471" s="83">
        <f t="shared" ref="S471" si="569">S470</f>
        <v>0</v>
      </c>
      <c r="T471" s="83">
        <f t="shared" ref="T471" si="570">T470</f>
        <v>0</v>
      </c>
      <c r="U471" s="83">
        <f t="shared" ref="U471" si="571">U470</f>
        <v>0</v>
      </c>
      <c r="V471" s="83">
        <f t="shared" ref="V471" si="572">V470</f>
        <v>0</v>
      </c>
      <c r="W471" s="83">
        <f t="shared" ref="W471" si="573">W470</f>
        <v>0</v>
      </c>
      <c r="X471" s="83">
        <f t="shared" ref="X471" si="574">X470</f>
        <v>0</v>
      </c>
      <c r="Y471" s="83">
        <f t="shared" ref="Y471" si="575">Y470</f>
        <v>0</v>
      </c>
      <c r="Z471" s="83">
        <f t="shared" ref="Z471" si="576">Z470</f>
        <v>0</v>
      </c>
      <c r="AA471" s="83">
        <f t="shared" ref="AA471" si="577">AA470</f>
        <v>0</v>
      </c>
      <c r="AB471" s="83"/>
      <c r="AC471" s="83"/>
      <c r="AD471" s="83"/>
      <c r="AE471" s="83"/>
      <c r="AF471" s="83"/>
      <c r="AG471" s="83"/>
      <c r="AH471" s="83"/>
      <c r="AI471" s="83"/>
      <c r="AJ471" s="83"/>
      <c r="AK471" s="83"/>
      <c r="AL471" s="83"/>
      <c r="AM471" s="83"/>
      <c r="AN471" s="83"/>
      <c r="AO471" s="83"/>
      <c r="AP471" s="83"/>
      <c r="AQ471" s="83"/>
      <c r="AR471" s="83"/>
      <c r="AS471" s="83"/>
      <c r="AT471" s="83"/>
      <c r="AU471" s="83"/>
      <c r="AV471" s="83"/>
      <c r="AW471" s="83"/>
      <c r="AX471" s="415"/>
    </row>
    <row r="472" spans="1:50" ht="15.75" thickBot="1" x14ac:dyDescent="0.3">
      <c r="A472" s="308" t="s">
        <v>98</v>
      </c>
      <c r="B472" s="315"/>
      <c r="C472" s="315"/>
      <c r="D472" s="416">
        <f t="shared" ref="D472:AA472" si="578">(C51-C54)-D471</f>
        <v>0</v>
      </c>
      <c r="E472" s="416">
        <f t="shared" si="578"/>
        <v>0</v>
      </c>
      <c r="F472" s="416">
        <f t="shared" si="578"/>
        <v>0</v>
      </c>
      <c r="G472" s="416">
        <f t="shared" si="578"/>
        <v>0</v>
      </c>
      <c r="H472" s="416">
        <f t="shared" si="578"/>
        <v>0</v>
      </c>
      <c r="I472" s="416">
        <f t="shared" si="578"/>
        <v>0</v>
      </c>
      <c r="J472" s="416">
        <f t="shared" si="578"/>
        <v>0</v>
      </c>
      <c r="K472" s="416">
        <f t="shared" si="578"/>
        <v>0</v>
      </c>
      <c r="L472" s="416">
        <f t="shared" si="578"/>
        <v>0</v>
      </c>
      <c r="M472" s="416">
        <f t="shared" si="578"/>
        <v>0</v>
      </c>
      <c r="N472" s="416">
        <f t="shared" si="578"/>
        <v>0</v>
      </c>
      <c r="O472" s="416">
        <f t="shared" si="578"/>
        <v>0</v>
      </c>
      <c r="P472" s="416">
        <f t="shared" si="578"/>
        <v>0</v>
      </c>
      <c r="Q472" s="416">
        <f t="shared" si="578"/>
        <v>0</v>
      </c>
      <c r="R472" s="416">
        <f t="shared" si="578"/>
        <v>0</v>
      </c>
      <c r="S472" s="416">
        <f t="shared" si="578"/>
        <v>0</v>
      </c>
      <c r="T472" s="416">
        <f t="shared" si="578"/>
        <v>0</v>
      </c>
      <c r="U472" s="416">
        <f t="shared" si="578"/>
        <v>0</v>
      </c>
      <c r="V472" s="416">
        <f t="shared" si="578"/>
        <v>0</v>
      </c>
      <c r="W472" s="416">
        <f t="shared" si="578"/>
        <v>0</v>
      </c>
      <c r="X472" s="416">
        <f t="shared" si="578"/>
        <v>0</v>
      </c>
      <c r="Y472" s="416">
        <f t="shared" si="578"/>
        <v>0</v>
      </c>
      <c r="Z472" s="416">
        <f t="shared" si="578"/>
        <v>0</v>
      </c>
      <c r="AA472" s="416">
        <f t="shared" si="578"/>
        <v>0</v>
      </c>
      <c r="AB472" s="416"/>
      <c r="AC472" s="416"/>
      <c r="AD472" s="416"/>
      <c r="AE472" s="416"/>
      <c r="AF472" s="416"/>
      <c r="AG472" s="416"/>
      <c r="AH472" s="416"/>
      <c r="AI472" s="416"/>
      <c r="AJ472" s="416"/>
      <c r="AK472" s="416"/>
      <c r="AL472" s="416"/>
      <c r="AM472" s="416"/>
      <c r="AN472" s="416"/>
      <c r="AO472" s="416"/>
      <c r="AP472" s="416"/>
      <c r="AQ472" s="416"/>
      <c r="AR472" s="416"/>
      <c r="AS472" s="416"/>
      <c r="AT472" s="416"/>
      <c r="AU472" s="416"/>
      <c r="AV472" s="416"/>
      <c r="AW472" s="416"/>
      <c r="AX472" s="417"/>
    </row>
    <row r="473" spans="1:50" ht="15.75" x14ac:dyDescent="0.25">
      <c r="A473" s="85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408"/>
      <c r="AB473" s="86"/>
      <c r="AC473" s="86"/>
      <c r="AD473" s="86"/>
      <c r="AE473" s="86"/>
      <c r="AF473" s="86"/>
      <c r="AG473" s="86"/>
      <c r="AH473" s="86"/>
      <c r="AI473" s="86"/>
      <c r="AJ473" s="86"/>
      <c r="AK473" s="86"/>
      <c r="AL473" s="86"/>
      <c r="AM473" s="86"/>
      <c r="AN473" s="86"/>
      <c r="AO473" s="86"/>
      <c r="AP473" s="86"/>
      <c r="AQ473" s="86"/>
      <c r="AR473" s="86"/>
      <c r="AS473" s="86"/>
      <c r="AT473" s="86"/>
      <c r="AU473" s="86"/>
      <c r="AV473" s="86"/>
      <c r="AW473" s="86"/>
      <c r="AX473" s="86"/>
    </row>
    <row r="474" spans="1:50" x14ac:dyDescent="0.25">
      <c r="B474" s="406"/>
      <c r="C474" s="3"/>
      <c r="D474" s="407"/>
      <c r="E474" s="407"/>
      <c r="F474" s="407"/>
      <c r="G474" s="407"/>
      <c r="H474" s="407"/>
      <c r="I474" s="407"/>
      <c r="J474" s="407"/>
      <c r="K474" s="407"/>
      <c r="L474" s="407"/>
      <c r="M474" s="407"/>
      <c r="N474" s="407"/>
      <c r="O474" s="407"/>
      <c r="P474" s="407"/>
      <c r="Q474" s="407"/>
      <c r="R474" s="407"/>
      <c r="S474" s="407"/>
      <c r="T474" s="407"/>
      <c r="U474" s="407"/>
      <c r="V474" s="407"/>
      <c r="W474" s="407"/>
      <c r="X474" s="407"/>
      <c r="Y474" s="407"/>
      <c r="Z474" s="407"/>
      <c r="AA474" s="407"/>
    </row>
    <row r="476" spans="1:50" ht="23.25" x14ac:dyDescent="0.35">
      <c r="A476" s="459" t="s">
        <v>126</v>
      </c>
      <c r="B476" s="105"/>
      <c r="C476" s="395"/>
      <c r="D476" s="395"/>
      <c r="E476" s="395"/>
      <c r="F476" s="395"/>
      <c r="G476" s="395"/>
      <c r="H476" s="395"/>
      <c r="I476" s="395"/>
      <c r="J476" s="395"/>
      <c r="K476" s="395"/>
      <c r="L476" s="395"/>
      <c r="M476" s="395"/>
      <c r="N476" s="395"/>
      <c r="O476" s="395"/>
      <c r="P476" s="395"/>
      <c r="Q476" s="395"/>
      <c r="R476" s="395"/>
      <c r="S476" s="395"/>
      <c r="T476" s="395"/>
      <c r="U476" s="395"/>
      <c r="V476" s="395"/>
      <c r="W476" s="395"/>
      <c r="X476" s="395"/>
      <c r="Y476" s="395"/>
      <c r="Z476" s="395"/>
      <c r="AA476" s="395"/>
    </row>
    <row r="477" spans="1:50" ht="15.75" x14ac:dyDescent="0.25">
      <c r="A477" t="s">
        <v>123</v>
      </c>
      <c r="B477" s="106"/>
      <c r="C477" s="88"/>
      <c r="D477" s="88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  <c r="AA477" s="88"/>
    </row>
    <row r="478" spans="1:50" x14ac:dyDescent="0.25">
      <c r="A478" t="s">
        <v>124</v>
      </c>
      <c r="B478" s="403">
        <v>0</v>
      </c>
      <c r="C478" s="105">
        <f t="shared" ref="C478:AA478" si="579">C$377*$B$379</f>
        <v>0</v>
      </c>
      <c r="D478" s="105">
        <f t="shared" si="579"/>
        <v>0</v>
      </c>
      <c r="E478" s="105">
        <f t="shared" si="579"/>
        <v>0</v>
      </c>
      <c r="F478" s="105">
        <f t="shared" si="579"/>
        <v>0</v>
      </c>
      <c r="G478" s="105">
        <f t="shared" si="579"/>
        <v>0</v>
      </c>
      <c r="H478" s="105">
        <f t="shared" si="579"/>
        <v>0</v>
      </c>
      <c r="I478" s="105">
        <f t="shared" si="579"/>
        <v>0</v>
      </c>
      <c r="J478" s="105">
        <f t="shared" si="579"/>
        <v>0</v>
      </c>
      <c r="K478" s="105">
        <f t="shared" si="579"/>
        <v>0</v>
      </c>
      <c r="L478" s="105">
        <f t="shared" si="579"/>
        <v>0</v>
      </c>
      <c r="M478" s="105">
        <f t="shared" si="579"/>
        <v>0</v>
      </c>
      <c r="N478" s="105">
        <f t="shared" si="579"/>
        <v>0</v>
      </c>
      <c r="O478" s="105">
        <f t="shared" si="579"/>
        <v>0</v>
      </c>
      <c r="P478" s="105">
        <f t="shared" si="579"/>
        <v>0</v>
      </c>
      <c r="Q478" s="105">
        <f t="shared" si="579"/>
        <v>0</v>
      </c>
      <c r="R478" s="105">
        <f t="shared" si="579"/>
        <v>0</v>
      </c>
      <c r="S478" s="105">
        <f t="shared" si="579"/>
        <v>0</v>
      </c>
      <c r="T478" s="105">
        <f t="shared" si="579"/>
        <v>0</v>
      </c>
      <c r="U478" s="105">
        <f t="shared" si="579"/>
        <v>0</v>
      </c>
      <c r="V478" s="105">
        <f t="shared" si="579"/>
        <v>0</v>
      </c>
      <c r="W478" s="105">
        <f t="shared" si="579"/>
        <v>0</v>
      </c>
      <c r="X478" s="105">
        <f t="shared" si="579"/>
        <v>0</v>
      </c>
      <c r="Y478" s="105">
        <f t="shared" si="579"/>
        <v>0</v>
      </c>
      <c r="Z478" s="105">
        <f t="shared" si="579"/>
        <v>0</v>
      </c>
      <c r="AA478" s="105">
        <f t="shared" si="579"/>
        <v>0</v>
      </c>
    </row>
    <row r="479" spans="1:50" s="3" customFormat="1" x14ac:dyDescent="0.25">
      <c r="A479" s="165" t="s">
        <v>125</v>
      </c>
      <c r="D479" s="404">
        <f t="shared" ref="D479:AA479" si="580">IF(C$377=0,0,(1-(C478/C476)^(1/$B482)))</f>
        <v>0</v>
      </c>
      <c r="E479" s="404">
        <f t="shared" si="580"/>
        <v>0</v>
      </c>
      <c r="F479" s="404">
        <f t="shared" si="580"/>
        <v>0</v>
      </c>
      <c r="G479" s="404">
        <f t="shared" si="580"/>
        <v>0</v>
      </c>
      <c r="H479" s="404">
        <f t="shared" si="580"/>
        <v>0</v>
      </c>
      <c r="I479" s="404">
        <f t="shared" si="580"/>
        <v>0</v>
      </c>
      <c r="J479" s="404">
        <f t="shared" si="580"/>
        <v>0</v>
      </c>
      <c r="K479" s="404">
        <f t="shared" si="580"/>
        <v>0</v>
      </c>
      <c r="L479" s="404">
        <f t="shared" si="580"/>
        <v>0</v>
      </c>
      <c r="M479" s="404">
        <f t="shared" si="580"/>
        <v>0</v>
      </c>
      <c r="N479" s="404">
        <f t="shared" si="580"/>
        <v>0</v>
      </c>
      <c r="O479" s="404">
        <f t="shared" si="580"/>
        <v>0</v>
      </c>
      <c r="P479" s="404">
        <f t="shared" si="580"/>
        <v>0</v>
      </c>
      <c r="Q479" s="404">
        <f t="shared" si="580"/>
        <v>0</v>
      </c>
      <c r="R479" s="404">
        <f t="shared" si="580"/>
        <v>0</v>
      </c>
      <c r="S479" s="404">
        <f t="shared" si="580"/>
        <v>0</v>
      </c>
      <c r="T479" s="404">
        <f t="shared" si="580"/>
        <v>0</v>
      </c>
      <c r="U479" s="404">
        <f t="shared" si="580"/>
        <v>0</v>
      </c>
      <c r="V479" s="404">
        <f t="shared" si="580"/>
        <v>0</v>
      </c>
      <c r="W479" s="404">
        <f t="shared" si="580"/>
        <v>0</v>
      </c>
      <c r="X479" s="404">
        <f t="shared" si="580"/>
        <v>0</v>
      </c>
      <c r="Y479" s="404">
        <f t="shared" si="580"/>
        <v>0</v>
      </c>
      <c r="Z479" s="404">
        <f t="shared" si="580"/>
        <v>0</v>
      </c>
      <c r="AA479" s="404">
        <f t="shared" si="580"/>
        <v>0</v>
      </c>
    </row>
    <row r="480" spans="1:50" s="3" customFormat="1" ht="15.75" x14ac:dyDescent="0.25">
      <c r="A480" s="81"/>
      <c r="D480" s="404"/>
      <c r="E480" s="404"/>
      <c r="F480" s="404"/>
      <c r="G480" s="404"/>
      <c r="H480" s="404"/>
      <c r="I480" s="404"/>
      <c r="J480" s="404"/>
      <c r="K480" s="404"/>
      <c r="L480" s="404"/>
      <c r="M480" s="404"/>
      <c r="N480" s="404"/>
      <c r="O480" s="404"/>
      <c r="P480" s="404"/>
      <c r="Q480" s="404"/>
      <c r="R480" s="404"/>
      <c r="S480" s="404"/>
      <c r="T480" s="404"/>
      <c r="U480" s="404"/>
      <c r="V480" s="404"/>
      <c r="W480" s="404"/>
      <c r="X480" s="404"/>
      <c r="Y480" s="404"/>
      <c r="Z480" s="404"/>
      <c r="AA480" s="404"/>
    </row>
    <row r="481" spans="1:27" s="3" customFormat="1" ht="15.75" x14ac:dyDescent="0.25">
      <c r="A481" s="81"/>
      <c r="B481" s="65"/>
      <c r="C481" s="176"/>
      <c r="D481" s="14">
        <v>1</v>
      </c>
      <c r="E481" s="14">
        <v>2</v>
      </c>
      <c r="F481" s="14">
        <v>3</v>
      </c>
      <c r="G481" s="14">
        <v>4</v>
      </c>
      <c r="H481" s="14">
        <v>5</v>
      </c>
      <c r="I481" s="14">
        <v>6</v>
      </c>
      <c r="J481" s="14">
        <v>7</v>
      </c>
      <c r="K481" s="14">
        <v>8</v>
      </c>
      <c r="L481" s="14">
        <v>9</v>
      </c>
      <c r="M481" s="14">
        <v>10</v>
      </c>
      <c r="N481" s="14">
        <v>11</v>
      </c>
      <c r="O481" s="14">
        <v>12</v>
      </c>
      <c r="P481" s="14">
        <v>13</v>
      </c>
      <c r="Q481" s="14">
        <v>14</v>
      </c>
      <c r="R481" s="14">
        <v>15</v>
      </c>
      <c r="S481" s="14">
        <v>16</v>
      </c>
      <c r="T481" s="14">
        <v>17</v>
      </c>
      <c r="U481" s="14">
        <v>18</v>
      </c>
      <c r="V481" s="14">
        <v>19</v>
      </c>
      <c r="W481" s="14">
        <v>20</v>
      </c>
      <c r="X481" s="14">
        <v>21</v>
      </c>
      <c r="Y481" s="14">
        <v>22</v>
      </c>
      <c r="Z481" s="14">
        <v>23</v>
      </c>
      <c r="AA481" s="14">
        <v>24</v>
      </c>
    </row>
    <row r="482" spans="1:27" s="3" customFormat="1" ht="15.75" x14ac:dyDescent="0.25">
      <c r="A482" s="81">
        <v>1</v>
      </c>
      <c r="B482" s="25">
        <v>20</v>
      </c>
      <c r="D482" s="83">
        <f t="shared" ref="D482:AA482" si="581">IF(D$1&gt;$B482,0,$C$377*D$380)</f>
        <v>0</v>
      </c>
      <c r="E482" s="83">
        <f t="shared" si="581"/>
        <v>0</v>
      </c>
      <c r="F482" s="83">
        <f t="shared" si="581"/>
        <v>0</v>
      </c>
      <c r="G482" s="83">
        <f t="shared" si="581"/>
        <v>0</v>
      </c>
      <c r="H482" s="83">
        <f t="shared" si="581"/>
        <v>0</v>
      </c>
      <c r="I482" s="83">
        <f t="shared" si="581"/>
        <v>0</v>
      </c>
      <c r="J482" s="83">
        <f t="shared" si="581"/>
        <v>0</v>
      </c>
      <c r="K482" s="83">
        <f t="shared" si="581"/>
        <v>0</v>
      </c>
      <c r="L482" s="83">
        <f t="shared" si="581"/>
        <v>0</v>
      </c>
      <c r="M482" s="83">
        <f t="shared" si="581"/>
        <v>0</v>
      </c>
      <c r="N482" s="83">
        <f t="shared" si="581"/>
        <v>0</v>
      </c>
      <c r="O482" s="83">
        <f t="shared" si="581"/>
        <v>0</v>
      </c>
      <c r="P482" s="83">
        <f t="shared" si="581"/>
        <v>0</v>
      </c>
      <c r="Q482" s="83">
        <f t="shared" si="581"/>
        <v>0</v>
      </c>
      <c r="R482" s="83">
        <f t="shared" si="581"/>
        <v>0</v>
      </c>
      <c r="S482" s="83">
        <f t="shared" si="581"/>
        <v>0</v>
      </c>
      <c r="T482" s="83">
        <f t="shared" si="581"/>
        <v>0</v>
      </c>
      <c r="U482" s="83">
        <f t="shared" si="581"/>
        <v>0</v>
      </c>
      <c r="V482" s="83">
        <f t="shared" si="581"/>
        <v>0</v>
      </c>
      <c r="W482" s="83">
        <f t="shared" si="581"/>
        <v>0</v>
      </c>
      <c r="X482" s="83">
        <f t="shared" si="581"/>
        <v>0</v>
      </c>
      <c r="Y482" s="83">
        <f t="shared" si="581"/>
        <v>0</v>
      </c>
      <c r="Z482" s="83">
        <f t="shared" si="581"/>
        <v>0</v>
      </c>
      <c r="AA482" s="83">
        <f t="shared" si="581"/>
        <v>0</v>
      </c>
    </row>
    <row r="483" spans="1:27" s="3" customFormat="1" x14ac:dyDescent="0.25">
      <c r="A483" s="14">
        <v>2</v>
      </c>
      <c r="B483" s="25">
        <v>20</v>
      </c>
      <c r="C483" s="59"/>
      <c r="D483" s="59"/>
      <c r="E483" s="83">
        <f t="shared" ref="E483:AA483" si="582">IF(E$285&gt;$B483,0,$D$377*E$380)</f>
        <v>0</v>
      </c>
      <c r="F483" s="83">
        <f t="shared" si="582"/>
        <v>0</v>
      </c>
      <c r="G483" s="83">
        <f t="shared" si="582"/>
        <v>0</v>
      </c>
      <c r="H483" s="83">
        <f t="shared" si="582"/>
        <v>0</v>
      </c>
      <c r="I483" s="83">
        <f t="shared" si="582"/>
        <v>0</v>
      </c>
      <c r="J483" s="83">
        <f t="shared" si="582"/>
        <v>0</v>
      </c>
      <c r="K483" s="83">
        <f t="shared" si="582"/>
        <v>0</v>
      </c>
      <c r="L483" s="83">
        <f t="shared" si="582"/>
        <v>0</v>
      </c>
      <c r="M483" s="83">
        <f t="shared" si="582"/>
        <v>0</v>
      </c>
      <c r="N483" s="83">
        <f t="shared" si="582"/>
        <v>0</v>
      </c>
      <c r="O483" s="83">
        <f t="shared" si="582"/>
        <v>0</v>
      </c>
      <c r="P483" s="83">
        <f t="shared" si="582"/>
        <v>0</v>
      </c>
      <c r="Q483" s="83">
        <f t="shared" si="582"/>
        <v>0</v>
      </c>
      <c r="R483" s="83">
        <f t="shared" si="582"/>
        <v>0</v>
      </c>
      <c r="S483" s="83">
        <f t="shared" si="582"/>
        <v>0</v>
      </c>
      <c r="T483" s="83">
        <f t="shared" si="582"/>
        <v>0</v>
      </c>
      <c r="U483" s="83">
        <f t="shared" si="582"/>
        <v>0</v>
      </c>
      <c r="V483" s="83">
        <f t="shared" si="582"/>
        <v>0</v>
      </c>
      <c r="W483" s="83">
        <f t="shared" si="582"/>
        <v>0</v>
      </c>
      <c r="X483" s="83">
        <f t="shared" si="582"/>
        <v>0</v>
      </c>
      <c r="Y483" s="83">
        <f t="shared" si="582"/>
        <v>0</v>
      </c>
      <c r="Z483" s="83">
        <f t="shared" si="582"/>
        <v>0</v>
      </c>
      <c r="AA483" s="83">
        <f t="shared" si="582"/>
        <v>0</v>
      </c>
    </row>
    <row r="484" spans="1:27" s="3" customFormat="1" x14ac:dyDescent="0.25">
      <c r="A484" s="14">
        <v>3</v>
      </c>
      <c r="B484" s="25">
        <v>20</v>
      </c>
      <c r="C484" s="59"/>
      <c r="D484" s="59"/>
      <c r="E484" s="59"/>
      <c r="F484" s="83">
        <f>IF(F$285&gt;$B484,0,E$280*F$283)</f>
        <v>0</v>
      </c>
      <c r="G484" s="83">
        <f>IF((G$98-$E$98)&gt;$B484,0,($E476-SUM($F484:F484))*$F479)</f>
        <v>0</v>
      </c>
      <c r="H484" s="83">
        <f>IF((H$98-$E$98)&gt;$B484,0,($E476-SUM($F484:G484))*$F479)</f>
        <v>0</v>
      </c>
      <c r="I484" s="83">
        <f>IF((I$98-$E$98)&gt;$B484,0,($E476-SUM($F484:H484))*$F479)</f>
        <v>0</v>
      </c>
      <c r="J484" s="83">
        <f>IF((J$98-$E$98)&gt;$B484,0,($E476-SUM($F484:I484))*$F479)</f>
        <v>0</v>
      </c>
      <c r="K484" s="83">
        <f>IF((K$98-$E$98)&gt;$B484,0,($E476-SUM($F484:J484))*$F479)</f>
        <v>0</v>
      </c>
      <c r="L484" s="83">
        <f>IF((L$98-$E$98)&gt;$B484,0,($E476-SUM($F484:K484))*$F479)</f>
        <v>0</v>
      </c>
      <c r="M484" s="83">
        <f>IF((M$98-$E$98)&gt;$B484,0,($E476-SUM($F484:L484))*$F479)</f>
        <v>0</v>
      </c>
      <c r="N484" s="83">
        <f>IF((N$98-$E$98)&gt;$B484,0,($E476-SUM($F484:M484))*$F479)</f>
        <v>0</v>
      </c>
      <c r="O484" s="83">
        <f>IF((O$98-$E$98)&gt;$B484,0,($E476-SUM($F484:N484))*$F479)</f>
        <v>0</v>
      </c>
      <c r="P484" s="83">
        <f>IF((P$98-$E$98)&gt;$B484,0,($E476-SUM($F484:O484))*$F479)</f>
        <v>0</v>
      </c>
      <c r="Q484" s="83">
        <f>IF((Q$98-$E$98)&gt;$B484,0,($E476-SUM($F484:P484))*$F479)</f>
        <v>0</v>
      </c>
      <c r="R484" s="83">
        <f>IF((R$98-$E$98)&gt;$B484,0,($E476-SUM($F484:Q484))*$F479)</f>
        <v>0</v>
      </c>
      <c r="S484" s="83">
        <f>IF((S$98-$E$98)&gt;$B484,0,($E476-SUM($F484:R484))*$F479)</f>
        <v>0</v>
      </c>
      <c r="T484" s="83">
        <f>IF((T$98-$E$98)&gt;$B484,0,($E476-SUM($F484:S484))*$F479)</f>
        <v>0</v>
      </c>
      <c r="U484" s="83">
        <f>IF((U$98-$E$98)&gt;$B484,0,($E476-SUM($F484:T484))*$F479)</f>
        <v>0</v>
      </c>
      <c r="V484" s="83">
        <f>IF((V$98-$E$98)&gt;$B484,0,($E476-SUM($F484:U484))*$F479)</f>
        <v>0</v>
      </c>
      <c r="W484" s="83">
        <f>IF((W$98-$E$98)&gt;$B484,0,($E476-SUM($F484:V484))*$F479)</f>
        <v>0</v>
      </c>
      <c r="X484" s="83">
        <f>IF((X$98-$E$98)&gt;$B484,0,($E476-SUM($F484:W484))*$F479)</f>
        <v>0</v>
      </c>
      <c r="Y484" s="83">
        <f>IF((Y$98-$E$98)&gt;$B484,0,($E476-SUM($F484:X484))*$F479)</f>
        <v>0</v>
      </c>
      <c r="Z484" s="83">
        <f>IF((Z$98-$E$98)&gt;$B484,0,($E476-SUM($F484:Y484))*$F479)</f>
        <v>0</v>
      </c>
      <c r="AA484" s="83">
        <f>IF((AA$98-$E$98)&gt;$B484,0,($E476-SUM($F484:Z484))*$F479)</f>
        <v>0</v>
      </c>
    </row>
    <row r="485" spans="1:27" s="3" customFormat="1" x14ac:dyDescent="0.25">
      <c r="A485" s="14">
        <v>4</v>
      </c>
      <c r="B485" s="25">
        <v>20</v>
      </c>
      <c r="C485" s="59"/>
      <c r="D485" s="59"/>
      <c r="E485" s="59"/>
      <c r="F485" s="59"/>
      <c r="G485" s="83">
        <f>IF(G$285&gt;$B485,0,F$280*G$283)</f>
        <v>0</v>
      </c>
      <c r="H485" s="83">
        <f>IF((H$98-$F$98)&gt;$B485,0,($F$131-SUM($G485:G485))*$G479)</f>
        <v>0</v>
      </c>
      <c r="I485" s="83">
        <f>IF((I$98-$F$98)&gt;$B485,0,($F$131-SUM($G485:H485))*$G479)</f>
        <v>0</v>
      </c>
      <c r="J485" s="83">
        <f>IF((J$98-$F$98)&gt;$B485,0,($F$131-SUM($G485:I485))*$G479)</f>
        <v>0</v>
      </c>
      <c r="K485" s="83">
        <f>IF((K$98-$F$98)&gt;$B485,0,($F$131-SUM($G485:J485))*$G479)</f>
        <v>0</v>
      </c>
      <c r="L485" s="83">
        <f>IF((L$98-$F$98)&gt;$B485,0,($F$131-SUM($G485:K485))*$G479)</f>
        <v>0</v>
      </c>
      <c r="M485" s="83">
        <f>IF((M$98-$F$98)&gt;$B485,0,($F$131-SUM($G485:L485))*$G479)</f>
        <v>0</v>
      </c>
      <c r="N485" s="83">
        <f>IF((N$98-$F$98)&gt;$B485,0,($F$131-SUM($G485:M485))*$G479)</f>
        <v>0</v>
      </c>
      <c r="O485" s="83">
        <f>IF((O$98-$F$98)&gt;$B485,0,($F$131-SUM($G485:N485))*$G479)</f>
        <v>0</v>
      </c>
      <c r="P485" s="83">
        <f>IF((P$98-$F$98)&gt;$B485,0,($F$131-SUM($G485:O485))*$G479)</f>
        <v>0</v>
      </c>
      <c r="Q485" s="83">
        <f>IF((Q$98-$F$98)&gt;$B485,0,($F$131-SUM($G485:P485))*$G479)</f>
        <v>0</v>
      </c>
      <c r="R485" s="83">
        <f>IF((R$98-$F$98)&gt;$B485,0,($F$131-SUM($G485:Q485))*$G479)</f>
        <v>0</v>
      </c>
      <c r="S485" s="83">
        <f>IF((S$98-$F$98)&gt;$B485,0,($F$131-SUM($G485:R485))*$G479)</f>
        <v>0</v>
      </c>
      <c r="T485" s="83">
        <f>IF((T$98-$F$98)&gt;$B485,0,($F$131-SUM($G485:S485))*$G479)</f>
        <v>0</v>
      </c>
      <c r="U485" s="83">
        <f>IF((U$98-$F$98)&gt;$B485,0,($F$131-SUM($G485:T485))*$G479)</f>
        <v>0</v>
      </c>
      <c r="V485" s="83">
        <f>IF((V$98-$F$98)&gt;$B485,0,($F$131-SUM($G485:U485))*$G479)</f>
        <v>0</v>
      </c>
      <c r="W485" s="83">
        <f>IF((W$98-$F$98)&gt;$B485,0,($F$131-SUM($G485:V485))*$G479)</f>
        <v>0</v>
      </c>
      <c r="X485" s="83">
        <f>IF((X$98-$F$98)&gt;$B485,0,($F$131-SUM($G485:W485))*$G479)</f>
        <v>0</v>
      </c>
      <c r="Y485" s="83">
        <f>IF((Y$98-$F$98)&gt;$B485,0,($F$131-SUM($G485:X485))*$G479)</f>
        <v>0</v>
      </c>
      <c r="Z485" s="83">
        <f>IF((Z$98-$F$98)&gt;$B485,0,($F$131-SUM($G485:Y485))*$G479)</f>
        <v>0</v>
      </c>
      <c r="AA485" s="83">
        <f>IF((AA$98-$F$98)&gt;$B485,0,($F$131-SUM($G485:Z485))*$G479)</f>
        <v>0</v>
      </c>
    </row>
    <row r="486" spans="1:27" s="3" customFormat="1" ht="15.75" x14ac:dyDescent="0.25">
      <c r="A486" s="81">
        <v>5</v>
      </c>
      <c r="B486" s="25">
        <v>20</v>
      </c>
      <c r="C486" s="59"/>
      <c r="D486" s="59"/>
      <c r="E486" s="59"/>
      <c r="F486" s="59"/>
      <c r="G486" s="59"/>
      <c r="H486" s="83">
        <f>IF(H$285&gt;$B486,0,G$280*H$283)</f>
        <v>0</v>
      </c>
      <c r="I486" s="83">
        <f>IF((I$98-$G$98)&gt;$B486,0,($G$131-SUM($H486:H486))*$H479)</f>
        <v>0</v>
      </c>
      <c r="J486" s="83">
        <f>IF((J$98-$G$98)&gt;$B486,0,($G$131-SUM($H486:I486))*$H479)</f>
        <v>0</v>
      </c>
      <c r="K486" s="83">
        <f>IF((K$98-$G$98)&gt;$B486,0,($G$131-SUM($H486:J486))*$H479)</f>
        <v>0</v>
      </c>
      <c r="L486" s="83">
        <f>IF((L$98-$G$98)&gt;$B486,0,($G$131-SUM($H486:K486))*$H479)</f>
        <v>0</v>
      </c>
      <c r="M486" s="83">
        <f>IF((M$98-$G$98)&gt;$B486,0,($G$131-SUM($H486:L486))*$H479)</f>
        <v>0</v>
      </c>
      <c r="N486" s="83">
        <f>IF((N$98-$G$98)&gt;$B486,0,($G$131-SUM($H486:M486))*$H479)</f>
        <v>0</v>
      </c>
      <c r="O486" s="83">
        <f>IF((O$98-$G$98)&gt;$B486,0,($G$131-SUM($H486:N486))*$H479)</f>
        <v>0</v>
      </c>
      <c r="P486" s="83">
        <f>IF((P$98-$G$98)&gt;$B486,0,($G$131-SUM($H486:O486))*$H479)</f>
        <v>0</v>
      </c>
      <c r="Q486" s="83">
        <f>IF((Q$98-$G$98)&gt;$B486,0,($G$131-SUM($H486:P486))*$H479)</f>
        <v>0</v>
      </c>
      <c r="R486" s="83">
        <f>IF((R$98-$G$98)&gt;$B486,0,($G$131-SUM($H486:Q486))*$H479)</f>
        <v>0</v>
      </c>
      <c r="S486" s="83">
        <f>IF((S$98-$G$98)&gt;$B486,0,($G$131-SUM($H486:R486))*$H479)</f>
        <v>0</v>
      </c>
      <c r="T486" s="83">
        <f>IF((T$98-$G$98)&gt;$B486,0,($G$131-SUM($H486:S486))*$H479)</f>
        <v>0</v>
      </c>
      <c r="U486" s="83">
        <f>IF((U$98-$G$98)&gt;$B486,0,($G$131-SUM($H486:T486))*$H479)</f>
        <v>0</v>
      </c>
      <c r="V486" s="83">
        <f>IF((V$98-$G$98)&gt;$B486,0,($G$131-SUM($H486:U486))*$H479)</f>
        <v>0</v>
      </c>
      <c r="W486" s="83">
        <f>IF((W$98-$G$98)&gt;$B486,0,($G$131-SUM($H486:V486))*$H479)</f>
        <v>0</v>
      </c>
      <c r="X486" s="83">
        <f>IF((X$98-$G$98)&gt;$B486,0,($G$131-SUM($H486:W486))*$H479)</f>
        <v>0</v>
      </c>
      <c r="Y486" s="83">
        <f>IF((Y$98-$G$98)&gt;$B486,0,($G$131-SUM($H486:X486))*$H479)</f>
        <v>0</v>
      </c>
      <c r="Z486" s="83">
        <f>IF((Z$98-$G$98)&gt;$B486,0,($G$131-SUM($H486:Y486))*$H479)</f>
        <v>0</v>
      </c>
      <c r="AA486" s="83">
        <f>IF((AA$98-$G$98)&gt;$B486,0,($G$131-SUM($H486:Z486))*$H479)</f>
        <v>0</v>
      </c>
    </row>
    <row r="487" spans="1:27" s="3" customFormat="1" x14ac:dyDescent="0.25">
      <c r="A487" s="14">
        <v>6</v>
      </c>
      <c r="B487" s="25">
        <v>20</v>
      </c>
      <c r="C487" s="59"/>
      <c r="D487" s="59"/>
      <c r="E487" s="59"/>
      <c r="F487" s="59"/>
      <c r="G487" s="59"/>
      <c r="H487" s="59"/>
      <c r="I487" s="83">
        <f>IF(I$285&gt;$B487,0,H$280*I$283)</f>
        <v>0</v>
      </c>
      <c r="J487" s="83">
        <f>IF((J$98-$H$98)&gt;$B487,0,($H$131-SUM($I487:I487))*$I479)</f>
        <v>0</v>
      </c>
      <c r="K487" s="83">
        <f>IF((K$98-$H$98)&gt;$B487,0,($H$131-SUM($I487:J487))*$I479)</f>
        <v>0</v>
      </c>
      <c r="L487" s="83">
        <f>IF((L$98-$H$98)&gt;$B487,0,($H$131-SUM($I487:K487))*$I479)</f>
        <v>0</v>
      </c>
      <c r="M487" s="83">
        <f>IF((M$98-$H$98)&gt;$B487,0,($H$131-SUM($I487:L487))*$I479)</f>
        <v>0</v>
      </c>
      <c r="N487" s="83">
        <f>IF((N$98-$H$98)&gt;$B487,0,($H$131-SUM($I487:M487))*$I479)</f>
        <v>0</v>
      </c>
      <c r="O487" s="83">
        <f>IF((O$98-$H$98)&gt;$B487,0,($H$131-SUM($I487:N487))*$I479)</f>
        <v>0</v>
      </c>
      <c r="P487" s="83">
        <f>IF((P$98-$H$98)&gt;$B487,0,($H$131-SUM($I487:O487))*$I479)</f>
        <v>0</v>
      </c>
      <c r="Q487" s="83">
        <f>IF((Q$98-$H$98)&gt;$B487,0,($H$131-SUM($I487:P487))*$I479)</f>
        <v>0</v>
      </c>
      <c r="R487" s="83">
        <f>IF((R$98-$H$98)&gt;$B487,0,($H$131-SUM($I487:Q487))*$I479)</f>
        <v>0</v>
      </c>
      <c r="S487" s="83">
        <f>IF((S$98-$H$98)&gt;$B487,0,($H$131-SUM($I487:R487))*$I479)</f>
        <v>0</v>
      </c>
      <c r="T487" s="83">
        <f>IF((T$98-$H$98)&gt;$B487,0,($H$131-SUM($I487:S487))*$I479)</f>
        <v>0</v>
      </c>
      <c r="U487" s="83">
        <f>IF((U$98-$H$98)&gt;$B487,0,($H$131-SUM($I487:T487))*$I479)</f>
        <v>0</v>
      </c>
      <c r="V487" s="83">
        <f>IF((V$98-$H$98)&gt;$B487,0,($H$131-SUM($I487:U487))*$I479)</f>
        <v>0</v>
      </c>
      <c r="W487" s="83">
        <f>IF((W$98-$H$98)&gt;$B487,0,($H$131-SUM($I487:V487))*$I479)</f>
        <v>0</v>
      </c>
      <c r="X487" s="83">
        <f>IF((X$98-$H$98)&gt;$B487,0,($H$131-SUM($I487:W487))*$I479)</f>
        <v>0</v>
      </c>
      <c r="Y487" s="83">
        <f>IF((Y$98-$H$98)&gt;$B487,0,($H$131-SUM($I487:X487))*$I479)</f>
        <v>0</v>
      </c>
      <c r="Z487" s="83">
        <f>IF((Z$98-$H$98)&gt;$B487,0,($H$131-SUM($I487:Y487))*$I479)</f>
        <v>0</v>
      </c>
      <c r="AA487" s="83">
        <f>IF((AA$98-$H$98)&gt;$B487,0,($H$131-SUM($I487:Z487))*$I479)</f>
        <v>0</v>
      </c>
    </row>
    <row r="488" spans="1:27" s="3" customFormat="1" x14ac:dyDescent="0.25">
      <c r="A488" s="14">
        <v>7</v>
      </c>
      <c r="B488" s="25">
        <v>20</v>
      </c>
      <c r="C488" s="59"/>
      <c r="D488" s="59"/>
      <c r="E488" s="59"/>
      <c r="F488" s="59"/>
      <c r="G488" s="59"/>
      <c r="H488" s="59"/>
      <c r="I488" s="59"/>
      <c r="J488" s="83">
        <f>IF(J$285&gt;$B488,0,I$280*J$283)</f>
        <v>0</v>
      </c>
      <c r="K488" s="83">
        <f>IF((K$98-$I$98)&gt;$B488,0,($I$160-SUM($J488:J488))*$J479)</f>
        <v>0</v>
      </c>
      <c r="L488" s="83">
        <f>IF((L$98-$I$98)&gt;$B488,0,($I$160-SUM($J488:K488))*$J479)</f>
        <v>0</v>
      </c>
      <c r="M488" s="83">
        <f>IF((M$98-$I$98)&gt;$B488,0,($I$160-SUM($J488:L488))*$J479)</f>
        <v>0</v>
      </c>
      <c r="N488" s="83">
        <f>IF((N$98-$I$98)&gt;$B488,0,($I$160-SUM($J488:M488))*$J479)</f>
        <v>0</v>
      </c>
      <c r="O488" s="83">
        <f>IF((O$98-$I$98)&gt;$B488,0,($I$160-SUM($J488:N488))*$J479)</f>
        <v>0</v>
      </c>
      <c r="P488" s="83">
        <f>IF((P$98-$I$98)&gt;$B488,0,($I$160-SUM($J488:O488))*$J479)</f>
        <v>0</v>
      </c>
      <c r="Q488" s="83">
        <f>IF((Q$98-$I$98)&gt;$B488,0,($I$160-SUM($J488:P488))*$J479)</f>
        <v>0</v>
      </c>
      <c r="R488" s="83">
        <f>IF((R$98-$I$98)&gt;$B488,0,($I$160-SUM($J488:Q488))*$J479)</f>
        <v>0</v>
      </c>
      <c r="S488" s="83">
        <f>IF((S$98-$I$98)&gt;$B488,0,($I$160-SUM($J488:R488))*$J479)</f>
        <v>0</v>
      </c>
      <c r="T488" s="83">
        <f>IF((T$98-$I$98)&gt;$B488,0,($I$160-SUM($J488:S488))*$J479)</f>
        <v>0</v>
      </c>
      <c r="U488" s="83">
        <f>IF((U$98-$I$98)&gt;$B488,0,($I$160-SUM($J488:T488))*$J479)</f>
        <v>0</v>
      </c>
      <c r="V488" s="83">
        <f>IF((V$98-$I$98)&gt;$B488,0,($I$160-SUM($J488:U488))*$J479)</f>
        <v>0</v>
      </c>
      <c r="W488" s="83">
        <f>IF((W$98-$I$98)&gt;$B488,0,($I$160-SUM($J488:V488))*$J479)</f>
        <v>0</v>
      </c>
      <c r="X488" s="83">
        <f>IF((X$98-$I$98)&gt;$B488,0,($I$160-SUM($J488:W488))*$J479)</f>
        <v>0</v>
      </c>
      <c r="Y488" s="83">
        <f>IF((Y$98-$I$98)&gt;$B488,0,($I$160-SUM($J488:X488))*$J479)</f>
        <v>0</v>
      </c>
      <c r="Z488" s="83">
        <f>IF((Z$98-$I$98)&gt;$B488,0,($I$160-SUM($J488:Y488))*$J479)</f>
        <v>0</v>
      </c>
      <c r="AA488" s="83">
        <f>IF((AA$98-$I$98)&gt;$B488,0,($I$160-SUM($J488:Z488))*$J479)</f>
        <v>0</v>
      </c>
    </row>
    <row r="489" spans="1:27" s="3" customFormat="1" ht="15.75" x14ac:dyDescent="0.25">
      <c r="A489" s="81">
        <v>8</v>
      </c>
      <c r="B489" s="25">
        <v>20</v>
      </c>
      <c r="C489" s="59"/>
      <c r="D489" s="59"/>
      <c r="E489" s="59"/>
      <c r="F489" s="59"/>
      <c r="G489" s="59"/>
      <c r="H489" s="59"/>
      <c r="I489" s="59"/>
      <c r="J489" s="59"/>
      <c r="K489" s="83">
        <f>IF(K$285&gt;$B489,0,J$280*K$283)</f>
        <v>0</v>
      </c>
      <c r="L489" s="83">
        <f>IF((L$98-$J$98)&gt;$B489,0,($J$160-SUM($K489:K489))*$K479)</f>
        <v>0</v>
      </c>
      <c r="M489" s="83">
        <f>IF((M$98-$J$98)&gt;$B489,0,($J$160-SUM($K489:L489))*$K479)</f>
        <v>0</v>
      </c>
      <c r="N489" s="83">
        <f>IF((N$98-$J$98)&gt;$B489,0,($J$160-SUM($K489:M489))*$K479)</f>
        <v>0</v>
      </c>
      <c r="O489" s="83">
        <f>IF((O$98-$J$98)&gt;$B489,0,($J$160-SUM($K489:N489))*$K479)</f>
        <v>0</v>
      </c>
      <c r="P489" s="83">
        <f>IF((P$98-$J$98)&gt;$B489,0,($J$160-SUM($K489:O489))*$K479)</f>
        <v>0</v>
      </c>
      <c r="Q489" s="83">
        <f>IF((Q$98-$J$98)&gt;$B489,0,($J$160-SUM($K489:P489))*$K479)</f>
        <v>0</v>
      </c>
      <c r="R489" s="83">
        <f>IF((R$98-$J$98)&gt;$B489,0,($J$160-SUM($K489:Q489))*$K479)</f>
        <v>0</v>
      </c>
      <c r="S489" s="83">
        <f>IF((S$98-$J$98)&gt;$B489,0,($J$160-SUM($K489:R489))*$K479)</f>
        <v>0</v>
      </c>
      <c r="T489" s="83">
        <f>IF((T$98-$J$98)&gt;$B489,0,($J$160-SUM($K489:S489))*$K479)</f>
        <v>0</v>
      </c>
      <c r="U489" s="83">
        <f>IF((U$98-$J$98)&gt;$B489,0,($J$160-SUM($K489:T489))*$K479)</f>
        <v>0</v>
      </c>
      <c r="V489" s="83">
        <f>IF((V$98-$J$98)&gt;$B489,0,($J$160-SUM($K489:U489))*$K479)</f>
        <v>0</v>
      </c>
      <c r="W489" s="83">
        <f>IF((W$98-$J$98)&gt;$B489,0,($J$160-SUM($K489:V489))*$K479)</f>
        <v>0</v>
      </c>
      <c r="X489" s="83">
        <f>IF((X$98-$J$98)&gt;$B489,0,($J$160-SUM($K489:W489))*$K479)</f>
        <v>0</v>
      </c>
      <c r="Y489" s="83">
        <f>IF((Y$98-$J$98)&gt;$B489,0,($J$160-SUM($K489:X489))*$K479)</f>
        <v>0</v>
      </c>
      <c r="Z489" s="83">
        <f>IF((Z$98-$J$98)&gt;$B489,0,($J$160-SUM($K489:Y489))*$K479)</f>
        <v>0</v>
      </c>
      <c r="AA489" s="83">
        <f>IF((AA$98-$J$98)&gt;$B489,0,($J$160-SUM($K489:Z489))*$K479)</f>
        <v>0</v>
      </c>
    </row>
    <row r="490" spans="1:27" s="3" customFormat="1" ht="15.75" x14ac:dyDescent="0.25">
      <c r="A490" s="81">
        <v>9</v>
      </c>
      <c r="B490" s="25">
        <v>20</v>
      </c>
      <c r="C490" s="59"/>
      <c r="D490" s="59"/>
      <c r="E490" s="59"/>
      <c r="F490" s="59"/>
      <c r="G490" s="59"/>
      <c r="H490" s="59"/>
      <c r="I490" s="59"/>
      <c r="J490" s="59"/>
      <c r="K490" s="83"/>
      <c r="L490" s="83">
        <f>IF(L$285&gt;$B490,0,K$280*L$283)</f>
        <v>0</v>
      </c>
      <c r="M490" s="83">
        <f>IF((M$98-$K$98)&gt;$B489,0,($K$160-SUM(L490:L490))*$L479)</f>
        <v>0</v>
      </c>
      <c r="N490" s="83">
        <f>IF((N$98-$K$98)&gt;$B489,0,($K$160*$L479))</f>
        <v>0</v>
      </c>
      <c r="O490" s="83">
        <f>IF((O$98-$K$98)&gt;$B489,0,($K$160-SUM(N490:N490))*$L479)</f>
        <v>0</v>
      </c>
      <c r="P490" s="83">
        <f>IF((P$98-$K$98)&gt;$B489,0,($K$160*$L479))</f>
        <v>0</v>
      </c>
      <c r="Q490" s="83">
        <f>IF((Q$98-$K$98)&gt;$B489,0,($K$160-SUM(P490:P490))*$L479)</f>
        <v>0</v>
      </c>
      <c r="R490" s="83">
        <f>IF((R$98-$K$98)&gt;$B489,0,($K$160*$L479))</f>
        <v>0</v>
      </c>
      <c r="S490" s="83">
        <f>IF((S$98-$K$98)&gt;$B489,0,($K$160-SUM(R490:R490))*$L479)</f>
        <v>0</v>
      </c>
      <c r="T490" s="83">
        <f>IF((T$98-$K$98)&gt;$B489,0,($K$160*$L479))</f>
        <v>0</v>
      </c>
      <c r="U490" s="83">
        <f>IF((U$98-$K$98)&gt;$B489,0,($K$160-SUM(T490:T490))*$L479)</f>
        <v>0</v>
      </c>
      <c r="V490" s="83">
        <f>IF((V$98-$K$98)&gt;$B489,0,($K$160*$L479))</f>
        <v>0</v>
      </c>
      <c r="W490" s="83">
        <f>IF((W$98-$K$98)&gt;$B489,0,($K$160-SUM(V490:V490))*$L479)</f>
        <v>0</v>
      </c>
      <c r="X490" s="83">
        <f>IF((X$98-$K$98)&gt;$B489,0,($K$160-SUM(W490:W490))*$L479)</f>
        <v>0</v>
      </c>
      <c r="Y490" s="83">
        <f>IF((Y$98-$K$98)&gt;$B489,0,($K$160*$L479))</f>
        <v>0</v>
      </c>
      <c r="Z490" s="83">
        <f>IF((Z$98-$K$98)&gt;$B489,0,($K$160-SUM(Y490:Y490))*$L479)</f>
        <v>0</v>
      </c>
      <c r="AA490" s="83">
        <f>IF((AA$98-$K$98)&gt;$B489,0,($K$160-SUM(Z490:Z490))*$L479)</f>
        <v>0</v>
      </c>
    </row>
    <row r="491" spans="1:27" s="3" customFormat="1" ht="15.75" x14ac:dyDescent="0.25">
      <c r="A491" s="81">
        <v>10</v>
      </c>
      <c r="B491" s="25">
        <v>20</v>
      </c>
      <c r="C491" s="59"/>
      <c r="D491" s="59"/>
      <c r="E491" s="59"/>
      <c r="F491" s="59"/>
      <c r="G491" s="59"/>
      <c r="H491" s="59"/>
      <c r="I491" s="59"/>
      <c r="J491" s="59"/>
      <c r="K491" s="83"/>
      <c r="L491" s="83"/>
      <c r="M491" s="83">
        <f>IF(M$285&gt;$B491,0,L$280*M$283)</f>
        <v>0</v>
      </c>
      <c r="N491" s="83"/>
      <c r="O491" s="83">
        <f>IF((O$98-$L$98)&gt;$B489,0,$L$160*$M479)</f>
        <v>0</v>
      </c>
      <c r="P491" s="83"/>
      <c r="Q491" s="83">
        <f>IF((Q$98-$L$98)&gt;$B489,0,$L$160*$M479)</f>
        <v>0</v>
      </c>
      <c r="R491" s="83"/>
      <c r="S491" s="83">
        <f>IF((S$98-$L$98)&gt;$B489,0,$L$160*$M479)</f>
        <v>0</v>
      </c>
      <c r="T491" s="83"/>
      <c r="U491" s="83">
        <f>IF((U$98-$L$98)&gt;$B489,0,$L$160*$M479)</f>
        <v>0</v>
      </c>
      <c r="V491" s="83"/>
      <c r="W491" s="83">
        <f>IF((W$98-$L$98)&gt;$B489,0,$L$160*$M479)</f>
        <v>0</v>
      </c>
      <c r="X491" s="83">
        <f>IF((X$98-$L$98)&gt;$B489,0,$L$160*$M479)</f>
        <v>0</v>
      </c>
      <c r="Y491" s="83"/>
      <c r="Z491" s="83">
        <f>IF((Z$98-$L$98)&gt;$B489,0,$L$160*$M479)</f>
        <v>0</v>
      </c>
      <c r="AA491" s="83">
        <f>IF((AA$98-$L$98)&gt;$B489,0,$L$160*$M479)</f>
        <v>0</v>
      </c>
    </row>
    <row r="492" spans="1:27" s="3" customFormat="1" ht="15.75" x14ac:dyDescent="0.25">
      <c r="A492" s="81">
        <v>11</v>
      </c>
      <c r="B492" s="25">
        <v>20</v>
      </c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3">
        <f>IF(N$285&gt;$B492,0,M$280*N$283)</f>
        <v>0</v>
      </c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</row>
    <row r="493" spans="1:27" s="3" customFormat="1" ht="15.75" x14ac:dyDescent="0.25">
      <c r="A493" s="81">
        <v>12</v>
      </c>
      <c r="B493" s="25">
        <v>20</v>
      </c>
      <c r="C493" s="59"/>
      <c r="D493" s="59"/>
      <c r="E493" s="59"/>
      <c r="F493" s="59"/>
      <c r="G493" s="59"/>
      <c r="H493" s="59"/>
      <c r="I493" s="59"/>
      <c r="J493" s="59"/>
      <c r="K493" s="83"/>
      <c r="O493" s="83">
        <f>IF(O$285&gt;$B493,0,N$280*O$283)</f>
        <v>0</v>
      </c>
    </row>
    <row r="494" spans="1:27" s="3" customFormat="1" ht="15.75" x14ac:dyDescent="0.25">
      <c r="A494" s="81">
        <v>13</v>
      </c>
      <c r="B494" s="25">
        <v>20</v>
      </c>
      <c r="C494" s="59"/>
      <c r="D494" s="176"/>
      <c r="E494" s="176"/>
      <c r="F494" s="176"/>
      <c r="G494" s="176"/>
      <c r="H494" s="176"/>
      <c r="I494" s="176"/>
      <c r="J494" s="176"/>
      <c r="K494" s="176"/>
      <c r="P494" s="83">
        <f>IF(P$285&gt;$B494,0,O$280*P$283)</f>
        <v>0</v>
      </c>
    </row>
    <row r="495" spans="1:27" s="3" customFormat="1" ht="15.75" x14ac:dyDescent="0.25">
      <c r="A495" s="396">
        <v>14</v>
      </c>
      <c r="B495" s="25">
        <v>20</v>
      </c>
      <c r="Q495" s="83">
        <f>IF(Q$285&gt;$B495,0,P$280*Q$283)</f>
        <v>0</v>
      </c>
    </row>
    <row r="496" spans="1:27" s="3" customFormat="1" ht="15.75" x14ac:dyDescent="0.25">
      <c r="A496" s="396">
        <v>15</v>
      </c>
      <c r="B496" s="25">
        <v>20</v>
      </c>
      <c r="R496" s="83">
        <f>IF(R$285&gt;$B496,0,Q$280*R$283)</f>
        <v>0</v>
      </c>
    </row>
    <row r="497" spans="1:27" s="3" customFormat="1" ht="15.75" x14ac:dyDescent="0.25">
      <c r="A497" s="396">
        <v>16</v>
      </c>
      <c r="B497" s="25">
        <v>20</v>
      </c>
      <c r="S497" s="83">
        <f>IF(S$285&gt;$B497,0,R$280*S$283)</f>
        <v>0</v>
      </c>
    </row>
    <row r="498" spans="1:27" s="3" customFormat="1" ht="15.75" x14ac:dyDescent="0.25">
      <c r="A498" s="396">
        <v>17</v>
      </c>
      <c r="B498" s="25">
        <v>20</v>
      </c>
      <c r="T498" s="83">
        <f>IF(T$285&gt;$B498,0,S$280*T$283)</f>
        <v>0</v>
      </c>
    </row>
    <row r="499" spans="1:27" s="3" customFormat="1" ht="15.75" x14ac:dyDescent="0.25">
      <c r="A499" s="396">
        <v>18</v>
      </c>
      <c r="B499" s="25">
        <v>20</v>
      </c>
      <c r="U499" s="83">
        <f>IF(U$285&gt;$B499,0,T$280*U$283)</f>
        <v>0</v>
      </c>
    </row>
    <row r="500" spans="1:27" s="3" customFormat="1" ht="15.75" x14ac:dyDescent="0.25">
      <c r="A500" s="396">
        <v>19</v>
      </c>
      <c r="B500" s="25">
        <v>20</v>
      </c>
      <c r="V500" s="83">
        <f>IF(V$285&gt;$B500,0,U$280*V$283)</f>
        <v>0</v>
      </c>
    </row>
    <row r="501" spans="1:27" s="3" customFormat="1" ht="15.75" x14ac:dyDescent="0.25">
      <c r="A501" s="396">
        <v>20</v>
      </c>
      <c r="B501" s="25">
        <v>20</v>
      </c>
      <c r="W501" s="83">
        <f>IF(W$285&gt;$B501,0,V$280*W$283)</f>
        <v>0</v>
      </c>
    </row>
    <row r="502" spans="1:27" s="3" customFormat="1" ht="15.75" x14ac:dyDescent="0.25">
      <c r="A502" s="396">
        <v>21</v>
      </c>
      <c r="B502" s="25">
        <v>20</v>
      </c>
      <c r="X502" s="83">
        <f>IF(X$285&gt;$B502,0,W$280*X$283)</f>
        <v>0</v>
      </c>
    </row>
    <row r="503" spans="1:27" s="3" customFormat="1" ht="15.75" x14ac:dyDescent="0.25">
      <c r="A503" s="396">
        <v>22</v>
      </c>
      <c r="B503" s="25">
        <v>20</v>
      </c>
      <c r="Y503" s="83">
        <f>IF(Y$285&gt;$B503,0,X$280*Y$283)</f>
        <v>0</v>
      </c>
    </row>
    <row r="504" spans="1:27" s="3" customFormat="1" ht="15.75" x14ac:dyDescent="0.25">
      <c r="A504" s="396">
        <v>23</v>
      </c>
      <c r="B504" s="25">
        <v>20</v>
      </c>
      <c r="Z504" s="83">
        <f>IF(Z$285&gt;$B504,0,Y$280*Z$283)</f>
        <v>0</v>
      </c>
    </row>
    <row r="505" spans="1:27" s="3" customFormat="1" ht="15.75" x14ac:dyDescent="0.25">
      <c r="A505" s="396">
        <v>24</v>
      </c>
      <c r="B505" s="25">
        <v>20</v>
      </c>
      <c r="AA505" s="83">
        <f>IF(AA$285&gt;$B505,0,Z$280*AA$283)</f>
        <v>0</v>
      </c>
    </row>
    <row r="506" spans="1:27" s="3" customFormat="1" x14ac:dyDescent="0.25">
      <c r="A506" s="3" t="s">
        <v>302</v>
      </c>
      <c r="D506" s="401">
        <f>SUM(D482:D505)</f>
        <v>0</v>
      </c>
      <c r="E506" s="401">
        <f>SUM(E482:E505)</f>
        <v>0</v>
      </c>
      <c r="F506" s="401">
        <f t="shared" ref="F506:AA506" si="583">SUM(F482:F505)</f>
        <v>0</v>
      </c>
      <c r="G506" s="401">
        <f t="shared" si="583"/>
        <v>0</v>
      </c>
      <c r="H506" s="401">
        <f t="shared" si="583"/>
        <v>0</v>
      </c>
      <c r="I506" s="401">
        <f t="shared" si="583"/>
        <v>0</v>
      </c>
      <c r="J506" s="401">
        <f t="shared" si="583"/>
        <v>0</v>
      </c>
      <c r="K506" s="401">
        <f t="shared" si="583"/>
        <v>0</v>
      </c>
      <c r="L506" s="401">
        <f t="shared" si="583"/>
        <v>0</v>
      </c>
      <c r="M506" s="401">
        <f t="shared" si="583"/>
        <v>0</v>
      </c>
      <c r="N506" s="401">
        <f t="shared" si="583"/>
        <v>0</v>
      </c>
      <c r="O506" s="401">
        <f t="shared" si="583"/>
        <v>0</v>
      </c>
      <c r="P506" s="401">
        <f t="shared" si="583"/>
        <v>0</v>
      </c>
      <c r="Q506" s="401">
        <f t="shared" si="583"/>
        <v>0</v>
      </c>
      <c r="R506" s="401">
        <f t="shared" si="583"/>
        <v>0</v>
      </c>
      <c r="S506" s="401">
        <f t="shared" si="583"/>
        <v>0</v>
      </c>
      <c r="T506" s="401">
        <f t="shared" si="583"/>
        <v>0</v>
      </c>
      <c r="U506" s="401">
        <f t="shared" si="583"/>
        <v>0</v>
      </c>
      <c r="V506" s="401">
        <f t="shared" si="583"/>
        <v>0</v>
      </c>
      <c r="W506" s="401">
        <f t="shared" si="583"/>
        <v>0</v>
      </c>
      <c r="X506" s="401">
        <f t="shared" si="583"/>
        <v>0</v>
      </c>
      <c r="Y506" s="401">
        <f t="shared" si="583"/>
        <v>0</v>
      </c>
      <c r="Z506" s="401">
        <f t="shared" si="583"/>
        <v>0</v>
      </c>
      <c r="AA506" s="401">
        <f t="shared" si="583"/>
        <v>0</v>
      </c>
    </row>
    <row r="507" spans="1:27" s="3" customFormat="1" ht="15.75" x14ac:dyDescent="0.25">
      <c r="A507" s="81" t="s">
        <v>303</v>
      </c>
      <c r="D507" s="401">
        <f>D506</f>
        <v>0</v>
      </c>
      <c r="E507" s="402">
        <f t="shared" ref="E507:AA507" si="584">IF(E481&gt;$B$286+1,0,E506+D507)</f>
        <v>0</v>
      </c>
      <c r="F507" s="402">
        <f t="shared" si="584"/>
        <v>0</v>
      </c>
      <c r="G507" s="402">
        <f t="shared" si="584"/>
        <v>0</v>
      </c>
      <c r="H507" s="402">
        <f t="shared" si="584"/>
        <v>0</v>
      </c>
      <c r="I507" s="402">
        <f t="shared" si="584"/>
        <v>0</v>
      </c>
      <c r="J507" s="402">
        <f t="shared" si="584"/>
        <v>0</v>
      </c>
      <c r="K507" s="402">
        <f t="shared" si="584"/>
        <v>0</v>
      </c>
      <c r="L507" s="402">
        <f t="shared" si="584"/>
        <v>0</v>
      </c>
      <c r="M507" s="402">
        <f t="shared" si="584"/>
        <v>0</v>
      </c>
      <c r="N507" s="402">
        <f t="shared" si="584"/>
        <v>0</v>
      </c>
      <c r="O507" s="402">
        <f t="shared" si="584"/>
        <v>0</v>
      </c>
      <c r="P507" s="402">
        <f t="shared" si="584"/>
        <v>0</v>
      </c>
      <c r="Q507" s="402">
        <f t="shared" si="584"/>
        <v>0</v>
      </c>
      <c r="R507" s="402">
        <f t="shared" si="584"/>
        <v>0</v>
      </c>
      <c r="S507" s="402">
        <f t="shared" si="584"/>
        <v>0</v>
      </c>
      <c r="T507" s="402">
        <f t="shared" si="584"/>
        <v>0</v>
      </c>
      <c r="U507" s="402">
        <f t="shared" si="584"/>
        <v>0</v>
      </c>
      <c r="V507" s="402">
        <f t="shared" si="584"/>
        <v>0</v>
      </c>
      <c r="W507" s="402">
        <f t="shared" si="584"/>
        <v>0</v>
      </c>
      <c r="X507" s="402">
        <f t="shared" si="584"/>
        <v>0</v>
      </c>
      <c r="Y507" s="402">
        <f t="shared" si="584"/>
        <v>0</v>
      </c>
      <c r="Z507" s="402">
        <f t="shared" si="584"/>
        <v>0</v>
      </c>
      <c r="AA507" s="402">
        <f t="shared" si="584"/>
        <v>0</v>
      </c>
    </row>
    <row r="508" spans="1:27" s="3" customFormat="1" ht="15.75" x14ac:dyDescent="0.25">
      <c r="A508" s="81" t="str">
        <f>A442</f>
        <v>Valor en libros</v>
      </c>
      <c r="D508" s="401">
        <f>D476</f>
        <v>0</v>
      </c>
      <c r="E508" s="402">
        <f>E476+D508-E506</f>
        <v>0</v>
      </c>
      <c r="F508" s="402">
        <f t="shared" ref="F508" si="585">F476+E508-F506</f>
        <v>0</v>
      </c>
      <c r="G508" s="402">
        <f t="shared" ref="G508" si="586">G476+F508-G506</f>
        <v>0</v>
      </c>
      <c r="H508" s="402">
        <f t="shared" ref="H508" si="587">H476+G508-H506</f>
        <v>0</v>
      </c>
      <c r="I508" s="402">
        <f>I476+H508-I506</f>
        <v>0</v>
      </c>
      <c r="J508" s="402">
        <f t="shared" ref="J508" si="588">J476+I508-J506</f>
        <v>0</v>
      </c>
      <c r="K508" s="402">
        <f t="shared" ref="K508" si="589">K476+J508-K506</f>
        <v>0</v>
      </c>
      <c r="L508" s="402">
        <f t="shared" ref="L508" si="590">L476+K508-L506</f>
        <v>0</v>
      </c>
      <c r="M508" s="402">
        <f t="shared" ref="M508" si="591">M476+L508-M506</f>
        <v>0</v>
      </c>
      <c r="N508" s="402">
        <f t="shared" ref="N508" si="592">N476+M508-N506</f>
        <v>0</v>
      </c>
      <c r="O508" s="402">
        <f t="shared" ref="O508" si="593">O476+N508-O506</f>
        <v>0</v>
      </c>
      <c r="P508" s="402">
        <f t="shared" ref="P508" si="594">P476+O508-P506</f>
        <v>0</v>
      </c>
      <c r="Q508" s="402">
        <f t="shared" ref="Q508" si="595">Q476+P508-Q506</f>
        <v>0</v>
      </c>
      <c r="R508" s="402">
        <f t="shared" ref="R508" si="596">R476+Q508-R506</f>
        <v>0</v>
      </c>
      <c r="S508" s="402">
        <f t="shared" ref="S508" si="597">S476+R508-S506</f>
        <v>0</v>
      </c>
      <c r="T508" s="402">
        <f t="shared" ref="T508" si="598">T476+S508-T506</f>
        <v>0</v>
      </c>
      <c r="U508" s="402">
        <f t="shared" ref="U508" si="599">U476+T508-U506</f>
        <v>0</v>
      </c>
      <c r="V508" s="402">
        <f t="shared" ref="V508" si="600">V476+U508-V506</f>
        <v>0</v>
      </c>
      <c r="W508" s="402">
        <f t="shared" ref="W508" si="601">W476+V508-W506</f>
        <v>0</v>
      </c>
      <c r="X508" s="402">
        <f t="shared" ref="X508" si="602">X476+W508-X506</f>
        <v>0</v>
      </c>
      <c r="Y508" s="402">
        <f t="shared" ref="Y508" si="603">Y476+X508-Y506</f>
        <v>0</v>
      </c>
      <c r="Z508" s="402">
        <f t="shared" ref="Z508" si="604">Z476+Y508-Z506</f>
        <v>0</v>
      </c>
      <c r="AA508" s="402">
        <f t="shared" ref="AA508" si="605">AA476+Z508-AA506</f>
        <v>0</v>
      </c>
    </row>
    <row r="510" spans="1:27" ht="31.5" x14ac:dyDescent="0.5">
      <c r="A510" s="458" t="str">
        <f>A57</f>
        <v>Franquicias</v>
      </c>
      <c r="B510" s="52"/>
      <c r="C510" s="78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</row>
    <row r="511" spans="1:27" x14ac:dyDescent="0.25">
      <c r="A511" s="59" t="s">
        <v>92</v>
      </c>
      <c r="B511" s="59"/>
      <c r="C511" s="59">
        <v>0</v>
      </c>
      <c r="D511" s="59">
        <v>1</v>
      </c>
      <c r="E511" s="59">
        <v>2</v>
      </c>
      <c r="F511" s="59">
        <v>3</v>
      </c>
      <c r="G511" s="59">
        <v>4</v>
      </c>
      <c r="H511" s="59">
        <v>5</v>
      </c>
      <c r="I511" s="59">
        <v>6</v>
      </c>
      <c r="J511" s="59">
        <v>7</v>
      </c>
      <c r="K511" s="59">
        <v>8</v>
      </c>
      <c r="L511" s="59">
        <v>9</v>
      </c>
      <c r="M511" s="59">
        <v>10</v>
      </c>
      <c r="N511" s="59">
        <v>11</v>
      </c>
      <c r="O511" s="59">
        <v>12</v>
      </c>
      <c r="P511" s="59">
        <v>13</v>
      </c>
      <c r="Q511" s="59">
        <v>14</v>
      </c>
      <c r="R511" s="59">
        <v>15</v>
      </c>
      <c r="S511" s="59">
        <v>16</v>
      </c>
      <c r="T511" s="59">
        <v>17</v>
      </c>
      <c r="U511" s="59">
        <v>18</v>
      </c>
      <c r="V511" s="59">
        <v>19</v>
      </c>
      <c r="W511" s="59">
        <v>20</v>
      </c>
      <c r="X511" s="59">
        <v>21</v>
      </c>
      <c r="Y511" s="59">
        <v>22</v>
      </c>
      <c r="Z511" s="59">
        <v>23</v>
      </c>
      <c r="AA511" s="59">
        <v>24</v>
      </c>
    </row>
    <row r="512" spans="1:27" ht="23.25" x14ac:dyDescent="0.35">
      <c r="A512" s="459" t="s">
        <v>88</v>
      </c>
      <c r="B512" s="77"/>
      <c r="C512" s="77"/>
      <c r="D512" s="77"/>
      <c r="E512" s="77"/>
      <c r="F512" s="77"/>
      <c r="G512" s="77"/>
      <c r="H512" s="77"/>
      <c r="I512" s="77"/>
      <c r="J512" s="77"/>
      <c r="K512" s="77"/>
    </row>
    <row r="513" spans="1:50" ht="15.75" x14ac:dyDescent="0.25">
      <c r="A513" s="20" t="s">
        <v>91</v>
      </c>
      <c r="B513" s="285" t="s">
        <v>93</v>
      </c>
      <c r="C513" s="19" t="s">
        <v>94</v>
      </c>
    </row>
    <row r="514" spans="1:50" ht="15.75" x14ac:dyDescent="0.25">
      <c r="A514" s="81">
        <f>D$9</f>
        <v>1</v>
      </c>
      <c r="B514" s="25">
        <v>20</v>
      </c>
      <c r="C514" s="59">
        <f>(B514*(B514+1))/2</f>
        <v>210</v>
      </c>
      <c r="D514" s="76">
        <f t="shared" ref="D514:AA514" si="606">IF($B514&lt;D$1,0,((($B514-C$315)/$C514)*$C$45))</f>
        <v>0</v>
      </c>
      <c r="E514" s="76">
        <f t="shared" si="606"/>
        <v>0</v>
      </c>
      <c r="F514" s="76">
        <f t="shared" si="606"/>
        <v>0</v>
      </c>
      <c r="G514" s="76">
        <f t="shared" si="606"/>
        <v>0</v>
      </c>
      <c r="H514" s="76">
        <f t="shared" si="606"/>
        <v>0</v>
      </c>
      <c r="I514" s="76">
        <f t="shared" si="606"/>
        <v>0</v>
      </c>
      <c r="J514" s="76">
        <f t="shared" si="606"/>
        <v>0</v>
      </c>
      <c r="K514" s="76">
        <f t="shared" si="606"/>
        <v>0</v>
      </c>
      <c r="L514" s="76">
        <f t="shared" si="606"/>
        <v>0</v>
      </c>
      <c r="M514" s="76">
        <f t="shared" si="606"/>
        <v>0</v>
      </c>
      <c r="N514" s="76">
        <f t="shared" si="606"/>
        <v>0</v>
      </c>
      <c r="O514" s="76">
        <f t="shared" si="606"/>
        <v>0</v>
      </c>
      <c r="P514" s="76">
        <f t="shared" si="606"/>
        <v>0</v>
      </c>
      <c r="Q514" s="76">
        <f t="shared" si="606"/>
        <v>0</v>
      </c>
      <c r="R514" s="76">
        <f t="shared" si="606"/>
        <v>0</v>
      </c>
      <c r="S514" s="76">
        <f t="shared" si="606"/>
        <v>0</v>
      </c>
      <c r="T514" s="76">
        <f t="shared" si="606"/>
        <v>0</v>
      </c>
      <c r="U514" s="76">
        <f t="shared" si="606"/>
        <v>0</v>
      </c>
      <c r="V514" s="76">
        <f t="shared" si="606"/>
        <v>0</v>
      </c>
      <c r="W514" s="76">
        <f t="shared" si="606"/>
        <v>0</v>
      </c>
      <c r="X514" s="76">
        <f t="shared" si="606"/>
        <v>0</v>
      </c>
      <c r="Y514" s="76">
        <f t="shared" si="606"/>
        <v>0</v>
      </c>
      <c r="Z514" s="76">
        <f t="shared" si="606"/>
        <v>0</v>
      </c>
      <c r="AA514" s="76">
        <f t="shared" si="606"/>
        <v>0</v>
      </c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</row>
    <row r="515" spans="1:50" ht="15.75" x14ac:dyDescent="0.25">
      <c r="A515" s="81">
        <f>E$9</f>
        <v>2</v>
      </c>
      <c r="B515" s="25">
        <v>20</v>
      </c>
      <c r="C515" s="59">
        <f t="shared" ref="C515:C523" si="607">(B515*(B515+1))/2</f>
        <v>210</v>
      </c>
      <c r="D515" s="3"/>
      <c r="E515" s="76">
        <f t="shared" ref="E515:AA515" si="608">IF($B515&lt;D$1,0,((($B515-C$315)/$C515)*$D$45))</f>
        <v>0</v>
      </c>
      <c r="F515" s="76">
        <f t="shared" si="608"/>
        <v>0</v>
      </c>
      <c r="G515" s="76">
        <f t="shared" si="608"/>
        <v>0</v>
      </c>
      <c r="H515" s="76">
        <f t="shared" si="608"/>
        <v>0</v>
      </c>
      <c r="I515" s="76">
        <f t="shared" si="608"/>
        <v>0</v>
      </c>
      <c r="J515" s="76">
        <f t="shared" si="608"/>
        <v>0</v>
      </c>
      <c r="K515" s="76">
        <f t="shared" si="608"/>
        <v>0</v>
      </c>
      <c r="L515" s="76">
        <f t="shared" si="608"/>
        <v>0</v>
      </c>
      <c r="M515" s="76">
        <f t="shared" si="608"/>
        <v>0</v>
      </c>
      <c r="N515" s="76">
        <f t="shared" si="608"/>
        <v>0</v>
      </c>
      <c r="O515" s="76">
        <f t="shared" si="608"/>
        <v>0</v>
      </c>
      <c r="P515" s="76">
        <f t="shared" si="608"/>
        <v>0</v>
      </c>
      <c r="Q515" s="76">
        <f t="shared" si="608"/>
        <v>0</v>
      </c>
      <c r="R515" s="76">
        <f t="shared" si="608"/>
        <v>0</v>
      </c>
      <c r="S515" s="76">
        <f t="shared" si="608"/>
        <v>0</v>
      </c>
      <c r="T515" s="76">
        <f t="shared" si="608"/>
        <v>0</v>
      </c>
      <c r="U515" s="76">
        <f t="shared" si="608"/>
        <v>0</v>
      </c>
      <c r="V515" s="76">
        <f t="shared" si="608"/>
        <v>0</v>
      </c>
      <c r="W515" s="76">
        <f t="shared" si="608"/>
        <v>0</v>
      </c>
      <c r="X515" s="76">
        <f t="shared" si="608"/>
        <v>0</v>
      </c>
      <c r="Y515" s="76">
        <f t="shared" si="608"/>
        <v>0</v>
      </c>
      <c r="Z515" s="76">
        <f t="shared" si="608"/>
        <v>0</v>
      </c>
      <c r="AA515" s="76">
        <f t="shared" si="608"/>
        <v>0</v>
      </c>
      <c r="AB515" s="76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</row>
    <row r="516" spans="1:50" ht="15.75" x14ac:dyDescent="0.25">
      <c r="A516" s="81">
        <f>F$9</f>
        <v>3</v>
      </c>
      <c r="B516" s="25">
        <v>20</v>
      </c>
      <c r="C516" s="59">
        <f t="shared" si="607"/>
        <v>210</v>
      </c>
      <c r="D516" s="3"/>
      <c r="E516" s="3"/>
      <c r="F516" s="76">
        <f t="shared" ref="F516:AA516" si="609">IF($B516&lt;D$1,0,((($B516-C$315)/$C516)*$E$45))</f>
        <v>0</v>
      </c>
      <c r="G516" s="76">
        <f t="shared" si="609"/>
        <v>0</v>
      </c>
      <c r="H516" s="76">
        <f t="shared" si="609"/>
        <v>0</v>
      </c>
      <c r="I516" s="76">
        <f t="shared" si="609"/>
        <v>0</v>
      </c>
      <c r="J516" s="76">
        <f t="shared" si="609"/>
        <v>0</v>
      </c>
      <c r="K516" s="76">
        <f t="shared" si="609"/>
        <v>0</v>
      </c>
      <c r="L516" s="76">
        <f t="shared" si="609"/>
        <v>0</v>
      </c>
      <c r="M516" s="76">
        <f t="shared" si="609"/>
        <v>0</v>
      </c>
      <c r="N516" s="76">
        <f t="shared" si="609"/>
        <v>0</v>
      </c>
      <c r="O516" s="76">
        <f t="shared" si="609"/>
        <v>0</v>
      </c>
      <c r="P516" s="76">
        <f t="shared" si="609"/>
        <v>0</v>
      </c>
      <c r="Q516" s="76">
        <f t="shared" si="609"/>
        <v>0</v>
      </c>
      <c r="R516" s="76">
        <f t="shared" si="609"/>
        <v>0</v>
      </c>
      <c r="S516" s="76">
        <f t="shared" si="609"/>
        <v>0</v>
      </c>
      <c r="T516" s="76">
        <f t="shared" si="609"/>
        <v>0</v>
      </c>
      <c r="U516" s="76">
        <f t="shared" si="609"/>
        <v>0</v>
      </c>
      <c r="V516" s="76">
        <f t="shared" si="609"/>
        <v>0</v>
      </c>
      <c r="W516" s="76">
        <f t="shared" si="609"/>
        <v>0</v>
      </c>
      <c r="X516" s="76">
        <f t="shared" si="609"/>
        <v>0</v>
      </c>
      <c r="Y516" s="76">
        <f t="shared" si="609"/>
        <v>0</v>
      </c>
      <c r="Z516" s="76">
        <f t="shared" si="609"/>
        <v>0</v>
      </c>
      <c r="AA516" s="76">
        <f t="shared" si="609"/>
        <v>0</v>
      </c>
      <c r="AB516" s="76"/>
      <c r="AC516" s="76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</row>
    <row r="517" spans="1:50" ht="15.75" x14ac:dyDescent="0.25">
      <c r="A517" s="81">
        <f>G$9</f>
        <v>4</v>
      </c>
      <c r="B517" s="25">
        <v>20</v>
      </c>
      <c r="C517" s="59">
        <f t="shared" si="607"/>
        <v>210</v>
      </c>
      <c r="D517" s="3"/>
      <c r="E517" s="3"/>
      <c r="F517" s="3"/>
      <c r="G517" s="76">
        <f t="shared" ref="G517:AA517" si="610">IF($B517&lt;D$1,0,((($B517-C$315)/$C517)*$F$45))</f>
        <v>0</v>
      </c>
      <c r="H517" s="76">
        <f t="shared" si="610"/>
        <v>0</v>
      </c>
      <c r="I517" s="76">
        <f t="shared" si="610"/>
        <v>0</v>
      </c>
      <c r="J517" s="76">
        <f t="shared" si="610"/>
        <v>0</v>
      </c>
      <c r="K517" s="76">
        <f t="shared" si="610"/>
        <v>0</v>
      </c>
      <c r="L517" s="76">
        <f t="shared" si="610"/>
        <v>0</v>
      </c>
      <c r="M517" s="76">
        <f t="shared" si="610"/>
        <v>0</v>
      </c>
      <c r="N517" s="76">
        <f t="shared" si="610"/>
        <v>0</v>
      </c>
      <c r="O517" s="76">
        <f t="shared" si="610"/>
        <v>0</v>
      </c>
      <c r="P517" s="76">
        <f t="shared" si="610"/>
        <v>0</v>
      </c>
      <c r="Q517" s="76">
        <f t="shared" si="610"/>
        <v>0</v>
      </c>
      <c r="R517" s="76">
        <f t="shared" si="610"/>
        <v>0</v>
      </c>
      <c r="S517" s="76">
        <f t="shared" si="610"/>
        <v>0</v>
      </c>
      <c r="T517" s="76">
        <f t="shared" si="610"/>
        <v>0</v>
      </c>
      <c r="U517" s="76">
        <f t="shared" si="610"/>
        <v>0</v>
      </c>
      <c r="V517" s="76">
        <f t="shared" si="610"/>
        <v>0</v>
      </c>
      <c r="W517" s="76">
        <f t="shared" si="610"/>
        <v>0</v>
      </c>
      <c r="X517" s="76">
        <f t="shared" si="610"/>
        <v>0</v>
      </c>
      <c r="Y517" s="76">
        <f t="shared" si="610"/>
        <v>0</v>
      </c>
      <c r="Z517" s="76">
        <f t="shared" si="610"/>
        <v>0</v>
      </c>
      <c r="AA517" s="76">
        <f t="shared" si="610"/>
        <v>0</v>
      </c>
      <c r="AB517" s="76"/>
      <c r="AC517" s="76"/>
      <c r="AD517" s="76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</row>
    <row r="518" spans="1:50" ht="15.75" x14ac:dyDescent="0.25">
      <c r="A518" s="81">
        <f>H$9</f>
        <v>5</v>
      </c>
      <c r="B518" s="25">
        <v>20</v>
      </c>
      <c r="C518" s="59">
        <f t="shared" si="607"/>
        <v>210</v>
      </c>
      <c r="D518" s="3"/>
      <c r="E518" s="3"/>
      <c r="F518" s="3"/>
      <c r="G518" s="3"/>
      <c r="H518" s="76">
        <f t="shared" ref="H518:AA518" si="611">IF($B518&lt;D$1,0,((($B518-C$315)/$C518)*$G$45))</f>
        <v>0</v>
      </c>
      <c r="I518" s="76">
        <f t="shared" si="611"/>
        <v>0</v>
      </c>
      <c r="J518" s="76">
        <f t="shared" si="611"/>
        <v>0</v>
      </c>
      <c r="K518" s="76">
        <f t="shared" si="611"/>
        <v>0</v>
      </c>
      <c r="L518" s="76">
        <f t="shared" si="611"/>
        <v>0</v>
      </c>
      <c r="M518" s="76">
        <f t="shared" si="611"/>
        <v>0</v>
      </c>
      <c r="N518" s="76">
        <f t="shared" si="611"/>
        <v>0</v>
      </c>
      <c r="O518" s="76">
        <f t="shared" si="611"/>
        <v>0</v>
      </c>
      <c r="P518" s="76">
        <f t="shared" si="611"/>
        <v>0</v>
      </c>
      <c r="Q518" s="76">
        <f t="shared" si="611"/>
        <v>0</v>
      </c>
      <c r="R518" s="76">
        <f t="shared" si="611"/>
        <v>0</v>
      </c>
      <c r="S518" s="76">
        <f t="shared" si="611"/>
        <v>0</v>
      </c>
      <c r="T518" s="76">
        <f t="shared" si="611"/>
        <v>0</v>
      </c>
      <c r="U518" s="76">
        <f t="shared" si="611"/>
        <v>0</v>
      </c>
      <c r="V518" s="76">
        <f t="shared" si="611"/>
        <v>0</v>
      </c>
      <c r="W518" s="76">
        <f t="shared" si="611"/>
        <v>0</v>
      </c>
      <c r="X518" s="76">
        <f t="shared" si="611"/>
        <v>0</v>
      </c>
      <c r="Y518" s="76">
        <f t="shared" si="611"/>
        <v>0</v>
      </c>
      <c r="Z518" s="76">
        <f t="shared" si="611"/>
        <v>0</v>
      </c>
      <c r="AA518" s="76">
        <f t="shared" si="611"/>
        <v>0</v>
      </c>
      <c r="AB518" s="76"/>
      <c r="AC518" s="76"/>
      <c r="AD518" s="76"/>
      <c r="AE518" s="76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</row>
    <row r="519" spans="1:50" ht="15.75" x14ac:dyDescent="0.25">
      <c r="A519" s="81">
        <f>I$9</f>
        <v>6</v>
      </c>
      <c r="B519" s="25">
        <v>20</v>
      </c>
      <c r="C519" s="59">
        <f t="shared" si="607"/>
        <v>210</v>
      </c>
      <c r="D519" s="3"/>
      <c r="E519" s="3"/>
      <c r="F519" s="3"/>
      <c r="G519" s="3"/>
      <c r="H519" s="3"/>
      <c r="I519" s="76">
        <f t="shared" ref="I519:AA519" si="612">IF($B519&lt;D$1,0,((($B519-C$315)/$C519)*$H$45))</f>
        <v>0</v>
      </c>
      <c r="J519" s="76">
        <f t="shared" si="612"/>
        <v>0</v>
      </c>
      <c r="K519" s="76">
        <f t="shared" si="612"/>
        <v>0</v>
      </c>
      <c r="L519" s="76">
        <f t="shared" si="612"/>
        <v>0</v>
      </c>
      <c r="M519" s="76">
        <f t="shared" si="612"/>
        <v>0</v>
      </c>
      <c r="N519" s="76">
        <f t="shared" si="612"/>
        <v>0</v>
      </c>
      <c r="O519" s="76">
        <f t="shared" si="612"/>
        <v>0</v>
      </c>
      <c r="P519" s="76">
        <f t="shared" si="612"/>
        <v>0</v>
      </c>
      <c r="Q519" s="76">
        <f t="shared" si="612"/>
        <v>0</v>
      </c>
      <c r="R519" s="76">
        <f t="shared" si="612"/>
        <v>0</v>
      </c>
      <c r="S519" s="76">
        <f t="shared" si="612"/>
        <v>0</v>
      </c>
      <c r="T519" s="76">
        <f t="shared" si="612"/>
        <v>0</v>
      </c>
      <c r="U519" s="76">
        <f t="shared" si="612"/>
        <v>0</v>
      </c>
      <c r="V519" s="76">
        <f t="shared" si="612"/>
        <v>0</v>
      </c>
      <c r="W519" s="76">
        <f t="shared" si="612"/>
        <v>0</v>
      </c>
      <c r="X519" s="76">
        <f t="shared" si="612"/>
        <v>0</v>
      </c>
      <c r="Y519" s="76">
        <f t="shared" si="612"/>
        <v>0</v>
      </c>
      <c r="Z519" s="76">
        <f t="shared" si="612"/>
        <v>0</v>
      </c>
      <c r="AA519" s="76">
        <f t="shared" si="612"/>
        <v>0</v>
      </c>
      <c r="AB519" s="76"/>
      <c r="AC519" s="76"/>
      <c r="AD519" s="76"/>
      <c r="AE519" s="76"/>
      <c r="AF519" s="76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</row>
    <row r="520" spans="1:50" ht="15.75" x14ac:dyDescent="0.25">
      <c r="A520" s="81">
        <f>J$9</f>
        <v>7</v>
      </c>
      <c r="B520" s="25">
        <v>20</v>
      </c>
      <c r="C520" s="59">
        <f t="shared" si="607"/>
        <v>210</v>
      </c>
      <c r="D520" s="3"/>
      <c r="E520" s="3"/>
      <c r="F520" s="3"/>
      <c r="G520" s="3"/>
      <c r="H520" s="3"/>
      <c r="I520" s="3"/>
      <c r="J520" s="76">
        <f t="shared" ref="J520:AA520" si="613">IF($B520&lt;D$1,0,((($B520-C$315)/$C520)*$I$45))</f>
        <v>0</v>
      </c>
      <c r="K520" s="76">
        <f t="shared" si="613"/>
        <v>0</v>
      </c>
      <c r="L520" s="76">
        <f t="shared" si="613"/>
        <v>0</v>
      </c>
      <c r="M520" s="76">
        <f t="shared" si="613"/>
        <v>0</v>
      </c>
      <c r="N520" s="76">
        <f t="shared" si="613"/>
        <v>0</v>
      </c>
      <c r="O520" s="76">
        <f t="shared" si="613"/>
        <v>0</v>
      </c>
      <c r="P520" s="76">
        <f t="shared" si="613"/>
        <v>0</v>
      </c>
      <c r="Q520" s="76">
        <f t="shared" si="613"/>
        <v>0</v>
      </c>
      <c r="R520" s="76">
        <f t="shared" si="613"/>
        <v>0</v>
      </c>
      <c r="S520" s="76">
        <f t="shared" si="613"/>
        <v>0</v>
      </c>
      <c r="T520" s="76">
        <f t="shared" si="613"/>
        <v>0</v>
      </c>
      <c r="U520" s="76">
        <f t="shared" si="613"/>
        <v>0</v>
      </c>
      <c r="V520" s="76">
        <f t="shared" si="613"/>
        <v>0</v>
      </c>
      <c r="W520" s="76">
        <f t="shared" si="613"/>
        <v>0</v>
      </c>
      <c r="X520" s="76">
        <f t="shared" si="613"/>
        <v>0</v>
      </c>
      <c r="Y520" s="76">
        <f t="shared" si="613"/>
        <v>0</v>
      </c>
      <c r="Z520" s="76">
        <f t="shared" si="613"/>
        <v>0</v>
      </c>
      <c r="AA520" s="76">
        <f t="shared" si="613"/>
        <v>0</v>
      </c>
      <c r="AB520" s="76"/>
      <c r="AC520" s="76"/>
      <c r="AD520" s="76"/>
      <c r="AE520" s="76"/>
      <c r="AF520" s="76"/>
      <c r="AG520" s="76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</row>
    <row r="521" spans="1:50" ht="15.75" x14ac:dyDescent="0.25">
      <c r="A521" s="81">
        <f>K$9</f>
        <v>8</v>
      </c>
      <c r="B521" s="25">
        <v>20</v>
      </c>
      <c r="C521" s="59">
        <f t="shared" si="607"/>
        <v>210</v>
      </c>
      <c r="D521" s="3"/>
      <c r="E521" s="3"/>
      <c r="F521" s="3"/>
      <c r="G521" s="3"/>
      <c r="H521" s="3"/>
      <c r="I521" s="3"/>
      <c r="J521" s="3"/>
      <c r="K521" s="76">
        <f t="shared" ref="K521:AA521" si="614">IF($B521&lt;D$1,0,((($B521-C$315)/$C521)*$J$45))</f>
        <v>0</v>
      </c>
      <c r="L521" s="76">
        <f t="shared" si="614"/>
        <v>0</v>
      </c>
      <c r="M521" s="76">
        <f t="shared" si="614"/>
        <v>0</v>
      </c>
      <c r="N521" s="76">
        <f t="shared" si="614"/>
        <v>0</v>
      </c>
      <c r="O521" s="76">
        <f t="shared" si="614"/>
        <v>0</v>
      </c>
      <c r="P521" s="76">
        <f t="shared" si="614"/>
        <v>0</v>
      </c>
      <c r="Q521" s="76">
        <f t="shared" si="614"/>
        <v>0</v>
      </c>
      <c r="R521" s="76">
        <f t="shared" si="614"/>
        <v>0</v>
      </c>
      <c r="S521" s="76">
        <f t="shared" si="614"/>
        <v>0</v>
      </c>
      <c r="T521" s="76">
        <f t="shared" si="614"/>
        <v>0</v>
      </c>
      <c r="U521" s="76">
        <f t="shared" si="614"/>
        <v>0</v>
      </c>
      <c r="V521" s="76">
        <f t="shared" si="614"/>
        <v>0</v>
      </c>
      <c r="W521" s="76">
        <f t="shared" si="614"/>
        <v>0</v>
      </c>
      <c r="X521" s="76">
        <f t="shared" si="614"/>
        <v>0</v>
      </c>
      <c r="Y521" s="76">
        <f t="shared" si="614"/>
        <v>0</v>
      </c>
      <c r="Z521" s="76">
        <f t="shared" si="614"/>
        <v>0</v>
      </c>
      <c r="AA521" s="76">
        <f t="shared" si="614"/>
        <v>0</v>
      </c>
      <c r="AB521" s="76"/>
      <c r="AC521" s="76"/>
      <c r="AD521" s="76"/>
      <c r="AE521" s="76"/>
      <c r="AF521" s="76"/>
      <c r="AG521" s="76"/>
      <c r="AH521" s="76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</row>
    <row r="522" spans="1:50" ht="15.75" x14ac:dyDescent="0.25">
      <c r="A522" s="81">
        <f>L$9</f>
        <v>9</v>
      </c>
      <c r="B522" s="25">
        <v>20</v>
      </c>
      <c r="C522" s="59">
        <f t="shared" si="607"/>
        <v>210</v>
      </c>
      <c r="D522" s="3"/>
      <c r="E522" s="3"/>
      <c r="F522" s="3"/>
      <c r="G522" s="3"/>
      <c r="H522" s="3"/>
      <c r="I522" s="3"/>
      <c r="J522" s="3"/>
      <c r="K522" s="3"/>
      <c r="L522" s="76">
        <f t="shared" ref="L522:AA522" si="615">IF($B522&lt;D$1,0,((($B522-C$315)/$C522)*$K$45))</f>
        <v>0</v>
      </c>
      <c r="M522" s="76">
        <f t="shared" si="615"/>
        <v>0</v>
      </c>
      <c r="N522" s="76">
        <f t="shared" si="615"/>
        <v>0</v>
      </c>
      <c r="O522" s="76">
        <f t="shared" si="615"/>
        <v>0</v>
      </c>
      <c r="P522" s="76">
        <f t="shared" si="615"/>
        <v>0</v>
      </c>
      <c r="Q522" s="76">
        <f t="shared" si="615"/>
        <v>0</v>
      </c>
      <c r="R522" s="76">
        <f t="shared" si="615"/>
        <v>0</v>
      </c>
      <c r="S522" s="76">
        <f t="shared" si="615"/>
        <v>0</v>
      </c>
      <c r="T522" s="76">
        <f t="shared" si="615"/>
        <v>0</v>
      </c>
      <c r="U522" s="76">
        <f t="shared" si="615"/>
        <v>0</v>
      </c>
      <c r="V522" s="76">
        <f t="shared" si="615"/>
        <v>0</v>
      </c>
      <c r="W522" s="76">
        <f t="shared" si="615"/>
        <v>0</v>
      </c>
      <c r="X522" s="76">
        <f t="shared" si="615"/>
        <v>0</v>
      </c>
      <c r="Y522" s="76">
        <f t="shared" si="615"/>
        <v>0</v>
      </c>
      <c r="Z522" s="76">
        <f t="shared" si="615"/>
        <v>0</v>
      </c>
      <c r="AA522" s="76">
        <f t="shared" si="615"/>
        <v>0</v>
      </c>
      <c r="AB522" s="76"/>
      <c r="AC522" s="76"/>
      <c r="AD522" s="76"/>
      <c r="AE522" s="76"/>
      <c r="AF522" s="76"/>
      <c r="AG522" s="76"/>
      <c r="AH522" s="76"/>
      <c r="AI522" s="76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</row>
    <row r="523" spans="1:50" ht="15.75" x14ac:dyDescent="0.25">
      <c r="A523" s="81">
        <f>M$9</f>
        <v>10</v>
      </c>
      <c r="B523" s="25">
        <v>20</v>
      </c>
      <c r="C523" s="59">
        <f t="shared" si="607"/>
        <v>210</v>
      </c>
      <c r="D523" s="3"/>
      <c r="E523" s="3"/>
      <c r="F523" s="3"/>
      <c r="G523" s="3"/>
      <c r="H523" s="3"/>
      <c r="I523" s="3"/>
      <c r="J523" s="3"/>
      <c r="K523" s="3"/>
      <c r="L523" s="3"/>
      <c r="M523" s="76">
        <f t="shared" ref="M523:AA523" si="616">IF($B523&lt;D$1,0,((($B523-C$315)/$C523)*$L$45))</f>
        <v>0</v>
      </c>
      <c r="N523" s="76">
        <f t="shared" si="616"/>
        <v>0</v>
      </c>
      <c r="O523" s="76">
        <f t="shared" si="616"/>
        <v>0</v>
      </c>
      <c r="P523" s="76">
        <f t="shared" si="616"/>
        <v>0</v>
      </c>
      <c r="Q523" s="76">
        <f t="shared" si="616"/>
        <v>0</v>
      </c>
      <c r="R523" s="76">
        <f t="shared" si="616"/>
        <v>0</v>
      </c>
      <c r="S523" s="76">
        <f t="shared" si="616"/>
        <v>0</v>
      </c>
      <c r="T523" s="76">
        <f t="shared" si="616"/>
        <v>0</v>
      </c>
      <c r="U523" s="76">
        <f t="shared" si="616"/>
        <v>0</v>
      </c>
      <c r="V523" s="76">
        <f t="shared" si="616"/>
        <v>0</v>
      </c>
      <c r="W523" s="76">
        <f t="shared" si="616"/>
        <v>0</v>
      </c>
      <c r="X523" s="76">
        <f t="shared" si="616"/>
        <v>0</v>
      </c>
      <c r="Y523" s="76">
        <f t="shared" si="616"/>
        <v>0</v>
      </c>
      <c r="Z523" s="76">
        <f t="shared" si="616"/>
        <v>0</v>
      </c>
      <c r="AA523" s="76">
        <f t="shared" si="616"/>
        <v>0</v>
      </c>
      <c r="AB523" s="76"/>
      <c r="AC523" s="76"/>
      <c r="AD523" s="76"/>
      <c r="AE523" s="76"/>
      <c r="AF523" s="76"/>
      <c r="AG523" s="76"/>
      <c r="AH523" s="76"/>
      <c r="AI523" s="76"/>
      <c r="AJ523" s="76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</row>
    <row r="524" spans="1:50" ht="15.75" x14ac:dyDescent="0.25">
      <c r="A524" s="81">
        <v>11</v>
      </c>
      <c r="B524" s="25">
        <v>20</v>
      </c>
      <c r="C524" s="59">
        <f>(B524*(B524+1))/2</f>
        <v>210</v>
      </c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76">
        <f t="shared" ref="N524:AA524" si="617">IF($B524&lt;D$1,0,((($B524-C$315)/$C524)*$M$45))</f>
        <v>0</v>
      </c>
      <c r="O524" s="76">
        <f t="shared" si="617"/>
        <v>0</v>
      </c>
      <c r="P524" s="76">
        <f t="shared" si="617"/>
        <v>0</v>
      </c>
      <c r="Q524" s="76">
        <f t="shared" si="617"/>
        <v>0</v>
      </c>
      <c r="R524" s="76">
        <f t="shared" si="617"/>
        <v>0</v>
      </c>
      <c r="S524" s="76">
        <f t="shared" si="617"/>
        <v>0</v>
      </c>
      <c r="T524" s="76">
        <f t="shared" si="617"/>
        <v>0</v>
      </c>
      <c r="U524" s="76">
        <f t="shared" si="617"/>
        <v>0</v>
      </c>
      <c r="V524" s="76">
        <f t="shared" si="617"/>
        <v>0</v>
      </c>
      <c r="W524" s="76">
        <f t="shared" si="617"/>
        <v>0</v>
      </c>
      <c r="X524" s="76">
        <f t="shared" si="617"/>
        <v>0</v>
      </c>
      <c r="Y524" s="76">
        <f t="shared" si="617"/>
        <v>0</v>
      </c>
      <c r="Z524" s="76">
        <f t="shared" si="617"/>
        <v>0</v>
      </c>
      <c r="AA524" s="76">
        <f t="shared" si="617"/>
        <v>0</v>
      </c>
      <c r="AB524" s="76"/>
      <c r="AC524" s="76"/>
      <c r="AD524" s="76"/>
      <c r="AE524" s="76"/>
      <c r="AF524" s="76"/>
      <c r="AG524" s="76"/>
      <c r="AH524" s="76"/>
      <c r="AI524" s="76"/>
      <c r="AJ524" s="76"/>
      <c r="AK524" s="76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</row>
    <row r="525" spans="1:50" ht="15.75" x14ac:dyDescent="0.25">
      <c r="A525" s="81">
        <v>12</v>
      </c>
      <c r="B525" s="25">
        <v>20</v>
      </c>
      <c r="C525" s="59">
        <f t="shared" ref="C525:C537" si="618">(B525*(B525+1))/2</f>
        <v>210</v>
      </c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76">
        <f t="shared" ref="O525:AA525" si="619">IF($B525&lt;D$1,0,((($B525-C$315)/$C525)*$N$45))</f>
        <v>0</v>
      </c>
      <c r="P525" s="76">
        <f t="shared" si="619"/>
        <v>0</v>
      </c>
      <c r="Q525" s="76">
        <f t="shared" si="619"/>
        <v>0</v>
      </c>
      <c r="R525" s="76">
        <f t="shared" si="619"/>
        <v>0</v>
      </c>
      <c r="S525" s="76">
        <f t="shared" si="619"/>
        <v>0</v>
      </c>
      <c r="T525" s="76">
        <f t="shared" si="619"/>
        <v>0</v>
      </c>
      <c r="U525" s="76">
        <f t="shared" si="619"/>
        <v>0</v>
      </c>
      <c r="V525" s="76">
        <f t="shared" si="619"/>
        <v>0</v>
      </c>
      <c r="W525" s="76">
        <f t="shared" si="619"/>
        <v>0</v>
      </c>
      <c r="X525" s="76">
        <f t="shared" si="619"/>
        <v>0</v>
      </c>
      <c r="Y525" s="76">
        <f t="shared" si="619"/>
        <v>0</v>
      </c>
      <c r="Z525" s="76">
        <f t="shared" si="619"/>
        <v>0</v>
      </c>
      <c r="AA525" s="76">
        <f t="shared" si="619"/>
        <v>0</v>
      </c>
      <c r="AB525" s="76"/>
      <c r="AC525" s="76"/>
      <c r="AD525" s="76"/>
      <c r="AE525" s="76"/>
      <c r="AF525" s="76"/>
      <c r="AG525" s="76"/>
      <c r="AH525" s="76"/>
      <c r="AI525" s="76"/>
      <c r="AJ525" s="76"/>
      <c r="AK525" s="76"/>
      <c r="AL525" s="76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</row>
    <row r="526" spans="1:50" ht="15.75" x14ac:dyDescent="0.25">
      <c r="A526" s="81">
        <v>13</v>
      </c>
      <c r="B526" s="25">
        <v>20</v>
      </c>
      <c r="C526" s="59">
        <f t="shared" si="618"/>
        <v>210</v>
      </c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76">
        <f t="shared" ref="P526:AA526" si="620">IF($B526&lt;D$1,0,((($B526-C$315)/$C526)*$O$45))</f>
        <v>0</v>
      </c>
      <c r="Q526" s="76">
        <f t="shared" si="620"/>
        <v>0</v>
      </c>
      <c r="R526" s="76">
        <f t="shared" si="620"/>
        <v>0</v>
      </c>
      <c r="S526" s="76">
        <f t="shared" si="620"/>
        <v>0</v>
      </c>
      <c r="T526" s="76">
        <f t="shared" si="620"/>
        <v>0</v>
      </c>
      <c r="U526" s="76">
        <f t="shared" si="620"/>
        <v>0</v>
      </c>
      <c r="V526" s="76">
        <f t="shared" si="620"/>
        <v>0</v>
      </c>
      <c r="W526" s="76">
        <f t="shared" si="620"/>
        <v>0</v>
      </c>
      <c r="X526" s="76">
        <f t="shared" si="620"/>
        <v>0</v>
      </c>
      <c r="Y526" s="76">
        <f t="shared" si="620"/>
        <v>0</v>
      </c>
      <c r="Z526" s="76">
        <f t="shared" si="620"/>
        <v>0</v>
      </c>
      <c r="AA526" s="76">
        <f t="shared" si="620"/>
        <v>0</v>
      </c>
      <c r="AB526" s="76"/>
      <c r="AC526" s="76"/>
      <c r="AD526" s="76"/>
      <c r="AE526" s="76"/>
      <c r="AF526" s="76"/>
      <c r="AG526" s="76"/>
      <c r="AH526" s="76"/>
      <c r="AI526" s="76"/>
      <c r="AJ526" s="76"/>
      <c r="AK526" s="76"/>
      <c r="AL526" s="76"/>
      <c r="AM526" s="76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</row>
    <row r="527" spans="1:50" ht="15.75" x14ac:dyDescent="0.25">
      <c r="A527" s="81">
        <v>14</v>
      </c>
      <c r="B527" s="25">
        <v>20</v>
      </c>
      <c r="C527" s="59">
        <f t="shared" si="618"/>
        <v>210</v>
      </c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76">
        <f t="shared" ref="Q527:AA527" si="621">IF($B527&lt;D$1,0,((($B527-C$315)/$C527)*$P$45))</f>
        <v>0</v>
      </c>
      <c r="R527" s="76">
        <f t="shared" si="621"/>
        <v>0</v>
      </c>
      <c r="S527" s="76">
        <f t="shared" si="621"/>
        <v>0</v>
      </c>
      <c r="T527" s="76">
        <f t="shared" si="621"/>
        <v>0</v>
      </c>
      <c r="U527" s="76">
        <f t="shared" si="621"/>
        <v>0</v>
      </c>
      <c r="V527" s="76">
        <f t="shared" si="621"/>
        <v>0</v>
      </c>
      <c r="W527" s="76">
        <f t="shared" si="621"/>
        <v>0</v>
      </c>
      <c r="X527" s="76">
        <f t="shared" si="621"/>
        <v>0</v>
      </c>
      <c r="Y527" s="76">
        <f t="shared" si="621"/>
        <v>0</v>
      </c>
      <c r="Z527" s="76">
        <f t="shared" si="621"/>
        <v>0</v>
      </c>
      <c r="AA527" s="76">
        <f t="shared" si="621"/>
        <v>0</v>
      </c>
      <c r="AB527" s="76"/>
      <c r="AC527" s="76"/>
      <c r="AD527" s="76"/>
      <c r="AE527" s="76"/>
      <c r="AF527" s="76"/>
      <c r="AG527" s="76"/>
      <c r="AH527" s="76"/>
      <c r="AI527" s="76"/>
      <c r="AJ527" s="76"/>
      <c r="AK527" s="76"/>
      <c r="AL527" s="76"/>
      <c r="AM527" s="76"/>
      <c r="AN527" s="76"/>
      <c r="AO527" s="3"/>
      <c r="AP527" s="3"/>
      <c r="AQ527" s="3"/>
      <c r="AR527" s="3"/>
      <c r="AS527" s="3"/>
      <c r="AT527" s="3"/>
      <c r="AU527" s="3"/>
      <c r="AV527" s="3"/>
      <c r="AW527" s="3"/>
      <c r="AX527" s="3"/>
    </row>
    <row r="528" spans="1:50" ht="15.75" x14ac:dyDescent="0.25">
      <c r="A528" s="81">
        <v>15</v>
      </c>
      <c r="B528" s="25">
        <v>20</v>
      </c>
      <c r="C528" s="59">
        <f t="shared" si="618"/>
        <v>210</v>
      </c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76">
        <f t="shared" ref="R528:AA528" si="622">IF($B528&lt;D$1,0,((($B528-C$315)/$C528)*$Q$45))</f>
        <v>0</v>
      </c>
      <c r="S528" s="76">
        <f t="shared" si="622"/>
        <v>0</v>
      </c>
      <c r="T528" s="76">
        <f t="shared" si="622"/>
        <v>0</v>
      </c>
      <c r="U528" s="76">
        <f t="shared" si="622"/>
        <v>0</v>
      </c>
      <c r="V528" s="76">
        <f t="shared" si="622"/>
        <v>0</v>
      </c>
      <c r="W528" s="76">
        <f t="shared" si="622"/>
        <v>0</v>
      </c>
      <c r="X528" s="76">
        <f t="shared" si="622"/>
        <v>0</v>
      </c>
      <c r="Y528" s="76">
        <f t="shared" si="622"/>
        <v>0</v>
      </c>
      <c r="Z528" s="76">
        <f t="shared" si="622"/>
        <v>0</v>
      </c>
      <c r="AA528" s="76">
        <f t="shared" si="622"/>
        <v>0</v>
      </c>
      <c r="AB528" s="76"/>
      <c r="AC528" s="76"/>
      <c r="AD528" s="76"/>
      <c r="AE528" s="76"/>
      <c r="AF528" s="76"/>
      <c r="AG528" s="76"/>
      <c r="AH528" s="76"/>
      <c r="AI528" s="76"/>
      <c r="AJ528" s="76"/>
      <c r="AK528" s="76"/>
      <c r="AL528" s="76"/>
      <c r="AM528" s="76"/>
      <c r="AN528" s="76"/>
      <c r="AO528" s="76"/>
      <c r="AP528" s="3"/>
      <c r="AQ528" s="3"/>
      <c r="AR528" s="3"/>
      <c r="AS528" s="3"/>
      <c r="AT528" s="3"/>
      <c r="AU528" s="3"/>
      <c r="AV528" s="3"/>
      <c r="AW528" s="3"/>
      <c r="AX528" s="3"/>
    </row>
    <row r="529" spans="1:50" ht="15.75" x14ac:dyDescent="0.25">
      <c r="A529" s="81">
        <v>16</v>
      </c>
      <c r="B529" s="25">
        <v>20</v>
      </c>
      <c r="C529" s="59">
        <f t="shared" si="618"/>
        <v>210</v>
      </c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76">
        <f t="shared" ref="S529:AA529" si="623">IF($B529&lt;D$1,0,((($B529-C$315)/$C529)*$R$45))</f>
        <v>0</v>
      </c>
      <c r="T529" s="76">
        <f t="shared" si="623"/>
        <v>0</v>
      </c>
      <c r="U529" s="76">
        <f t="shared" si="623"/>
        <v>0</v>
      </c>
      <c r="V529" s="76">
        <f t="shared" si="623"/>
        <v>0</v>
      </c>
      <c r="W529" s="76">
        <f t="shared" si="623"/>
        <v>0</v>
      </c>
      <c r="X529" s="76">
        <f t="shared" si="623"/>
        <v>0</v>
      </c>
      <c r="Y529" s="76">
        <f t="shared" si="623"/>
        <v>0</v>
      </c>
      <c r="Z529" s="76">
        <f t="shared" si="623"/>
        <v>0</v>
      </c>
      <c r="AA529" s="76">
        <f t="shared" si="623"/>
        <v>0</v>
      </c>
      <c r="AB529" s="76"/>
      <c r="AC529" s="76"/>
      <c r="AD529" s="76"/>
      <c r="AE529" s="76"/>
      <c r="AF529" s="76"/>
      <c r="AG529" s="76"/>
      <c r="AH529" s="76"/>
      <c r="AI529" s="76"/>
      <c r="AJ529" s="76"/>
      <c r="AK529" s="76"/>
      <c r="AL529" s="76"/>
      <c r="AM529" s="76"/>
      <c r="AN529" s="76"/>
      <c r="AO529" s="76"/>
      <c r="AP529" s="76"/>
      <c r="AQ529" s="3"/>
      <c r="AR529" s="3"/>
      <c r="AS529" s="3"/>
      <c r="AT529" s="3"/>
      <c r="AU529" s="3"/>
      <c r="AV529" s="3"/>
      <c r="AW529" s="3"/>
      <c r="AX529" s="3"/>
    </row>
    <row r="530" spans="1:50" ht="15.75" x14ac:dyDescent="0.25">
      <c r="A530" s="81">
        <v>17</v>
      </c>
      <c r="B530" s="25">
        <v>20</v>
      </c>
      <c r="C530" s="59">
        <f t="shared" si="618"/>
        <v>210</v>
      </c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76">
        <f t="shared" ref="T530:AA530" si="624">IF($B530&lt;D$1,0,((($B530-C$315)/$C530)*$S$45))</f>
        <v>0</v>
      </c>
      <c r="U530" s="76">
        <f t="shared" si="624"/>
        <v>0</v>
      </c>
      <c r="V530" s="76">
        <f t="shared" si="624"/>
        <v>0</v>
      </c>
      <c r="W530" s="76">
        <f t="shared" si="624"/>
        <v>0</v>
      </c>
      <c r="X530" s="76">
        <f t="shared" si="624"/>
        <v>0</v>
      </c>
      <c r="Y530" s="76">
        <f t="shared" si="624"/>
        <v>0</v>
      </c>
      <c r="Z530" s="76">
        <f t="shared" si="624"/>
        <v>0</v>
      </c>
      <c r="AA530" s="76">
        <f t="shared" si="624"/>
        <v>0</v>
      </c>
      <c r="AB530" s="76"/>
      <c r="AC530" s="76"/>
      <c r="AD530" s="76"/>
      <c r="AE530" s="76"/>
      <c r="AF530" s="76"/>
      <c r="AG530" s="76"/>
      <c r="AH530" s="76"/>
      <c r="AI530" s="76"/>
      <c r="AJ530" s="76"/>
      <c r="AK530" s="76"/>
      <c r="AL530" s="76"/>
      <c r="AM530" s="76"/>
      <c r="AN530" s="76"/>
      <c r="AO530" s="76"/>
      <c r="AP530" s="76"/>
      <c r="AQ530" s="76"/>
      <c r="AR530" s="3"/>
      <c r="AS530" s="3"/>
      <c r="AT530" s="3"/>
      <c r="AU530" s="3"/>
      <c r="AV530" s="3"/>
      <c r="AW530" s="3"/>
      <c r="AX530" s="3"/>
    </row>
    <row r="531" spans="1:50" ht="15.75" x14ac:dyDescent="0.25">
      <c r="A531" s="81">
        <v>18</v>
      </c>
      <c r="B531" s="25">
        <v>20</v>
      </c>
      <c r="C531" s="59">
        <f t="shared" si="618"/>
        <v>210</v>
      </c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76">
        <f t="shared" ref="U531:AA531" si="625">IF($B531&lt;D$1,0,((($B531-C$315)/$C531)*$T$45))</f>
        <v>0</v>
      </c>
      <c r="V531" s="76">
        <f t="shared" si="625"/>
        <v>0</v>
      </c>
      <c r="W531" s="76">
        <f t="shared" si="625"/>
        <v>0</v>
      </c>
      <c r="X531" s="76">
        <f t="shared" si="625"/>
        <v>0</v>
      </c>
      <c r="Y531" s="76">
        <f t="shared" si="625"/>
        <v>0</v>
      </c>
      <c r="Z531" s="76">
        <f t="shared" si="625"/>
        <v>0</v>
      </c>
      <c r="AA531" s="76">
        <f t="shared" si="625"/>
        <v>0</v>
      </c>
      <c r="AB531" s="76"/>
      <c r="AC531" s="76"/>
      <c r="AD531" s="76"/>
      <c r="AE531" s="76"/>
      <c r="AF531" s="76"/>
      <c r="AG531" s="76"/>
      <c r="AH531" s="76"/>
      <c r="AI531" s="76"/>
      <c r="AJ531" s="76"/>
      <c r="AK531" s="76"/>
      <c r="AL531" s="76"/>
      <c r="AM531" s="76"/>
      <c r="AN531" s="76"/>
      <c r="AO531" s="76"/>
      <c r="AP531" s="76"/>
      <c r="AQ531" s="76"/>
      <c r="AR531" s="76"/>
      <c r="AS531" s="3"/>
      <c r="AT531" s="3"/>
      <c r="AU531" s="3"/>
      <c r="AV531" s="3"/>
      <c r="AW531" s="3"/>
      <c r="AX531" s="3"/>
    </row>
    <row r="532" spans="1:50" ht="15.75" x14ac:dyDescent="0.25">
      <c r="A532" s="81">
        <v>19</v>
      </c>
      <c r="B532" s="25">
        <v>20</v>
      </c>
      <c r="C532" s="59">
        <f t="shared" si="618"/>
        <v>210</v>
      </c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76">
        <f t="shared" ref="V532:AA532" si="626">IF($B532&lt;D$1,0,((($B532-C$315)/$C532)*$U$45))</f>
        <v>0</v>
      </c>
      <c r="W532" s="76">
        <f t="shared" si="626"/>
        <v>0</v>
      </c>
      <c r="X532" s="76">
        <f t="shared" si="626"/>
        <v>0</v>
      </c>
      <c r="Y532" s="76">
        <f t="shared" si="626"/>
        <v>0</v>
      </c>
      <c r="Z532" s="76">
        <f t="shared" si="626"/>
        <v>0</v>
      </c>
      <c r="AA532" s="76">
        <f t="shared" si="626"/>
        <v>0</v>
      </c>
      <c r="AB532" s="76"/>
      <c r="AC532" s="76"/>
      <c r="AD532" s="76"/>
      <c r="AE532" s="76"/>
      <c r="AF532" s="76"/>
      <c r="AG532" s="76"/>
      <c r="AH532" s="76"/>
      <c r="AI532" s="76"/>
      <c r="AJ532" s="76"/>
      <c r="AK532" s="76"/>
      <c r="AL532" s="76"/>
      <c r="AM532" s="76"/>
      <c r="AN532" s="76"/>
      <c r="AO532" s="76"/>
      <c r="AP532" s="76"/>
      <c r="AQ532" s="76"/>
      <c r="AR532" s="76"/>
      <c r="AS532" s="76"/>
      <c r="AT532" s="3"/>
      <c r="AU532" s="3"/>
      <c r="AV532" s="3"/>
      <c r="AW532" s="3"/>
      <c r="AX532" s="3"/>
    </row>
    <row r="533" spans="1:50" ht="15.75" x14ac:dyDescent="0.25">
      <c r="A533" s="81">
        <v>20</v>
      </c>
      <c r="B533" s="25">
        <v>20</v>
      </c>
      <c r="C533" s="59">
        <f t="shared" si="618"/>
        <v>210</v>
      </c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76">
        <f>IF($B533&lt;D$1,0,((($B533-C$315)/$C533)*$V$45))</f>
        <v>0</v>
      </c>
      <c r="X533" s="76">
        <f>IF($B533&lt;E$1,0,((($B533-D$315)/$C533)*$V$45))</f>
        <v>0</v>
      </c>
      <c r="Y533" s="76">
        <f>IF($B533&lt;F$1,0,((($B533-E$315)/$C533)*$V$45))</f>
        <v>0</v>
      </c>
      <c r="Z533" s="76">
        <f>IF($B533&lt;G$1,0,((($B533-F$315)/$C533)*$V$45))</f>
        <v>0</v>
      </c>
      <c r="AA533" s="76">
        <f>IF($B533&lt;H$1,0,((($B533-G$315)/$C533)*$V$45))</f>
        <v>0</v>
      </c>
      <c r="AB533" s="76"/>
      <c r="AC533" s="76"/>
      <c r="AD533" s="76"/>
      <c r="AE533" s="76"/>
      <c r="AF533" s="76"/>
      <c r="AG533" s="76"/>
      <c r="AH533" s="76"/>
      <c r="AI533" s="76"/>
      <c r="AJ533" s="76"/>
      <c r="AK533" s="76"/>
      <c r="AL533" s="76"/>
      <c r="AM533" s="76"/>
      <c r="AN533" s="76"/>
      <c r="AO533" s="76"/>
      <c r="AP533" s="76"/>
      <c r="AQ533" s="76"/>
      <c r="AR533" s="76"/>
      <c r="AS533" s="76"/>
      <c r="AT533" s="76"/>
      <c r="AU533" s="3"/>
      <c r="AV533" s="3"/>
      <c r="AW533" s="3"/>
      <c r="AX533" s="3"/>
    </row>
    <row r="534" spans="1:50" ht="15.75" x14ac:dyDescent="0.25">
      <c r="A534" s="81">
        <v>21</v>
      </c>
      <c r="B534" s="25">
        <v>20</v>
      </c>
      <c r="C534" s="59">
        <f t="shared" si="618"/>
        <v>210</v>
      </c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76">
        <f>IF($B534&lt;D$1,0,((($B534-C$315)/$C534)*$W$45))</f>
        <v>0</v>
      </c>
      <c r="Y534" s="76">
        <f>IF($B534&lt;E$1,0,((($B534-D$315)/$C534)*$W$45))</f>
        <v>0</v>
      </c>
      <c r="Z534" s="76">
        <f>IF($B534&lt;F$1,0,((($B534-E$315)/$C534)*$W$45))</f>
        <v>0</v>
      </c>
      <c r="AA534" s="76">
        <f>IF($B534&lt;G$1,0,((($B534-F$315)/$C534)*$W$45))</f>
        <v>0</v>
      </c>
      <c r="AB534" s="76"/>
      <c r="AC534" s="76"/>
      <c r="AD534" s="76"/>
      <c r="AE534" s="76"/>
      <c r="AF534" s="76"/>
      <c r="AG534" s="76"/>
      <c r="AH534" s="76"/>
      <c r="AI534" s="76"/>
      <c r="AJ534" s="76"/>
      <c r="AK534" s="76"/>
      <c r="AL534" s="76"/>
      <c r="AM534" s="76"/>
      <c r="AN534" s="76"/>
      <c r="AO534" s="76"/>
      <c r="AP534" s="76"/>
      <c r="AQ534" s="76"/>
      <c r="AR534" s="76"/>
      <c r="AS534" s="76"/>
      <c r="AT534" s="76"/>
      <c r="AU534" s="76"/>
      <c r="AV534" s="3"/>
      <c r="AW534" s="3"/>
      <c r="AX534" s="3"/>
    </row>
    <row r="535" spans="1:50" ht="15.75" x14ac:dyDescent="0.25">
      <c r="A535" s="81">
        <v>22</v>
      </c>
      <c r="B535" s="25">
        <v>20</v>
      </c>
      <c r="C535" s="59">
        <f t="shared" si="618"/>
        <v>210</v>
      </c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76">
        <f>IF($B535&lt;D$1,0,((($B535-C$315)/$C535)*$X$45))</f>
        <v>0</v>
      </c>
      <c r="Z535" s="76">
        <f>IF($B535&lt;E$1,0,((($B535-D$315)/$C535)*$X$45))</f>
        <v>0</v>
      </c>
      <c r="AA535" s="76">
        <f>IF($B535&lt;F$1,0,((($B535-E$315)/$C535)*$X$45))</f>
        <v>0</v>
      </c>
      <c r="AB535" s="76"/>
      <c r="AC535" s="76"/>
      <c r="AD535" s="76"/>
      <c r="AE535" s="76"/>
      <c r="AF535" s="76"/>
      <c r="AG535" s="76"/>
      <c r="AH535" s="76"/>
      <c r="AI535" s="76"/>
      <c r="AJ535" s="76"/>
      <c r="AK535" s="76"/>
      <c r="AL535" s="76"/>
      <c r="AM535" s="76"/>
      <c r="AN535" s="76"/>
      <c r="AO535" s="76"/>
      <c r="AP535" s="76"/>
      <c r="AQ535" s="76"/>
      <c r="AR535" s="76"/>
      <c r="AS535" s="76"/>
      <c r="AT535" s="76"/>
      <c r="AU535" s="76"/>
      <c r="AV535" s="76"/>
      <c r="AW535" s="3"/>
      <c r="AX535" s="3"/>
    </row>
    <row r="536" spans="1:50" ht="15.75" x14ac:dyDescent="0.25">
      <c r="A536" s="81">
        <v>23</v>
      </c>
      <c r="B536" s="25">
        <v>20</v>
      </c>
      <c r="C536" s="59">
        <f t="shared" si="618"/>
        <v>210</v>
      </c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76">
        <f>IF($B536&lt;D$1,0,((($B536-C$315)/$C536)*$Y$45))</f>
        <v>0</v>
      </c>
      <c r="AA536" s="76">
        <f>IF($B536&lt;E$1,0,((($B536-D$315)/$C536)*$Y$45))</f>
        <v>0</v>
      </c>
      <c r="AB536" s="76"/>
      <c r="AC536" s="76"/>
      <c r="AD536" s="76"/>
      <c r="AE536" s="76"/>
      <c r="AF536" s="76"/>
      <c r="AG536" s="76"/>
      <c r="AH536" s="76"/>
      <c r="AI536" s="76"/>
      <c r="AJ536" s="76"/>
      <c r="AK536" s="76"/>
      <c r="AL536" s="76"/>
      <c r="AM536" s="76"/>
      <c r="AN536" s="76"/>
      <c r="AO536" s="76"/>
      <c r="AP536" s="76"/>
      <c r="AQ536" s="76"/>
      <c r="AR536" s="76"/>
      <c r="AS536" s="76"/>
      <c r="AT536" s="76"/>
      <c r="AU536" s="76"/>
      <c r="AV536" s="76"/>
      <c r="AW536" s="76"/>
      <c r="AX536" s="3"/>
    </row>
    <row r="537" spans="1:50" ht="15.75" x14ac:dyDescent="0.25">
      <c r="A537" s="81">
        <v>24</v>
      </c>
      <c r="B537" s="25">
        <v>20</v>
      </c>
      <c r="C537" s="59">
        <f t="shared" si="618"/>
        <v>210</v>
      </c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76">
        <f>IF($B537&lt;D$1,0,((($B537-C$315)/$C537)*$Z$45))</f>
        <v>0</v>
      </c>
      <c r="AB537" s="76"/>
      <c r="AC537" s="76"/>
      <c r="AD537" s="76"/>
      <c r="AE537" s="76"/>
      <c r="AF537" s="76"/>
      <c r="AG537" s="76"/>
      <c r="AH537" s="76"/>
      <c r="AI537" s="76"/>
      <c r="AJ537" s="76"/>
      <c r="AK537" s="76"/>
      <c r="AL537" s="76"/>
      <c r="AM537" s="76"/>
      <c r="AN537" s="76"/>
      <c r="AO537" s="76"/>
      <c r="AP537" s="76"/>
      <c r="AQ537" s="76"/>
      <c r="AR537" s="76"/>
      <c r="AS537" s="76"/>
      <c r="AT537" s="76"/>
      <c r="AU537" s="76"/>
      <c r="AV537" s="76"/>
      <c r="AW537" s="76"/>
      <c r="AX537" s="76"/>
    </row>
    <row r="538" spans="1:50" x14ac:dyDescent="0.25">
      <c r="A538" s="84"/>
      <c r="B538" s="84"/>
      <c r="C538" s="84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  <c r="AA538" s="86"/>
    </row>
    <row r="539" spans="1:50" x14ac:dyDescent="0.25">
      <c r="A539" s="59" t="s">
        <v>95</v>
      </c>
      <c r="B539" s="59"/>
      <c r="C539" s="59"/>
      <c r="D539" s="83">
        <f>SUM(D514:D537)</f>
        <v>0</v>
      </c>
      <c r="E539" s="83">
        <f t="shared" ref="E539:AA539" si="627">SUM(E514:E537)</f>
        <v>0</v>
      </c>
      <c r="F539" s="83">
        <f t="shared" si="627"/>
        <v>0</v>
      </c>
      <c r="G539" s="83">
        <f t="shared" si="627"/>
        <v>0</v>
      </c>
      <c r="H539" s="83">
        <f t="shared" si="627"/>
        <v>0</v>
      </c>
      <c r="I539" s="83">
        <f t="shared" si="627"/>
        <v>0</v>
      </c>
      <c r="J539" s="83">
        <f t="shared" si="627"/>
        <v>0</v>
      </c>
      <c r="K539" s="83">
        <f t="shared" si="627"/>
        <v>0</v>
      </c>
      <c r="L539" s="83">
        <f t="shared" si="627"/>
        <v>0</v>
      </c>
      <c r="M539" s="83">
        <f t="shared" si="627"/>
        <v>0</v>
      </c>
      <c r="N539" s="83">
        <f t="shared" si="627"/>
        <v>0</v>
      </c>
      <c r="O539" s="83">
        <f t="shared" si="627"/>
        <v>0</v>
      </c>
      <c r="P539" s="83">
        <f t="shared" si="627"/>
        <v>0</v>
      </c>
      <c r="Q539" s="83">
        <f t="shared" si="627"/>
        <v>0</v>
      </c>
      <c r="R539" s="83">
        <f t="shared" si="627"/>
        <v>0</v>
      </c>
      <c r="S539" s="83">
        <f t="shared" si="627"/>
        <v>0</v>
      </c>
      <c r="T539" s="83">
        <f t="shared" si="627"/>
        <v>0</v>
      </c>
      <c r="U539" s="83">
        <f t="shared" si="627"/>
        <v>0</v>
      </c>
      <c r="V539" s="83">
        <f t="shared" si="627"/>
        <v>0</v>
      </c>
      <c r="W539" s="83">
        <f t="shared" si="627"/>
        <v>0</v>
      </c>
      <c r="X539" s="83">
        <f t="shared" si="627"/>
        <v>0</v>
      </c>
      <c r="Y539" s="83">
        <f t="shared" si="627"/>
        <v>0</v>
      </c>
      <c r="Z539" s="83">
        <f t="shared" si="627"/>
        <v>0</v>
      </c>
      <c r="AA539" s="83">
        <f t="shared" si="627"/>
        <v>0</v>
      </c>
      <c r="AB539" s="83"/>
      <c r="AC539" s="83"/>
      <c r="AD539" s="83"/>
      <c r="AE539" s="83"/>
      <c r="AF539" s="83"/>
      <c r="AG539" s="83"/>
      <c r="AH539" s="83"/>
      <c r="AI539" s="83"/>
      <c r="AJ539" s="83"/>
      <c r="AK539" s="83"/>
      <c r="AL539" s="83"/>
      <c r="AM539" s="83"/>
      <c r="AN539" s="83"/>
      <c r="AO539" s="83"/>
      <c r="AP539" s="83"/>
      <c r="AQ539" s="83"/>
      <c r="AR539" s="83"/>
      <c r="AS539" s="83"/>
      <c r="AT539" s="83"/>
      <c r="AU539" s="83"/>
      <c r="AV539" s="83"/>
      <c r="AW539" s="83"/>
      <c r="AX539" s="83"/>
    </row>
    <row r="540" spans="1:50" x14ac:dyDescent="0.25">
      <c r="A540" s="59" t="s">
        <v>96</v>
      </c>
      <c r="B540" s="59"/>
      <c r="C540" s="59"/>
      <c r="D540" s="83">
        <f>D539</f>
        <v>0</v>
      </c>
      <c r="E540" s="83">
        <f t="shared" ref="E540" si="628">E539</f>
        <v>0</v>
      </c>
      <c r="F540" s="83">
        <f t="shared" ref="F540" si="629">F539</f>
        <v>0</v>
      </c>
      <c r="G540" s="83">
        <f t="shared" ref="G540" si="630">G539</f>
        <v>0</v>
      </c>
      <c r="H540" s="83">
        <f t="shared" ref="H540" si="631">H539</f>
        <v>0</v>
      </c>
      <c r="I540" s="83">
        <f t="shared" ref="I540" si="632">I539</f>
        <v>0</v>
      </c>
      <c r="J540" s="83">
        <f t="shared" ref="J540" si="633">J539</f>
        <v>0</v>
      </c>
      <c r="K540" s="83">
        <f t="shared" ref="K540" si="634">K539</f>
        <v>0</v>
      </c>
      <c r="L540" s="83">
        <f t="shared" ref="L540" si="635">L539</f>
        <v>0</v>
      </c>
      <c r="M540" s="83">
        <f t="shared" ref="M540" si="636">M539</f>
        <v>0</v>
      </c>
      <c r="N540" s="83">
        <f t="shared" ref="N540" si="637">N539</f>
        <v>0</v>
      </c>
      <c r="O540" s="83">
        <f t="shared" ref="O540" si="638">O539</f>
        <v>0</v>
      </c>
      <c r="P540" s="83">
        <f t="shared" ref="P540" si="639">P539</f>
        <v>0</v>
      </c>
      <c r="Q540" s="83">
        <f t="shared" ref="Q540" si="640">Q539</f>
        <v>0</v>
      </c>
      <c r="R540" s="83">
        <f t="shared" ref="R540" si="641">R539</f>
        <v>0</v>
      </c>
      <c r="S540" s="83">
        <f t="shared" ref="S540" si="642">S539</f>
        <v>0</v>
      </c>
      <c r="T540" s="83">
        <f t="shared" ref="T540" si="643">T539</f>
        <v>0</v>
      </c>
      <c r="U540" s="83">
        <f t="shared" ref="U540" si="644">U539</f>
        <v>0</v>
      </c>
      <c r="V540" s="83">
        <f t="shared" ref="V540" si="645">V539</f>
        <v>0</v>
      </c>
      <c r="W540" s="83">
        <f t="shared" ref="W540" si="646">W539</f>
        <v>0</v>
      </c>
      <c r="X540" s="83">
        <f t="shared" ref="X540" si="647">X539</f>
        <v>0</v>
      </c>
      <c r="Y540" s="83">
        <f t="shared" ref="Y540" si="648">Y539</f>
        <v>0</v>
      </c>
      <c r="Z540" s="83">
        <f t="shared" ref="Z540" si="649">Z539</f>
        <v>0</v>
      </c>
      <c r="AA540" s="83">
        <f t="shared" ref="AA540" si="650">AA539</f>
        <v>0</v>
      </c>
      <c r="AB540" s="83"/>
      <c r="AC540" s="83"/>
      <c r="AD540" s="83"/>
      <c r="AE540" s="83"/>
      <c r="AF540" s="83"/>
      <c r="AG540" s="83"/>
      <c r="AH540" s="83"/>
      <c r="AI540" s="83"/>
      <c r="AJ540" s="83"/>
      <c r="AK540" s="83"/>
      <c r="AL540" s="83"/>
      <c r="AM540" s="83"/>
      <c r="AN540" s="83"/>
      <c r="AO540" s="83"/>
      <c r="AP540" s="83"/>
      <c r="AQ540" s="83"/>
      <c r="AR540" s="83"/>
      <c r="AS540" s="83"/>
      <c r="AT540" s="83"/>
      <c r="AU540" s="83"/>
      <c r="AV540" s="83"/>
      <c r="AW540" s="83"/>
      <c r="AX540" s="83"/>
    </row>
    <row r="541" spans="1:50" x14ac:dyDescent="0.25">
      <c r="A541" s="59" t="s">
        <v>98</v>
      </c>
      <c r="B541" s="59"/>
      <c r="C541" s="59"/>
      <c r="D541" s="83">
        <f t="shared" ref="D541:AA541" si="651">C57-D540</f>
        <v>0</v>
      </c>
      <c r="E541" s="83">
        <f t="shared" si="651"/>
        <v>0</v>
      </c>
      <c r="F541" s="83">
        <f t="shared" si="651"/>
        <v>0</v>
      </c>
      <c r="G541" s="83">
        <f t="shared" si="651"/>
        <v>0</v>
      </c>
      <c r="H541" s="83">
        <f t="shared" si="651"/>
        <v>0</v>
      </c>
      <c r="I541" s="83">
        <f t="shared" si="651"/>
        <v>0</v>
      </c>
      <c r="J541" s="83">
        <f t="shared" si="651"/>
        <v>0</v>
      </c>
      <c r="K541" s="83">
        <f t="shared" si="651"/>
        <v>0</v>
      </c>
      <c r="L541" s="83">
        <f t="shared" si="651"/>
        <v>0</v>
      </c>
      <c r="M541" s="83">
        <f t="shared" si="651"/>
        <v>0</v>
      </c>
      <c r="N541" s="83">
        <f t="shared" si="651"/>
        <v>0</v>
      </c>
      <c r="O541" s="83">
        <f t="shared" si="651"/>
        <v>0</v>
      </c>
      <c r="P541" s="83">
        <f t="shared" si="651"/>
        <v>0</v>
      </c>
      <c r="Q541" s="83">
        <f t="shared" si="651"/>
        <v>0</v>
      </c>
      <c r="R541" s="83">
        <f t="shared" si="651"/>
        <v>0</v>
      </c>
      <c r="S541" s="83">
        <f t="shared" si="651"/>
        <v>0</v>
      </c>
      <c r="T541" s="83">
        <f t="shared" si="651"/>
        <v>0</v>
      </c>
      <c r="U541" s="83">
        <f t="shared" si="651"/>
        <v>0</v>
      </c>
      <c r="V541" s="83">
        <f t="shared" si="651"/>
        <v>0</v>
      </c>
      <c r="W541" s="83">
        <f t="shared" si="651"/>
        <v>0</v>
      </c>
      <c r="X541" s="83">
        <f t="shared" si="651"/>
        <v>0</v>
      </c>
      <c r="Y541" s="83">
        <f t="shared" si="651"/>
        <v>0</v>
      </c>
      <c r="Z541" s="83">
        <f t="shared" si="651"/>
        <v>0</v>
      </c>
      <c r="AA541" s="83">
        <f t="shared" si="651"/>
        <v>0</v>
      </c>
      <c r="AB541" s="83"/>
      <c r="AC541" s="83"/>
      <c r="AD541" s="83"/>
      <c r="AE541" s="83"/>
      <c r="AF541" s="83"/>
      <c r="AG541" s="83"/>
      <c r="AH541" s="83"/>
      <c r="AI541" s="83"/>
      <c r="AJ541" s="83"/>
      <c r="AK541" s="83"/>
      <c r="AL541" s="83"/>
      <c r="AM541" s="83"/>
      <c r="AN541" s="83"/>
      <c r="AO541" s="83"/>
      <c r="AP541" s="83"/>
      <c r="AQ541" s="83"/>
      <c r="AR541" s="83"/>
      <c r="AS541" s="83"/>
      <c r="AT541" s="83"/>
      <c r="AU541" s="83"/>
      <c r="AV541" s="83"/>
      <c r="AW541" s="83"/>
      <c r="AX541" s="83"/>
    </row>
    <row r="542" spans="1:50" x14ac:dyDescent="0.25">
      <c r="A542" s="89"/>
      <c r="C542" s="82"/>
      <c r="D542" s="82"/>
      <c r="E542" s="82"/>
      <c r="F542" s="82"/>
      <c r="G542" s="82"/>
      <c r="H542" s="82"/>
      <c r="I542" s="82"/>
      <c r="J542" s="82"/>
      <c r="K542" s="82"/>
    </row>
    <row r="543" spans="1:50" ht="23.25" x14ac:dyDescent="0.35">
      <c r="A543" s="459" t="s">
        <v>97</v>
      </c>
      <c r="B543" s="65" t="str">
        <f>B513</f>
        <v>Periodos/depreciación</v>
      </c>
      <c r="C543" s="82"/>
      <c r="D543" s="14">
        <v>1</v>
      </c>
      <c r="E543" s="14">
        <v>2</v>
      </c>
      <c r="F543" s="14">
        <v>3</v>
      </c>
      <c r="G543" s="14">
        <v>4</v>
      </c>
      <c r="H543" s="14">
        <v>5</v>
      </c>
      <c r="I543" s="14">
        <v>6</v>
      </c>
      <c r="J543" s="14">
        <v>7</v>
      </c>
      <c r="K543" s="14">
        <v>8</v>
      </c>
      <c r="L543" s="14">
        <v>9</v>
      </c>
      <c r="M543" s="14">
        <v>10</v>
      </c>
      <c r="N543" s="14">
        <v>11</v>
      </c>
      <c r="O543" s="14">
        <v>12</v>
      </c>
      <c r="P543" s="14">
        <v>13</v>
      </c>
      <c r="Q543" s="14">
        <v>14</v>
      </c>
      <c r="R543" s="14">
        <v>15</v>
      </c>
      <c r="S543" s="14">
        <v>16</v>
      </c>
      <c r="T543" s="14">
        <v>17</v>
      </c>
      <c r="U543" s="14">
        <v>18</v>
      </c>
      <c r="V543" s="14">
        <v>19</v>
      </c>
      <c r="W543" s="14">
        <v>20</v>
      </c>
      <c r="X543" s="14">
        <v>21</v>
      </c>
      <c r="Y543" s="14">
        <v>22</v>
      </c>
      <c r="Z543" s="14">
        <v>23</v>
      </c>
      <c r="AA543" s="14">
        <v>24</v>
      </c>
    </row>
    <row r="544" spans="1:50" ht="15.75" x14ac:dyDescent="0.25">
      <c r="A544" s="20" t="str">
        <f t="shared" ref="A544:A553" si="652">A513</f>
        <v>Años a proyectar</v>
      </c>
      <c r="B544" s="405"/>
    </row>
    <row r="545" spans="1:50" ht="15.75" x14ac:dyDescent="0.25">
      <c r="A545" s="81">
        <f t="shared" si="652"/>
        <v>1</v>
      </c>
      <c r="B545" s="25"/>
      <c r="C545" s="59"/>
      <c r="D545" s="83">
        <f t="shared" ref="D545:AA545" si="653">IF($D$347&gt;$B544,0,$C$45/$B544)</f>
        <v>0</v>
      </c>
      <c r="E545" s="83">
        <f t="shared" si="653"/>
        <v>0</v>
      </c>
      <c r="F545" s="83">
        <f t="shared" si="653"/>
        <v>0</v>
      </c>
      <c r="G545" s="83">
        <f t="shared" si="653"/>
        <v>0</v>
      </c>
      <c r="H545" s="83">
        <f t="shared" si="653"/>
        <v>0</v>
      </c>
      <c r="I545" s="83">
        <f t="shared" si="653"/>
        <v>0</v>
      </c>
      <c r="J545" s="83">
        <f t="shared" si="653"/>
        <v>0</v>
      </c>
      <c r="K545" s="83">
        <f t="shared" si="653"/>
        <v>0</v>
      </c>
      <c r="L545" s="83">
        <f t="shared" si="653"/>
        <v>0</v>
      </c>
      <c r="M545" s="83">
        <f t="shared" si="653"/>
        <v>0</v>
      </c>
      <c r="N545" s="83">
        <f t="shared" si="653"/>
        <v>0</v>
      </c>
      <c r="O545" s="83">
        <f t="shared" si="653"/>
        <v>0</v>
      </c>
      <c r="P545" s="83">
        <f t="shared" si="653"/>
        <v>0</v>
      </c>
      <c r="Q545" s="83">
        <f t="shared" si="653"/>
        <v>0</v>
      </c>
      <c r="R545" s="83">
        <f t="shared" si="653"/>
        <v>0</v>
      </c>
      <c r="S545" s="83">
        <f t="shared" si="653"/>
        <v>0</v>
      </c>
      <c r="T545" s="83">
        <f t="shared" si="653"/>
        <v>0</v>
      </c>
      <c r="U545" s="83">
        <f t="shared" si="653"/>
        <v>0</v>
      </c>
      <c r="V545" s="83">
        <f t="shared" si="653"/>
        <v>0</v>
      </c>
      <c r="W545" s="83">
        <f t="shared" si="653"/>
        <v>0</v>
      </c>
      <c r="X545" s="83">
        <f t="shared" si="653"/>
        <v>0</v>
      </c>
      <c r="Y545" s="83">
        <f t="shared" si="653"/>
        <v>0</v>
      </c>
      <c r="Z545" s="83">
        <f t="shared" si="653"/>
        <v>0</v>
      </c>
      <c r="AA545" s="83">
        <f t="shared" si="653"/>
        <v>0</v>
      </c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</row>
    <row r="546" spans="1:50" ht="15.75" x14ac:dyDescent="0.25">
      <c r="A546" s="81">
        <f t="shared" si="652"/>
        <v>2</v>
      </c>
      <c r="B546" s="25"/>
      <c r="C546" s="59"/>
      <c r="D546" s="59"/>
      <c r="E546" s="83">
        <f t="shared" ref="E546:AA546" si="654">IF($D$347&gt;$B545,0,$D$45/$B545)</f>
        <v>0</v>
      </c>
      <c r="F546" s="83">
        <f t="shared" si="654"/>
        <v>0</v>
      </c>
      <c r="G546" s="83">
        <f t="shared" si="654"/>
        <v>0</v>
      </c>
      <c r="H546" s="83">
        <f t="shared" si="654"/>
        <v>0</v>
      </c>
      <c r="I546" s="83">
        <f t="shared" si="654"/>
        <v>0</v>
      </c>
      <c r="J546" s="83">
        <f t="shared" si="654"/>
        <v>0</v>
      </c>
      <c r="K546" s="83">
        <f t="shared" si="654"/>
        <v>0</v>
      </c>
      <c r="L546" s="83">
        <f t="shared" si="654"/>
        <v>0</v>
      </c>
      <c r="M546" s="83">
        <f t="shared" si="654"/>
        <v>0</v>
      </c>
      <c r="N546" s="83">
        <f t="shared" si="654"/>
        <v>0</v>
      </c>
      <c r="O546" s="83">
        <f t="shared" si="654"/>
        <v>0</v>
      </c>
      <c r="P546" s="83">
        <f t="shared" si="654"/>
        <v>0</v>
      </c>
      <c r="Q546" s="83">
        <f t="shared" si="654"/>
        <v>0</v>
      </c>
      <c r="R546" s="83">
        <f t="shared" si="654"/>
        <v>0</v>
      </c>
      <c r="S546" s="83">
        <f t="shared" si="654"/>
        <v>0</v>
      </c>
      <c r="T546" s="83">
        <f t="shared" si="654"/>
        <v>0</v>
      </c>
      <c r="U546" s="83">
        <f t="shared" si="654"/>
        <v>0</v>
      </c>
      <c r="V546" s="83">
        <f t="shared" si="654"/>
        <v>0</v>
      </c>
      <c r="W546" s="83">
        <f t="shared" si="654"/>
        <v>0</v>
      </c>
      <c r="X546" s="83">
        <f t="shared" si="654"/>
        <v>0</v>
      </c>
      <c r="Y546" s="83">
        <f t="shared" si="654"/>
        <v>0</v>
      </c>
      <c r="Z546" s="83">
        <f t="shared" si="654"/>
        <v>0</v>
      </c>
      <c r="AA546" s="83">
        <f t="shared" si="654"/>
        <v>0</v>
      </c>
      <c r="AB546" s="8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</row>
    <row r="547" spans="1:50" ht="15.75" x14ac:dyDescent="0.25">
      <c r="A547" s="81">
        <f t="shared" si="652"/>
        <v>3</v>
      </c>
      <c r="B547" s="25"/>
      <c r="C547" s="59"/>
      <c r="D547" s="59"/>
      <c r="E547" s="59"/>
      <c r="F547" s="83">
        <f t="shared" ref="F547:AA547" si="655">IF($D$347&gt;$B546,0,$E$45/$B546)</f>
        <v>0</v>
      </c>
      <c r="G547" s="83">
        <f t="shared" si="655"/>
        <v>0</v>
      </c>
      <c r="H547" s="83">
        <f t="shared" si="655"/>
        <v>0</v>
      </c>
      <c r="I547" s="83">
        <f t="shared" si="655"/>
        <v>0</v>
      </c>
      <c r="J547" s="83">
        <f t="shared" si="655"/>
        <v>0</v>
      </c>
      <c r="K547" s="83">
        <f t="shared" si="655"/>
        <v>0</v>
      </c>
      <c r="L547" s="83">
        <f t="shared" si="655"/>
        <v>0</v>
      </c>
      <c r="M547" s="83">
        <f t="shared" si="655"/>
        <v>0</v>
      </c>
      <c r="N547" s="83">
        <f t="shared" si="655"/>
        <v>0</v>
      </c>
      <c r="O547" s="83">
        <f t="shared" si="655"/>
        <v>0</v>
      </c>
      <c r="P547" s="83">
        <f t="shared" si="655"/>
        <v>0</v>
      </c>
      <c r="Q547" s="83">
        <f t="shared" si="655"/>
        <v>0</v>
      </c>
      <c r="R547" s="83">
        <f t="shared" si="655"/>
        <v>0</v>
      </c>
      <c r="S547" s="83">
        <f t="shared" si="655"/>
        <v>0</v>
      </c>
      <c r="T547" s="83">
        <f t="shared" si="655"/>
        <v>0</v>
      </c>
      <c r="U547" s="83">
        <f t="shared" si="655"/>
        <v>0</v>
      </c>
      <c r="V547" s="83">
        <f t="shared" si="655"/>
        <v>0</v>
      </c>
      <c r="W547" s="83">
        <f t="shared" si="655"/>
        <v>0</v>
      </c>
      <c r="X547" s="83">
        <f t="shared" si="655"/>
        <v>0</v>
      </c>
      <c r="Y547" s="83">
        <f t="shared" si="655"/>
        <v>0</v>
      </c>
      <c r="Z547" s="83">
        <f t="shared" si="655"/>
        <v>0</v>
      </c>
      <c r="AA547" s="83">
        <f t="shared" si="655"/>
        <v>0</v>
      </c>
      <c r="AB547" s="83"/>
      <c r="AC547" s="8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</row>
    <row r="548" spans="1:50" ht="15.75" x14ac:dyDescent="0.25">
      <c r="A548" s="81">
        <f t="shared" si="652"/>
        <v>4</v>
      </c>
      <c r="B548" s="25"/>
      <c r="C548" s="59"/>
      <c r="D548" s="59"/>
      <c r="E548" s="59"/>
      <c r="F548" s="59"/>
      <c r="G548" s="83">
        <f t="shared" ref="G548:AA548" si="656">IF($D$347&gt;$B547,0,$F$45/$B547)</f>
        <v>0</v>
      </c>
      <c r="H548" s="83">
        <f t="shared" si="656"/>
        <v>0</v>
      </c>
      <c r="I548" s="83">
        <f t="shared" si="656"/>
        <v>0</v>
      </c>
      <c r="J548" s="83">
        <f t="shared" si="656"/>
        <v>0</v>
      </c>
      <c r="K548" s="83">
        <f t="shared" si="656"/>
        <v>0</v>
      </c>
      <c r="L548" s="83">
        <f t="shared" si="656"/>
        <v>0</v>
      </c>
      <c r="M548" s="83">
        <f t="shared" si="656"/>
        <v>0</v>
      </c>
      <c r="N548" s="83">
        <f t="shared" si="656"/>
        <v>0</v>
      </c>
      <c r="O548" s="83">
        <f t="shared" si="656"/>
        <v>0</v>
      </c>
      <c r="P548" s="83">
        <f t="shared" si="656"/>
        <v>0</v>
      </c>
      <c r="Q548" s="83">
        <f t="shared" si="656"/>
        <v>0</v>
      </c>
      <c r="R548" s="83">
        <f t="shared" si="656"/>
        <v>0</v>
      </c>
      <c r="S548" s="83">
        <f t="shared" si="656"/>
        <v>0</v>
      </c>
      <c r="T548" s="83">
        <f t="shared" si="656"/>
        <v>0</v>
      </c>
      <c r="U548" s="83">
        <f t="shared" si="656"/>
        <v>0</v>
      </c>
      <c r="V548" s="83">
        <f t="shared" si="656"/>
        <v>0</v>
      </c>
      <c r="W548" s="83">
        <f t="shared" si="656"/>
        <v>0</v>
      </c>
      <c r="X548" s="83">
        <f t="shared" si="656"/>
        <v>0</v>
      </c>
      <c r="Y548" s="83">
        <f t="shared" si="656"/>
        <v>0</v>
      </c>
      <c r="Z548" s="83">
        <f t="shared" si="656"/>
        <v>0</v>
      </c>
      <c r="AA548" s="83">
        <f t="shared" si="656"/>
        <v>0</v>
      </c>
      <c r="AB548" s="83"/>
      <c r="AC548" s="83"/>
      <c r="AD548" s="8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</row>
    <row r="549" spans="1:50" ht="15.75" x14ac:dyDescent="0.25">
      <c r="A549" s="81">
        <f t="shared" si="652"/>
        <v>5</v>
      </c>
      <c r="B549" s="25"/>
      <c r="C549" s="59"/>
      <c r="D549" s="59"/>
      <c r="E549" s="59"/>
      <c r="F549" s="59"/>
      <c r="G549" s="59"/>
      <c r="H549" s="83">
        <f t="shared" ref="H549:AA549" si="657">IF($D$347&gt;$B548,0,$G$45/$B548)</f>
        <v>0</v>
      </c>
      <c r="I549" s="83">
        <f t="shared" si="657"/>
        <v>0</v>
      </c>
      <c r="J549" s="83">
        <f t="shared" si="657"/>
        <v>0</v>
      </c>
      <c r="K549" s="83">
        <f t="shared" si="657"/>
        <v>0</v>
      </c>
      <c r="L549" s="83">
        <f t="shared" si="657"/>
        <v>0</v>
      </c>
      <c r="M549" s="83">
        <f t="shared" si="657"/>
        <v>0</v>
      </c>
      <c r="N549" s="83">
        <f t="shared" si="657"/>
        <v>0</v>
      </c>
      <c r="O549" s="83">
        <f t="shared" si="657"/>
        <v>0</v>
      </c>
      <c r="P549" s="83">
        <f t="shared" si="657"/>
        <v>0</v>
      </c>
      <c r="Q549" s="83">
        <f t="shared" si="657"/>
        <v>0</v>
      </c>
      <c r="R549" s="83">
        <f t="shared" si="657"/>
        <v>0</v>
      </c>
      <c r="S549" s="83">
        <f t="shared" si="657"/>
        <v>0</v>
      </c>
      <c r="T549" s="83">
        <f t="shared" si="657"/>
        <v>0</v>
      </c>
      <c r="U549" s="83">
        <f t="shared" si="657"/>
        <v>0</v>
      </c>
      <c r="V549" s="83">
        <f t="shared" si="657"/>
        <v>0</v>
      </c>
      <c r="W549" s="83">
        <f t="shared" si="657"/>
        <v>0</v>
      </c>
      <c r="X549" s="83">
        <f t="shared" si="657"/>
        <v>0</v>
      </c>
      <c r="Y549" s="83">
        <f t="shared" si="657"/>
        <v>0</v>
      </c>
      <c r="Z549" s="83">
        <f t="shared" si="657"/>
        <v>0</v>
      </c>
      <c r="AA549" s="83">
        <f t="shared" si="657"/>
        <v>0</v>
      </c>
      <c r="AB549" s="83"/>
      <c r="AC549" s="83"/>
      <c r="AD549" s="83"/>
      <c r="AE549" s="8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</row>
    <row r="550" spans="1:50" ht="15.75" x14ac:dyDescent="0.25">
      <c r="A550" s="81">
        <f t="shared" si="652"/>
        <v>6</v>
      </c>
      <c r="B550" s="25"/>
      <c r="C550" s="59"/>
      <c r="D550" s="59"/>
      <c r="E550" s="59"/>
      <c r="F550" s="59"/>
      <c r="G550" s="59"/>
      <c r="H550" s="59"/>
      <c r="I550" s="83">
        <f t="shared" ref="I550:AA550" si="658">IF($D$347&gt;$B549,0,$H$45/$B549)</f>
        <v>0</v>
      </c>
      <c r="J550" s="83">
        <f t="shared" si="658"/>
        <v>0</v>
      </c>
      <c r="K550" s="83">
        <f t="shared" si="658"/>
        <v>0</v>
      </c>
      <c r="L550" s="83">
        <f t="shared" si="658"/>
        <v>0</v>
      </c>
      <c r="M550" s="83">
        <f t="shared" si="658"/>
        <v>0</v>
      </c>
      <c r="N550" s="83">
        <f t="shared" si="658"/>
        <v>0</v>
      </c>
      <c r="O550" s="83">
        <f t="shared" si="658"/>
        <v>0</v>
      </c>
      <c r="P550" s="83">
        <f t="shared" si="658"/>
        <v>0</v>
      </c>
      <c r="Q550" s="83">
        <f t="shared" si="658"/>
        <v>0</v>
      </c>
      <c r="R550" s="83">
        <f t="shared" si="658"/>
        <v>0</v>
      </c>
      <c r="S550" s="83">
        <f t="shared" si="658"/>
        <v>0</v>
      </c>
      <c r="T550" s="83">
        <f t="shared" si="658"/>
        <v>0</v>
      </c>
      <c r="U550" s="83">
        <f t="shared" si="658"/>
        <v>0</v>
      </c>
      <c r="V550" s="83">
        <f t="shared" si="658"/>
        <v>0</v>
      </c>
      <c r="W550" s="83">
        <f t="shared" si="658"/>
        <v>0</v>
      </c>
      <c r="X550" s="83">
        <f t="shared" si="658"/>
        <v>0</v>
      </c>
      <c r="Y550" s="83">
        <f t="shared" si="658"/>
        <v>0</v>
      </c>
      <c r="Z550" s="83">
        <f t="shared" si="658"/>
        <v>0</v>
      </c>
      <c r="AA550" s="83">
        <f t="shared" si="658"/>
        <v>0</v>
      </c>
      <c r="AB550" s="83"/>
      <c r="AC550" s="83"/>
      <c r="AD550" s="83"/>
      <c r="AE550" s="83"/>
      <c r="AF550" s="8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</row>
    <row r="551" spans="1:50" ht="15.75" x14ac:dyDescent="0.25">
      <c r="A551" s="81">
        <f t="shared" si="652"/>
        <v>7</v>
      </c>
      <c r="B551" s="25"/>
      <c r="C551" s="59"/>
      <c r="D551" s="59"/>
      <c r="E551" s="59"/>
      <c r="F551" s="59"/>
      <c r="G551" s="59"/>
      <c r="H551" s="59"/>
      <c r="I551" s="59"/>
      <c r="J551" s="83">
        <f t="shared" ref="J551:AA551" si="659">IF($D$347&gt;$B550,0,$I$45/$B550)</f>
        <v>0</v>
      </c>
      <c r="K551" s="83">
        <f t="shared" si="659"/>
        <v>0</v>
      </c>
      <c r="L551" s="83">
        <f t="shared" si="659"/>
        <v>0</v>
      </c>
      <c r="M551" s="83">
        <f t="shared" si="659"/>
        <v>0</v>
      </c>
      <c r="N551" s="83">
        <f t="shared" si="659"/>
        <v>0</v>
      </c>
      <c r="O551" s="83">
        <f t="shared" si="659"/>
        <v>0</v>
      </c>
      <c r="P551" s="83">
        <f t="shared" si="659"/>
        <v>0</v>
      </c>
      <c r="Q551" s="83">
        <f t="shared" si="659"/>
        <v>0</v>
      </c>
      <c r="R551" s="83">
        <f t="shared" si="659"/>
        <v>0</v>
      </c>
      <c r="S551" s="83">
        <f t="shared" si="659"/>
        <v>0</v>
      </c>
      <c r="T551" s="83">
        <f t="shared" si="659"/>
        <v>0</v>
      </c>
      <c r="U551" s="83">
        <f t="shared" si="659"/>
        <v>0</v>
      </c>
      <c r="V551" s="83">
        <f t="shared" si="659"/>
        <v>0</v>
      </c>
      <c r="W551" s="83">
        <f t="shared" si="659"/>
        <v>0</v>
      </c>
      <c r="X551" s="83">
        <f t="shared" si="659"/>
        <v>0</v>
      </c>
      <c r="Y551" s="83">
        <f t="shared" si="659"/>
        <v>0</v>
      </c>
      <c r="Z551" s="83">
        <f t="shared" si="659"/>
        <v>0</v>
      </c>
      <c r="AA551" s="83">
        <f t="shared" si="659"/>
        <v>0</v>
      </c>
      <c r="AB551" s="83"/>
      <c r="AC551" s="83"/>
      <c r="AD551" s="83"/>
      <c r="AE551" s="83"/>
      <c r="AF551" s="83"/>
      <c r="AG551" s="8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</row>
    <row r="552" spans="1:50" ht="15.75" x14ac:dyDescent="0.25">
      <c r="A552" s="81">
        <f t="shared" si="652"/>
        <v>8</v>
      </c>
      <c r="B552" s="25"/>
      <c r="C552" s="59"/>
      <c r="D552" s="59"/>
      <c r="E552" s="59"/>
      <c r="F552" s="59"/>
      <c r="G552" s="59"/>
      <c r="H552" s="59"/>
      <c r="I552" s="59"/>
      <c r="J552" s="59"/>
      <c r="K552" s="83">
        <f t="shared" ref="K552:AA552" si="660">IF($D$347&gt;$B551,0,$J$45/$B551)</f>
        <v>0</v>
      </c>
      <c r="L552" s="83">
        <f t="shared" si="660"/>
        <v>0</v>
      </c>
      <c r="M552" s="83">
        <f t="shared" si="660"/>
        <v>0</v>
      </c>
      <c r="N552" s="83">
        <f t="shared" si="660"/>
        <v>0</v>
      </c>
      <c r="O552" s="83">
        <f t="shared" si="660"/>
        <v>0</v>
      </c>
      <c r="P552" s="83">
        <f t="shared" si="660"/>
        <v>0</v>
      </c>
      <c r="Q552" s="83">
        <f t="shared" si="660"/>
        <v>0</v>
      </c>
      <c r="R552" s="83">
        <f t="shared" si="660"/>
        <v>0</v>
      </c>
      <c r="S552" s="83">
        <f t="shared" si="660"/>
        <v>0</v>
      </c>
      <c r="T552" s="83">
        <f t="shared" si="660"/>
        <v>0</v>
      </c>
      <c r="U552" s="83">
        <f t="shared" si="660"/>
        <v>0</v>
      </c>
      <c r="V552" s="83">
        <f t="shared" si="660"/>
        <v>0</v>
      </c>
      <c r="W552" s="83">
        <f t="shared" si="660"/>
        <v>0</v>
      </c>
      <c r="X552" s="83">
        <f t="shared" si="660"/>
        <v>0</v>
      </c>
      <c r="Y552" s="83">
        <f t="shared" si="660"/>
        <v>0</v>
      </c>
      <c r="Z552" s="83">
        <f t="shared" si="660"/>
        <v>0</v>
      </c>
      <c r="AA552" s="83">
        <f t="shared" si="660"/>
        <v>0</v>
      </c>
      <c r="AB552" s="83"/>
      <c r="AC552" s="83"/>
      <c r="AD552" s="83"/>
      <c r="AE552" s="83"/>
      <c r="AF552" s="83"/>
      <c r="AG552" s="83"/>
      <c r="AH552" s="8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</row>
    <row r="553" spans="1:50" ht="15.75" x14ac:dyDescent="0.25">
      <c r="A553" s="81">
        <f t="shared" si="652"/>
        <v>9</v>
      </c>
      <c r="B553" s="25"/>
      <c r="C553" s="59"/>
      <c r="D553" s="59"/>
      <c r="E553" s="59"/>
      <c r="F553" s="59"/>
      <c r="G553" s="59"/>
      <c r="H553" s="59"/>
      <c r="I553" s="59"/>
      <c r="J553" s="59"/>
      <c r="K553" s="83"/>
      <c r="L553" s="83">
        <f t="shared" ref="L553:AA553" si="661">IF($D$347&gt;$B552,0,$K$45/$B552)</f>
        <v>0</v>
      </c>
      <c r="M553" s="83">
        <f t="shared" si="661"/>
        <v>0</v>
      </c>
      <c r="N553" s="83">
        <f t="shared" si="661"/>
        <v>0</v>
      </c>
      <c r="O553" s="83">
        <f t="shared" si="661"/>
        <v>0</v>
      </c>
      <c r="P553" s="83">
        <f t="shared" si="661"/>
        <v>0</v>
      </c>
      <c r="Q553" s="83">
        <f t="shared" si="661"/>
        <v>0</v>
      </c>
      <c r="R553" s="83">
        <f t="shared" si="661"/>
        <v>0</v>
      </c>
      <c r="S553" s="83">
        <f t="shared" si="661"/>
        <v>0</v>
      </c>
      <c r="T553" s="83">
        <f t="shared" si="661"/>
        <v>0</v>
      </c>
      <c r="U553" s="83">
        <f t="shared" si="661"/>
        <v>0</v>
      </c>
      <c r="V553" s="83">
        <f t="shared" si="661"/>
        <v>0</v>
      </c>
      <c r="W553" s="83">
        <f t="shared" si="661"/>
        <v>0</v>
      </c>
      <c r="X553" s="83">
        <f t="shared" si="661"/>
        <v>0</v>
      </c>
      <c r="Y553" s="83">
        <f t="shared" si="661"/>
        <v>0</v>
      </c>
      <c r="Z553" s="83">
        <f t="shared" si="661"/>
        <v>0</v>
      </c>
      <c r="AA553" s="83">
        <f t="shared" si="661"/>
        <v>0</v>
      </c>
      <c r="AB553" s="83"/>
      <c r="AC553" s="83"/>
      <c r="AD553" s="83"/>
      <c r="AE553" s="83"/>
      <c r="AF553" s="83"/>
      <c r="AG553" s="83"/>
      <c r="AH553" s="83"/>
      <c r="AI553" s="8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</row>
    <row r="554" spans="1:50" ht="15.75" x14ac:dyDescent="0.25">
      <c r="A554" s="81">
        <f>A523</f>
        <v>10</v>
      </c>
      <c r="B554" s="3"/>
      <c r="C554" s="3"/>
      <c r="D554" s="59"/>
      <c r="E554" s="59"/>
      <c r="F554" s="59"/>
      <c r="G554" s="59"/>
      <c r="H554" s="59"/>
      <c r="I554" s="59"/>
      <c r="J554" s="59"/>
      <c r="K554" s="83"/>
      <c r="L554" s="83"/>
      <c r="M554" s="83">
        <f t="shared" ref="M554:AA554" si="662">IF($D$347&gt;$B553,0,$L$45/$B553)</f>
        <v>0</v>
      </c>
      <c r="N554" s="83">
        <f t="shared" si="662"/>
        <v>0</v>
      </c>
      <c r="O554" s="83">
        <f t="shared" si="662"/>
        <v>0</v>
      </c>
      <c r="P554" s="83">
        <f t="shared" si="662"/>
        <v>0</v>
      </c>
      <c r="Q554" s="83">
        <f t="shared" si="662"/>
        <v>0</v>
      </c>
      <c r="R554" s="83">
        <f t="shared" si="662"/>
        <v>0</v>
      </c>
      <c r="S554" s="83">
        <f t="shared" si="662"/>
        <v>0</v>
      </c>
      <c r="T554" s="83">
        <f t="shared" si="662"/>
        <v>0</v>
      </c>
      <c r="U554" s="83">
        <f t="shared" si="662"/>
        <v>0</v>
      </c>
      <c r="V554" s="83">
        <f t="shared" si="662"/>
        <v>0</v>
      </c>
      <c r="W554" s="83">
        <f t="shared" si="662"/>
        <v>0</v>
      </c>
      <c r="X554" s="83">
        <f t="shared" si="662"/>
        <v>0</v>
      </c>
      <c r="Y554" s="83">
        <f t="shared" si="662"/>
        <v>0</v>
      </c>
      <c r="Z554" s="83">
        <f t="shared" si="662"/>
        <v>0</v>
      </c>
      <c r="AA554" s="83">
        <f t="shared" si="662"/>
        <v>0</v>
      </c>
      <c r="AB554" s="83"/>
      <c r="AC554" s="83"/>
      <c r="AD554" s="83"/>
      <c r="AE554" s="83"/>
      <c r="AF554" s="83"/>
      <c r="AG554" s="83"/>
      <c r="AH554" s="83"/>
      <c r="AI554" s="83"/>
      <c r="AJ554" s="8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</row>
    <row r="555" spans="1:50" ht="15.75" x14ac:dyDescent="0.25">
      <c r="A555" s="81">
        <v>11</v>
      </c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83">
        <f t="shared" ref="N555:AA555" si="663">IF($D$347&gt;$B554,0,$M$45/$B554)</f>
        <v>0</v>
      </c>
      <c r="O555" s="83">
        <f t="shared" si="663"/>
        <v>0</v>
      </c>
      <c r="P555" s="83">
        <f t="shared" si="663"/>
        <v>0</v>
      </c>
      <c r="Q555" s="83">
        <f t="shared" si="663"/>
        <v>0</v>
      </c>
      <c r="R555" s="83">
        <f t="shared" si="663"/>
        <v>0</v>
      </c>
      <c r="S555" s="83">
        <f t="shared" si="663"/>
        <v>0</v>
      </c>
      <c r="T555" s="83">
        <f t="shared" si="663"/>
        <v>0</v>
      </c>
      <c r="U555" s="83">
        <f t="shared" si="663"/>
        <v>0</v>
      </c>
      <c r="V555" s="83">
        <f t="shared" si="663"/>
        <v>0</v>
      </c>
      <c r="W555" s="83">
        <f t="shared" si="663"/>
        <v>0</v>
      </c>
      <c r="X555" s="83">
        <f t="shared" si="663"/>
        <v>0</v>
      </c>
      <c r="Y555" s="83">
        <f t="shared" si="663"/>
        <v>0</v>
      </c>
      <c r="Z555" s="83">
        <f t="shared" si="663"/>
        <v>0</v>
      </c>
      <c r="AA555" s="83">
        <f t="shared" si="663"/>
        <v>0</v>
      </c>
      <c r="AB555" s="83"/>
      <c r="AC555" s="83"/>
      <c r="AD555" s="83"/>
      <c r="AE555" s="83"/>
      <c r="AF555" s="83"/>
      <c r="AG555" s="83"/>
      <c r="AH555" s="83"/>
      <c r="AI555" s="83"/>
      <c r="AJ555" s="83"/>
      <c r="AK555" s="8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</row>
    <row r="556" spans="1:50" ht="15.75" x14ac:dyDescent="0.25">
      <c r="A556" s="81">
        <v>12</v>
      </c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83">
        <f t="shared" ref="O556:AA556" si="664">IF($D$347&gt;$B555,0,$N$45/$B555)</f>
        <v>0</v>
      </c>
      <c r="P556" s="83">
        <f t="shared" si="664"/>
        <v>0</v>
      </c>
      <c r="Q556" s="83">
        <f t="shared" si="664"/>
        <v>0</v>
      </c>
      <c r="R556" s="83">
        <f t="shared" si="664"/>
        <v>0</v>
      </c>
      <c r="S556" s="83">
        <f t="shared" si="664"/>
        <v>0</v>
      </c>
      <c r="T556" s="83">
        <f t="shared" si="664"/>
        <v>0</v>
      </c>
      <c r="U556" s="83">
        <f t="shared" si="664"/>
        <v>0</v>
      </c>
      <c r="V556" s="83">
        <f t="shared" si="664"/>
        <v>0</v>
      </c>
      <c r="W556" s="83">
        <f t="shared" si="664"/>
        <v>0</v>
      </c>
      <c r="X556" s="83">
        <f t="shared" si="664"/>
        <v>0</v>
      </c>
      <c r="Y556" s="83">
        <f t="shared" si="664"/>
        <v>0</v>
      </c>
      <c r="Z556" s="83">
        <f t="shared" si="664"/>
        <v>0</v>
      </c>
      <c r="AA556" s="83">
        <f t="shared" si="664"/>
        <v>0</v>
      </c>
      <c r="AB556" s="83"/>
      <c r="AC556" s="83"/>
      <c r="AD556" s="83"/>
      <c r="AE556" s="83"/>
      <c r="AF556" s="83"/>
      <c r="AG556" s="83"/>
      <c r="AH556" s="83"/>
      <c r="AI556" s="83"/>
      <c r="AJ556" s="83"/>
      <c r="AK556" s="83"/>
      <c r="AL556" s="8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</row>
    <row r="557" spans="1:50" ht="15.75" x14ac:dyDescent="0.25">
      <c r="A557" s="81">
        <v>13</v>
      </c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83">
        <f t="shared" ref="P557:AA557" si="665">IF($D$347&gt;$B556,0,$O$45/$B556)</f>
        <v>0</v>
      </c>
      <c r="Q557" s="83">
        <f t="shared" si="665"/>
        <v>0</v>
      </c>
      <c r="R557" s="83">
        <f t="shared" si="665"/>
        <v>0</v>
      </c>
      <c r="S557" s="83">
        <f t="shared" si="665"/>
        <v>0</v>
      </c>
      <c r="T557" s="83">
        <f t="shared" si="665"/>
        <v>0</v>
      </c>
      <c r="U557" s="83">
        <f t="shared" si="665"/>
        <v>0</v>
      </c>
      <c r="V557" s="83">
        <f t="shared" si="665"/>
        <v>0</v>
      </c>
      <c r="W557" s="83">
        <f t="shared" si="665"/>
        <v>0</v>
      </c>
      <c r="X557" s="83">
        <f t="shared" si="665"/>
        <v>0</v>
      </c>
      <c r="Y557" s="83">
        <f t="shared" si="665"/>
        <v>0</v>
      </c>
      <c r="Z557" s="83">
        <f t="shared" si="665"/>
        <v>0</v>
      </c>
      <c r="AA557" s="83">
        <f t="shared" si="665"/>
        <v>0</v>
      </c>
      <c r="AB557" s="83"/>
      <c r="AC557" s="83"/>
      <c r="AD557" s="83"/>
      <c r="AE557" s="83"/>
      <c r="AF557" s="83"/>
      <c r="AG557" s="83"/>
      <c r="AH557" s="83"/>
      <c r="AI557" s="83"/>
      <c r="AJ557" s="83"/>
      <c r="AK557" s="83"/>
      <c r="AL557" s="83"/>
      <c r="AM557" s="8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</row>
    <row r="558" spans="1:50" ht="15.75" x14ac:dyDescent="0.25">
      <c r="A558" s="81">
        <v>14</v>
      </c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83">
        <f t="shared" ref="Q558:AA558" si="666">IF($D$347&gt;$B557,0,$P$45/$B557)</f>
        <v>0</v>
      </c>
      <c r="R558" s="83">
        <f t="shared" si="666"/>
        <v>0</v>
      </c>
      <c r="S558" s="83">
        <f t="shared" si="666"/>
        <v>0</v>
      </c>
      <c r="T558" s="83">
        <f t="shared" si="666"/>
        <v>0</v>
      </c>
      <c r="U558" s="83">
        <f t="shared" si="666"/>
        <v>0</v>
      </c>
      <c r="V558" s="83">
        <f t="shared" si="666"/>
        <v>0</v>
      </c>
      <c r="W558" s="83">
        <f t="shared" si="666"/>
        <v>0</v>
      </c>
      <c r="X558" s="83">
        <f t="shared" si="666"/>
        <v>0</v>
      </c>
      <c r="Y558" s="83">
        <f t="shared" si="666"/>
        <v>0</v>
      </c>
      <c r="Z558" s="83">
        <f t="shared" si="666"/>
        <v>0</v>
      </c>
      <c r="AA558" s="83">
        <f t="shared" si="666"/>
        <v>0</v>
      </c>
      <c r="AB558" s="83"/>
      <c r="AC558" s="83"/>
      <c r="AD558" s="83"/>
      <c r="AE558" s="83"/>
      <c r="AF558" s="83"/>
      <c r="AG558" s="83"/>
      <c r="AH558" s="83"/>
      <c r="AI558" s="83"/>
      <c r="AJ558" s="83"/>
      <c r="AK558" s="83"/>
      <c r="AL558" s="83"/>
      <c r="AM558" s="83"/>
      <c r="AN558" s="83"/>
      <c r="AO558" s="3"/>
      <c r="AP558" s="3"/>
      <c r="AQ558" s="3"/>
      <c r="AR558" s="3"/>
      <c r="AS558" s="3"/>
      <c r="AT558" s="3"/>
      <c r="AU558" s="3"/>
      <c r="AV558" s="3"/>
      <c r="AW558" s="3"/>
      <c r="AX558" s="3"/>
    </row>
    <row r="559" spans="1:50" ht="15.75" x14ac:dyDescent="0.25">
      <c r="A559" s="81">
        <v>15</v>
      </c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83">
        <f t="shared" ref="R559:AA559" si="667">IF($D$347&gt;$B558,0,$Q$45/$B558)</f>
        <v>0</v>
      </c>
      <c r="S559" s="83">
        <f t="shared" si="667"/>
        <v>0</v>
      </c>
      <c r="T559" s="83">
        <f t="shared" si="667"/>
        <v>0</v>
      </c>
      <c r="U559" s="83">
        <f t="shared" si="667"/>
        <v>0</v>
      </c>
      <c r="V559" s="83">
        <f t="shared" si="667"/>
        <v>0</v>
      </c>
      <c r="W559" s="83">
        <f t="shared" si="667"/>
        <v>0</v>
      </c>
      <c r="X559" s="83">
        <f t="shared" si="667"/>
        <v>0</v>
      </c>
      <c r="Y559" s="83">
        <f t="shared" si="667"/>
        <v>0</v>
      </c>
      <c r="Z559" s="83">
        <f t="shared" si="667"/>
        <v>0</v>
      </c>
      <c r="AA559" s="83">
        <f t="shared" si="667"/>
        <v>0</v>
      </c>
      <c r="AB559" s="83"/>
      <c r="AC559" s="83"/>
      <c r="AD559" s="83"/>
      <c r="AE559" s="83"/>
      <c r="AF559" s="83"/>
      <c r="AG559" s="83"/>
      <c r="AH559" s="83"/>
      <c r="AI559" s="83"/>
      <c r="AJ559" s="83"/>
      <c r="AK559" s="83"/>
      <c r="AL559" s="83"/>
      <c r="AM559" s="83"/>
      <c r="AN559" s="83"/>
      <c r="AO559" s="83"/>
      <c r="AP559" s="3"/>
      <c r="AQ559" s="3"/>
      <c r="AR559" s="3"/>
      <c r="AS559" s="3"/>
      <c r="AT559" s="3"/>
      <c r="AU559" s="3"/>
      <c r="AV559" s="3"/>
      <c r="AW559" s="3"/>
      <c r="AX559" s="3"/>
    </row>
    <row r="560" spans="1:50" ht="15.75" x14ac:dyDescent="0.25">
      <c r="A560" s="81">
        <v>16</v>
      </c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83">
        <f t="shared" ref="S560:AA560" si="668">IF($D$347&gt;$B559,0,$R$45/$B559)</f>
        <v>0</v>
      </c>
      <c r="T560" s="83">
        <f t="shared" si="668"/>
        <v>0</v>
      </c>
      <c r="U560" s="83">
        <f t="shared" si="668"/>
        <v>0</v>
      </c>
      <c r="V560" s="83">
        <f t="shared" si="668"/>
        <v>0</v>
      </c>
      <c r="W560" s="83">
        <f t="shared" si="668"/>
        <v>0</v>
      </c>
      <c r="X560" s="83">
        <f t="shared" si="668"/>
        <v>0</v>
      </c>
      <c r="Y560" s="83">
        <f t="shared" si="668"/>
        <v>0</v>
      </c>
      <c r="Z560" s="83">
        <f t="shared" si="668"/>
        <v>0</v>
      </c>
      <c r="AA560" s="83">
        <f t="shared" si="668"/>
        <v>0</v>
      </c>
      <c r="AB560" s="83"/>
      <c r="AC560" s="83"/>
      <c r="AD560" s="83"/>
      <c r="AE560" s="83"/>
      <c r="AF560" s="83"/>
      <c r="AG560" s="83"/>
      <c r="AH560" s="83"/>
      <c r="AI560" s="83"/>
      <c r="AJ560" s="83"/>
      <c r="AK560" s="83"/>
      <c r="AL560" s="83"/>
      <c r="AM560" s="83"/>
      <c r="AN560" s="83"/>
      <c r="AO560" s="83"/>
      <c r="AP560" s="83"/>
      <c r="AQ560" s="3"/>
      <c r="AR560" s="3"/>
      <c r="AS560" s="3"/>
      <c r="AT560" s="3"/>
      <c r="AU560" s="3"/>
      <c r="AV560" s="3"/>
      <c r="AW560" s="3"/>
      <c r="AX560" s="3"/>
    </row>
    <row r="561" spans="1:50" ht="15.75" x14ac:dyDescent="0.25">
      <c r="A561" s="81">
        <v>17</v>
      </c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83">
        <f t="shared" ref="T561:AA561" si="669">IF($D$347&gt;$B560,0,$S$45/$B560)</f>
        <v>0</v>
      </c>
      <c r="U561" s="83">
        <f t="shared" si="669"/>
        <v>0</v>
      </c>
      <c r="V561" s="83">
        <f t="shared" si="669"/>
        <v>0</v>
      </c>
      <c r="W561" s="83">
        <f t="shared" si="669"/>
        <v>0</v>
      </c>
      <c r="X561" s="83">
        <f t="shared" si="669"/>
        <v>0</v>
      </c>
      <c r="Y561" s="83">
        <f t="shared" si="669"/>
        <v>0</v>
      </c>
      <c r="Z561" s="83">
        <f t="shared" si="669"/>
        <v>0</v>
      </c>
      <c r="AA561" s="83">
        <f t="shared" si="669"/>
        <v>0</v>
      </c>
      <c r="AB561" s="83"/>
      <c r="AC561" s="83"/>
      <c r="AD561" s="83"/>
      <c r="AE561" s="83"/>
      <c r="AF561" s="83"/>
      <c r="AG561" s="83"/>
      <c r="AH561" s="83"/>
      <c r="AI561" s="83"/>
      <c r="AJ561" s="83"/>
      <c r="AK561" s="83"/>
      <c r="AL561" s="83"/>
      <c r="AM561" s="83"/>
      <c r="AN561" s="83"/>
      <c r="AO561" s="83"/>
      <c r="AP561" s="83"/>
      <c r="AQ561" s="83"/>
      <c r="AR561" s="3"/>
      <c r="AS561" s="3"/>
      <c r="AT561" s="3"/>
      <c r="AU561" s="3"/>
      <c r="AV561" s="3"/>
      <c r="AW561" s="3"/>
      <c r="AX561" s="3"/>
    </row>
    <row r="562" spans="1:50" ht="15.75" x14ac:dyDescent="0.25">
      <c r="A562" s="81">
        <v>18</v>
      </c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83">
        <f t="shared" ref="U562:AA562" si="670">IF($D$347&gt;$B561,0,$T$45/$B561)</f>
        <v>0</v>
      </c>
      <c r="V562" s="83">
        <f t="shared" si="670"/>
        <v>0</v>
      </c>
      <c r="W562" s="83">
        <f t="shared" si="670"/>
        <v>0</v>
      </c>
      <c r="X562" s="83">
        <f t="shared" si="670"/>
        <v>0</v>
      </c>
      <c r="Y562" s="83">
        <f t="shared" si="670"/>
        <v>0</v>
      </c>
      <c r="Z562" s="83">
        <f t="shared" si="670"/>
        <v>0</v>
      </c>
      <c r="AA562" s="83">
        <f t="shared" si="670"/>
        <v>0</v>
      </c>
      <c r="AB562" s="83"/>
      <c r="AC562" s="83"/>
      <c r="AD562" s="83"/>
      <c r="AE562" s="83"/>
      <c r="AF562" s="83"/>
      <c r="AG562" s="83"/>
      <c r="AH562" s="83"/>
      <c r="AI562" s="83"/>
      <c r="AJ562" s="83"/>
      <c r="AK562" s="83"/>
      <c r="AL562" s="83"/>
      <c r="AM562" s="83"/>
      <c r="AN562" s="83"/>
      <c r="AO562" s="83"/>
      <c r="AP562" s="83"/>
      <c r="AQ562" s="83"/>
      <c r="AR562" s="83"/>
      <c r="AS562" s="3"/>
      <c r="AT562" s="3"/>
      <c r="AU562" s="3"/>
      <c r="AV562" s="3"/>
      <c r="AW562" s="3"/>
      <c r="AX562" s="3"/>
    </row>
    <row r="563" spans="1:50" ht="15.75" x14ac:dyDescent="0.25">
      <c r="A563" s="81">
        <v>19</v>
      </c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83">
        <f t="shared" ref="V563:AA563" si="671">IF($D$347&gt;$B562,0,$U$45/$B562)</f>
        <v>0</v>
      </c>
      <c r="W563" s="83">
        <f t="shared" si="671"/>
        <v>0</v>
      </c>
      <c r="X563" s="83">
        <f t="shared" si="671"/>
        <v>0</v>
      </c>
      <c r="Y563" s="83">
        <f t="shared" si="671"/>
        <v>0</v>
      </c>
      <c r="Z563" s="83">
        <f t="shared" si="671"/>
        <v>0</v>
      </c>
      <c r="AA563" s="83">
        <f t="shared" si="671"/>
        <v>0</v>
      </c>
      <c r="AB563" s="83"/>
      <c r="AC563" s="83"/>
      <c r="AD563" s="83"/>
      <c r="AE563" s="83"/>
      <c r="AF563" s="83"/>
      <c r="AG563" s="83"/>
      <c r="AH563" s="83"/>
      <c r="AI563" s="83"/>
      <c r="AJ563" s="83"/>
      <c r="AK563" s="83"/>
      <c r="AL563" s="83"/>
      <c r="AM563" s="83"/>
      <c r="AN563" s="83"/>
      <c r="AO563" s="83"/>
      <c r="AP563" s="83"/>
      <c r="AQ563" s="83"/>
      <c r="AR563" s="83"/>
      <c r="AS563" s="83"/>
      <c r="AT563" s="3"/>
      <c r="AU563" s="3"/>
      <c r="AV563" s="3"/>
      <c r="AW563" s="3"/>
      <c r="AX563" s="3"/>
    </row>
    <row r="564" spans="1:50" ht="15.75" x14ac:dyDescent="0.25">
      <c r="A564" s="81">
        <v>20</v>
      </c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83">
        <f>IF($D$347&gt;$B563,0,$V$45/$B563)</f>
        <v>0</v>
      </c>
      <c r="X564" s="83">
        <f>IF($D$347&gt;$B563,0,$V$45/$B563)</f>
        <v>0</v>
      </c>
      <c r="Y564" s="83">
        <f>IF($D$347&gt;$B563,0,$V$45/$B563)</f>
        <v>0</v>
      </c>
      <c r="Z564" s="83">
        <f>IF($D$347&gt;$B563,0,$V$45/$B563)</f>
        <v>0</v>
      </c>
      <c r="AA564" s="83">
        <f>IF($D$347&gt;$B563,0,$V$45/$B563)</f>
        <v>0</v>
      </c>
      <c r="AB564" s="83"/>
      <c r="AC564" s="83"/>
      <c r="AD564" s="83"/>
      <c r="AE564" s="83"/>
      <c r="AF564" s="83"/>
      <c r="AG564" s="83"/>
      <c r="AH564" s="83"/>
      <c r="AI564" s="83"/>
      <c r="AJ564" s="83"/>
      <c r="AK564" s="83"/>
      <c r="AL564" s="83"/>
      <c r="AM564" s="83"/>
      <c r="AN564" s="83"/>
      <c r="AO564" s="83"/>
      <c r="AP564" s="83"/>
      <c r="AQ564" s="83"/>
      <c r="AR564" s="83"/>
      <c r="AS564" s="83"/>
      <c r="AT564" s="83"/>
      <c r="AU564" s="3"/>
      <c r="AV564" s="3"/>
      <c r="AW564" s="3"/>
      <c r="AX564" s="3"/>
    </row>
    <row r="565" spans="1:50" ht="15.75" x14ac:dyDescent="0.25">
      <c r="A565" s="81">
        <v>21</v>
      </c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83">
        <f>IF($D$347&gt;$B564,0,$W$45/$B564)</f>
        <v>0</v>
      </c>
      <c r="Y565" s="83">
        <f>IF($D$347&gt;$B564,0,$W$45/$B564)</f>
        <v>0</v>
      </c>
      <c r="Z565" s="83">
        <f>IF($D$347&gt;$B564,0,$W$45/$B564)</f>
        <v>0</v>
      </c>
      <c r="AA565" s="83">
        <f>IF($D$347&gt;$B564,0,$W$45/$B564)</f>
        <v>0</v>
      </c>
      <c r="AB565" s="83"/>
      <c r="AC565" s="83"/>
      <c r="AD565" s="83"/>
      <c r="AE565" s="83"/>
      <c r="AF565" s="83"/>
      <c r="AG565" s="83"/>
      <c r="AH565" s="83"/>
      <c r="AI565" s="83"/>
      <c r="AJ565" s="83"/>
      <c r="AK565" s="83"/>
      <c r="AL565" s="83"/>
      <c r="AM565" s="83"/>
      <c r="AN565" s="83"/>
      <c r="AO565" s="83"/>
      <c r="AP565" s="83"/>
      <c r="AQ565" s="83"/>
      <c r="AR565" s="83"/>
      <c r="AS565" s="83"/>
      <c r="AT565" s="83"/>
      <c r="AU565" s="83"/>
      <c r="AV565" s="3"/>
      <c r="AW565" s="3"/>
      <c r="AX565" s="3"/>
    </row>
    <row r="566" spans="1:50" ht="15.75" x14ac:dyDescent="0.25">
      <c r="A566" s="81">
        <v>22</v>
      </c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83">
        <f>IF($D$347&gt;$B565,0,$X$45/$B565)</f>
        <v>0</v>
      </c>
      <c r="Z566" s="83">
        <f>IF($D$347&gt;$B565,0,$X$45/$B565)</f>
        <v>0</v>
      </c>
      <c r="AA566" s="83">
        <f>IF($D$347&gt;$B565,0,$X$45/$B565)</f>
        <v>0</v>
      </c>
      <c r="AB566" s="83"/>
      <c r="AC566" s="83"/>
      <c r="AD566" s="83"/>
      <c r="AE566" s="83"/>
      <c r="AF566" s="83"/>
      <c r="AG566" s="83"/>
      <c r="AH566" s="83"/>
      <c r="AI566" s="83"/>
      <c r="AJ566" s="83"/>
      <c r="AK566" s="83"/>
      <c r="AL566" s="83"/>
      <c r="AM566" s="83"/>
      <c r="AN566" s="83"/>
      <c r="AO566" s="83"/>
      <c r="AP566" s="83"/>
      <c r="AQ566" s="83"/>
      <c r="AR566" s="83"/>
      <c r="AS566" s="83"/>
      <c r="AT566" s="83"/>
      <c r="AU566" s="83"/>
      <c r="AV566" s="83"/>
      <c r="AW566" s="3"/>
      <c r="AX566" s="3"/>
    </row>
    <row r="567" spans="1:50" ht="15.75" x14ac:dyDescent="0.25">
      <c r="A567" s="81">
        <v>23</v>
      </c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83">
        <f>IF($D$347&gt;$B566,0,$Y$45/$B566)</f>
        <v>0</v>
      </c>
      <c r="AA567" s="83">
        <f>IF($D$347&gt;$B566,0,$Y$45/$B566)</f>
        <v>0</v>
      </c>
      <c r="AB567" s="83"/>
      <c r="AC567" s="83"/>
      <c r="AD567" s="83"/>
      <c r="AE567" s="83"/>
      <c r="AF567" s="83"/>
      <c r="AG567" s="83"/>
      <c r="AH567" s="83"/>
      <c r="AI567" s="83"/>
      <c r="AJ567" s="83"/>
      <c r="AK567" s="83"/>
      <c r="AL567" s="83"/>
      <c r="AM567" s="83"/>
      <c r="AN567" s="83"/>
      <c r="AO567" s="83"/>
      <c r="AP567" s="83"/>
      <c r="AQ567" s="83"/>
      <c r="AR567" s="83"/>
      <c r="AS567" s="83"/>
      <c r="AT567" s="83"/>
      <c r="AU567" s="83"/>
      <c r="AV567" s="83"/>
      <c r="AW567" s="83"/>
      <c r="AX567" s="3"/>
    </row>
    <row r="568" spans="1:50" ht="16.5" thickBot="1" x14ac:dyDescent="0.3">
      <c r="A568" s="409">
        <v>24</v>
      </c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410">
        <f>IF($D$347&gt;$B567,0,$Z$45/$B567)</f>
        <v>0</v>
      </c>
      <c r="AB568" s="410"/>
      <c r="AC568" s="410"/>
      <c r="AD568" s="410"/>
      <c r="AE568" s="410"/>
      <c r="AF568" s="410"/>
      <c r="AG568" s="410"/>
      <c r="AH568" s="410"/>
      <c r="AI568" s="410"/>
      <c r="AJ568" s="410"/>
      <c r="AK568" s="410"/>
      <c r="AL568" s="410"/>
      <c r="AM568" s="410"/>
      <c r="AN568" s="410"/>
      <c r="AO568" s="410"/>
      <c r="AP568" s="410"/>
      <c r="AQ568" s="410"/>
      <c r="AR568" s="410"/>
      <c r="AS568" s="410"/>
      <c r="AT568" s="410"/>
      <c r="AU568" s="410"/>
      <c r="AV568" s="410"/>
      <c r="AW568" s="410"/>
      <c r="AX568" s="410"/>
    </row>
    <row r="569" spans="1:50" x14ac:dyDescent="0.25">
      <c r="A569" s="411" t="s">
        <v>95</v>
      </c>
      <c r="B569" s="412"/>
      <c r="C569" s="412"/>
      <c r="D569" s="413">
        <f>SUM(D545:D568)</f>
        <v>0</v>
      </c>
      <c r="E569" s="413">
        <f t="shared" ref="E569" si="672">SUM(E545:E568)</f>
        <v>0</v>
      </c>
      <c r="F569" s="413">
        <f t="shared" ref="F569" si="673">SUM(F545:F568)</f>
        <v>0</v>
      </c>
      <c r="G569" s="413">
        <f t="shared" ref="G569" si="674">SUM(G545:G568)</f>
        <v>0</v>
      </c>
      <c r="H569" s="413">
        <f t="shared" ref="H569" si="675">SUM(H545:H568)</f>
        <v>0</v>
      </c>
      <c r="I569" s="413">
        <f t="shared" ref="I569" si="676">SUM(I545:I568)</f>
        <v>0</v>
      </c>
      <c r="J569" s="413">
        <f t="shared" ref="J569" si="677">SUM(J545:J568)</f>
        <v>0</v>
      </c>
      <c r="K569" s="413">
        <f t="shared" ref="K569" si="678">SUM(K545:K568)</f>
        <v>0</v>
      </c>
      <c r="L569" s="413">
        <f t="shared" ref="L569" si="679">SUM(L545:L568)</f>
        <v>0</v>
      </c>
      <c r="M569" s="413">
        <f t="shared" ref="M569" si="680">SUM(M545:M568)</f>
        <v>0</v>
      </c>
      <c r="N569" s="413">
        <f t="shared" ref="N569" si="681">SUM(N545:N568)</f>
        <v>0</v>
      </c>
      <c r="O569" s="413">
        <f t="shared" ref="O569" si="682">SUM(O545:O568)</f>
        <v>0</v>
      </c>
      <c r="P569" s="413">
        <f t="shared" ref="P569" si="683">SUM(P545:P568)</f>
        <v>0</v>
      </c>
      <c r="Q569" s="413">
        <f t="shared" ref="Q569" si="684">SUM(Q545:Q568)</f>
        <v>0</v>
      </c>
      <c r="R569" s="413">
        <f t="shared" ref="R569" si="685">SUM(R545:R568)</f>
        <v>0</v>
      </c>
      <c r="S569" s="413">
        <f t="shared" ref="S569" si="686">SUM(S545:S568)</f>
        <v>0</v>
      </c>
      <c r="T569" s="413">
        <f t="shared" ref="T569" si="687">SUM(T545:T568)</f>
        <v>0</v>
      </c>
      <c r="U569" s="413">
        <f t="shared" ref="U569" si="688">SUM(U545:U568)</f>
        <v>0</v>
      </c>
      <c r="V569" s="413">
        <f t="shared" ref="V569" si="689">SUM(V545:V568)</f>
        <v>0</v>
      </c>
      <c r="W569" s="413">
        <f t="shared" ref="W569" si="690">SUM(W545:W568)</f>
        <v>0</v>
      </c>
      <c r="X569" s="413">
        <f t="shared" ref="X569" si="691">SUM(X545:X568)</f>
        <v>0</v>
      </c>
      <c r="Y569" s="413">
        <f t="shared" ref="Y569" si="692">SUM(Y545:Y568)</f>
        <v>0</v>
      </c>
      <c r="Z569" s="413">
        <f t="shared" ref="Z569" si="693">SUM(Z545:Z568)</f>
        <v>0</v>
      </c>
      <c r="AA569" s="413">
        <f t="shared" ref="AA569" si="694">SUM(AA545:AA568)</f>
        <v>0</v>
      </c>
      <c r="AB569" s="413"/>
      <c r="AC569" s="413"/>
      <c r="AD569" s="413"/>
      <c r="AE569" s="413"/>
      <c r="AF569" s="413"/>
      <c r="AG569" s="413"/>
      <c r="AH569" s="413"/>
      <c r="AI569" s="413"/>
      <c r="AJ569" s="413"/>
      <c r="AK569" s="413"/>
      <c r="AL569" s="413"/>
      <c r="AM569" s="413"/>
      <c r="AN569" s="413"/>
      <c r="AO569" s="413"/>
      <c r="AP569" s="413"/>
      <c r="AQ569" s="413"/>
      <c r="AR569" s="413"/>
      <c r="AS569" s="413"/>
      <c r="AT569" s="413"/>
      <c r="AU569" s="413"/>
      <c r="AV569" s="413"/>
      <c r="AW569" s="413"/>
      <c r="AX569" s="414"/>
    </row>
    <row r="570" spans="1:50" x14ac:dyDescent="0.25">
      <c r="A570" s="351" t="s">
        <v>96</v>
      </c>
      <c r="B570" s="59"/>
      <c r="C570" s="59"/>
      <c r="D570" s="83">
        <f>D569</f>
        <v>0</v>
      </c>
      <c r="E570" s="83">
        <f t="shared" ref="E570" si="695">E569</f>
        <v>0</v>
      </c>
      <c r="F570" s="83">
        <f t="shared" ref="F570" si="696">F569</f>
        <v>0</v>
      </c>
      <c r="G570" s="83">
        <f t="shared" ref="G570" si="697">G569</f>
        <v>0</v>
      </c>
      <c r="H570" s="83">
        <f t="shared" ref="H570" si="698">H569</f>
        <v>0</v>
      </c>
      <c r="I570" s="83">
        <f t="shared" ref="I570" si="699">I569</f>
        <v>0</v>
      </c>
      <c r="J570" s="83">
        <f t="shared" ref="J570" si="700">J569</f>
        <v>0</v>
      </c>
      <c r="K570" s="83">
        <f t="shared" ref="K570" si="701">K569</f>
        <v>0</v>
      </c>
      <c r="L570" s="83">
        <f t="shared" ref="L570" si="702">L569</f>
        <v>0</v>
      </c>
      <c r="M570" s="83">
        <f t="shared" ref="M570" si="703">M569</f>
        <v>0</v>
      </c>
      <c r="N570" s="83">
        <f t="shared" ref="N570" si="704">N569</f>
        <v>0</v>
      </c>
      <c r="O570" s="83">
        <f t="shared" ref="O570" si="705">O569</f>
        <v>0</v>
      </c>
      <c r="P570" s="83">
        <f t="shared" ref="P570" si="706">P569</f>
        <v>0</v>
      </c>
      <c r="Q570" s="83">
        <f t="shared" ref="Q570" si="707">Q569</f>
        <v>0</v>
      </c>
      <c r="R570" s="83">
        <f t="shared" ref="R570" si="708">R569</f>
        <v>0</v>
      </c>
      <c r="S570" s="83">
        <f t="shared" ref="S570" si="709">S569</f>
        <v>0</v>
      </c>
      <c r="T570" s="83">
        <f t="shared" ref="T570" si="710">T569</f>
        <v>0</v>
      </c>
      <c r="U570" s="83">
        <f t="shared" ref="U570" si="711">U569</f>
        <v>0</v>
      </c>
      <c r="V570" s="83">
        <f t="shared" ref="V570" si="712">V569</f>
        <v>0</v>
      </c>
      <c r="W570" s="83">
        <f t="shared" ref="W570" si="713">W569</f>
        <v>0</v>
      </c>
      <c r="X570" s="83">
        <f t="shared" ref="X570" si="714">X569</f>
        <v>0</v>
      </c>
      <c r="Y570" s="83">
        <f t="shared" ref="Y570" si="715">Y569</f>
        <v>0</v>
      </c>
      <c r="Z570" s="83">
        <f t="shared" ref="Z570" si="716">Z569</f>
        <v>0</v>
      </c>
      <c r="AA570" s="83">
        <f t="shared" ref="AA570" si="717">AA569</f>
        <v>0</v>
      </c>
      <c r="AB570" s="83"/>
      <c r="AC570" s="83"/>
      <c r="AD570" s="83"/>
      <c r="AE570" s="83"/>
      <c r="AF570" s="83"/>
      <c r="AG570" s="83"/>
      <c r="AH570" s="83"/>
      <c r="AI570" s="83"/>
      <c r="AJ570" s="83"/>
      <c r="AK570" s="83"/>
      <c r="AL570" s="83"/>
      <c r="AM570" s="83"/>
      <c r="AN570" s="83"/>
      <c r="AO570" s="83"/>
      <c r="AP570" s="83"/>
      <c r="AQ570" s="83"/>
      <c r="AR570" s="83"/>
      <c r="AS570" s="83"/>
      <c r="AT570" s="83"/>
      <c r="AU570" s="83"/>
      <c r="AV570" s="83"/>
      <c r="AW570" s="83"/>
      <c r="AX570" s="415"/>
    </row>
    <row r="571" spans="1:50" ht="15.75" thickBot="1" x14ac:dyDescent="0.3">
      <c r="A571" s="308" t="s">
        <v>98</v>
      </c>
      <c r="B571" s="315"/>
      <c r="C571" s="315"/>
      <c r="D571" s="416">
        <f t="shared" ref="D571:AA571" si="718">(C57-C60)-D570</f>
        <v>0</v>
      </c>
      <c r="E571" s="416">
        <f t="shared" si="718"/>
        <v>0</v>
      </c>
      <c r="F571" s="416">
        <f t="shared" si="718"/>
        <v>0</v>
      </c>
      <c r="G571" s="416">
        <f t="shared" si="718"/>
        <v>0</v>
      </c>
      <c r="H571" s="416">
        <f t="shared" si="718"/>
        <v>0</v>
      </c>
      <c r="I571" s="416">
        <f t="shared" si="718"/>
        <v>0</v>
      </c>
      <c r="J571" s="416">
        <f t="shared" si="718"/>
        <v>0</v>
      </c>
      <c r="K571" s="416">
        <f t="shared" si="718"/>
        <v>0</v>
      </c>
      <c r="L571" s="416">
        <f t="shared" si="718"/>
        <v>0</v>
      </c>
      <c r="M571" s="416">
        <f t="shared" si="718"/>
        <v>0</v>
      </c>
      <c r="N571" s="416">
        <f t="shared" si="718"/>
        <v>0</v>
      </c>
      <c r="O571" s="416">
        <f t="shared" si="718"/>
        <v>0</v>
      </c>
      <c r="P571" s="416">
        <f t="shared" si="718"/>
        <v>0</v>
      </c>
      <c r="Q571" s="416">
        <f t="shared" si="718"/>
        <v>0</v>
      </c>
      <c r="R571" s="416">
        <f t="shared" si="718"/>
        <v>0</v>
      </c>
      <c r="S571" s="416">
        <f t="shared" si="718"/>
        <v>0</v>
      </c>
      <c r="T571" s="416">
        <f t="shared" si="718"/>
        <v>0</v>
      </c>
      <c r="U571" s="416">
        <f t="shared" si="718"/>
        <v>0</v>
      </c>
      <c r="V571" s="416">
        <f t="shared" si="718"/>
        <v>0</v>
      </c>
      <c r="W571" s="416">
        <f t="shared" si="718"/>
        <v>0</v>
      </c>
      <c r="X571" s="416">
        <f t="shared" si="718"/>
        <v>0</v>
      </c>
      <c r="Y571" s="416">
        <f t="shared" si="718"/>
        <v>0</v>
      </c>
      <c r="Z571" s="416">
        <f t="shared" si="718"/>
        <v>0</v>
      </c>
      <c r="AA571" s="416">
        <f t="shared" si="718"/>
        <v>0</v>
      </c>
      <c r="AB571" s="416"/>
      <c r="AC571" s="416"/>
      <c r="AD571" s="416"/>
      <c r="AE571" s="416"/>
      <c r="AF571" s="416"/>
      <c r="AG571" s="416"/>
      <c r="AH571" s="416"/>
      <c r="AI571" s="416"/>
      <c r="AJ571" s="416"/>
      <c r="AK571" s="416"/>
      <c r="AL571" s="416"/>
      <c r="AM571" s="416"/>
      <c r="AN571" s="416"/>
      <c r="AO571" s="416"/>
      <c r="AP571" s="416"/>
      <c r="AQ571" s="416"/>
      <c r="AR571" s="416"/>
      <c r="AS571" s="416"/>
      <c r="AT571" s="416"/>
      <c r="AU571" s="416"/>
      <c r="AV571" s="416"/>
      <c r="AW571" s="416"/>
      <c r="AX571" s="417"/>
    </row>
    <row r="573" spans="1:50" ht="23.25" x14ac:dyDescent="0.35">
      <c r="A573" s="459" t="s">
        <v>126</v>
      </c>
      <c r="B573" s="105"/>
      <c r="C573" s="395">
        <v>0</v>
      </c>
      <c r="D573" s="395">
        <v>0</v>
      </c>
      <c r="E573" s="395">
        <f t="shared" ref="E573:AA573" si="719">E58</f>
        <v>0</v>
      </c>
      <c r="F573" s="395">
        <f t="shared" si="719"/>
        <v>0</v>
      </c>
      <c r="G573" s="395">
        <f t="shared" si="719"/>
        <v>0</v>
      </c>
      <c r="H573" s="395">
        <f t="shared" si="719"/>
        <v>0</v>
      </c>
      <c r="I573" s="395">
        <f t="shared" si="719"/>
        <v>0</v>
      </c>
      <c r="J573" s="395">
        <f t="shared" si="719"/>
        <v>0</v>
      </c>
      <c r="K573" s="395">
        <f t="shared" si="719"/>
        <v>0</v>
      </c>
      <c r="L573" s="395">
        <f t="shared" si="719"/>
        <v>0</v>
      </c>
      <c r="M573" s="395">
        <f t="shared" si="719"/>
        <v>0</v>
      </c>
      <c r="N573" s="395">
        <f t="shared" si="719"/>
        <v>0</v>
      </c>
      <c r="O573" s="395">
        <f t="shared" si="719"/>
        <v>0</v>
      </c>
      <c r="P573" s="395">
        <f t="shared" si="719"/>
        <v>0</v>
      </c>
      <c r="Q573" s="395">
        <f t="shared" si="719"/>
        <v>0</v>
      </c>
      <c r="R573" s="395">
        <f t="shared" si="719"/>
        <v>0</v>
      </c>
      <c r="S573" s="395">
        <f t="shared" si="719"/>
        <v>0</v>
      </c>
      <c r="T573" s="395">
        <f t="shared" si="719"/>
        <v>0</v>
      </c>
      <c r="U573" s="395">
        <f t="shared" si="719"/>
        <v>0</v>
      </c>
      <c r="V573" s="395">
        <f t="shared" si="719"/>
        <v>0</v>
      </c>
      <c r="W573" s="395">
        <f t="shared" si="719"/>
        <v>0</v>
      </c>
      <c r="X573" s="395">
        <f t="shared" si="719"/>
        <v>0</v>
      </c>
      <c r="Y573" s="395">
        <f t="shared" si="719"/>
        <v>0</v>
      </c>
      <c r="Z573" s="395">
        <f t="shared" si="719"/>
        <v>0</v>
      </c>
      <c r="AA573" s="395">
        <f t="shared" si="719"/>
        <v>0</v>
      </c>
    </row>
    <row r="574" spans="1:50" ht="15.75" x14ac:dyDescent="0.25">
      <c r="A574" t="s">
        <v>123</v>
      </c>
      <c r="B574" s="106"/>
      <c r="C574" s="88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  <c r="AA574" s="88"/>
    </row>
    <row r="575" spans="1:50" x14ac:dyDescent="0.25">
      <c r="A575" t="s">
        <v>124</v>
      </c>
      <c r="B575" s="403">
        <v>0</v>
      </c>
      <c r="C575" s="105">
        <f t="shared" ref="C575:AA575" si="720">C$377*$B$379</f>
        <v>0</v>
      </c>
      <c r="D575" s="105">
        <f t="shared" si="720"/>
        <v>0</v>
      </c>
      <c r="E575" s="105">
        <f t="shared" si="720"/>
        <v>0</v>
      </c>
      <c r="F575" s="105">
        <f t="shared" si="720"/>
        <v>0</v>
      </c>
      <c r="G575" s="105">
        <f t="shared" si="720"/>
        <v>0</v>
      </c>
      <c r="H575" s="105">
        <f t="shared" si="720"/>
        <v>0</v>
      </c>
      <c r="I575" s="105">
        <f t="shared" si="720"/>
        <v>0</v>
      </c>
      <c r="J575" s="105">
        <f t="shared" si="720"/>
        <v>0</v>
      </c>
      <c r="K575" s="105">
        <f t="shared" si="720"/>
        <v>0</v>
      </c>
      <c r="L575" s="105">
        <f t="shared" si="720"/>
        <v>0</v>
      </c>
      <c r="M575" s="105">
        <f t="shared" si="720"/>
        <v>0</v>
      </c>
      <c r="N575" s="105">
        <f t="shared" si="720"/>
        <v>0</v>
      </c>
      <c r="O575" s="105">
        <f t="shared" si="720"/>
        <v>0</v>
      </c>
      <c r="P575" s="105">
        <f t="shared" si="720"/>
        <v>0</v>
      </c>
      <c r="Q575" s="105">
        <f t="shared" si="720"/>
        <v>0</v>
      </c>
      <c r="R575" s="105">
        <f t="shared" si="720"/>
        <v>0</v>
      </c>
      <c r="S575" s="105">
        <f t="shared" si="720"/>
        <v>0</v>
      </c>
      <c r="T575" s="105">
        <f t="shared" si="720"/>
        <v>0</v>
      </c>
      <c r="U575" s="105">
        <f t="shared" si="720"/>
        <v>0</v>
      </c>
      <c r="V575" s="105">
        <f t="shared" si="720"/>
        <v>0</v>
      </c>
      <c r="W575" s="105">
        <f t="shared" si="720"/>
        <v>0</v>
      </c>
      <c r="X575" s="105">
        <f t="shared" si="720"/>
        <v>0</v>
      </c>
      <c r="Y575" s="105">
        <f t="shared" si="720"/>
        <v>0</v>
      </c>
      <c r="Z575" s="105">
        <f t="shared" si="720"/>
        <v>0</v>
      </c>
      <c r="AA575" s="105">
        <f t="shared" si="720"/>
        <v>0</v>
      </c>
    </row>
    <row r="576" spans="1:50" s="3" customFormat="1" x14ac:dyDescent="0.25">
      <c r="A576" s="165" t="s">
        <v>125</v>
      </c>
      <c r="D576" s="404">
        <f t="shared" ref="D576:AA576" si="721">IF(C$377=0,0,(1-(C575/C573)^(1/$B579)))</f>
        <v>0</v>
      </c>
      <c r="E576" s="404">
        <f t="shared" si="721"/>
        <v>0</v>
      </c>
      <c r="F576" s="404">
        <f t="shared" si="721"/>
        <v>0</v>
      </c>
      <c r="G576" s="404">
        <f t="shared" si="721"/>
        <v>0</v>
      </c>
      <c r="H576" s="404">
        <f t="shared" si="721"/>
        <v>0</v>
      </c>
      <c r="I576" s="404">
        <f t="shared" si="721"/>
        <v>0</v>
      </c>
      <c r="J576" s="404">
        <f t="shared" si="721"/>
        <v>0</v>
      </c>
      <c r="K576" s="404">
        <f t="shared" si="721"/>
        <v>0</v>
      </c>
      <c r="L576" s="404">
        <f t="shared" si="721"/>
        <v>0</v>
      </c>
      <c r="M576" s="404">
        <f t="shared" si="721"/>
        <v>0</v>
      </c>
      <c r="N576" s="404">
        <f t="shared" si="721"/>
        <v>0</v>
      </c>
      <c r="O576" s="404">
        <f t="shared" si="721"/>
        <v>0</v>
      </c>
      <c r="P576" s="404">
        <f t="shared" si="721"/>
        <v>0</v>
      </c>
      <c r="Q576" s="404">
        <f t="shared" si="721"/>
        <v>0</v>
      </c>
      <c r="R576" s="404">
        <f t="shared" si="721"/>
        <v>0</v>
      </c>
      <c r="S576" s="404">
        <f t="shared" si="721"/>
        <v>0</v>
      </c>
      <c r="T576" s="404">
        <f t="shared" si="721"/>
        <v>0</v>
      </c>
      <c r="U576" s="404">
        <f t="shared" si="721"/>
        <v>0</v>
      </c>
      <c r="V576" s="404">
        <f t="shared" si="721"/>
        <v>0</v>
      </c>
      <c r="W576" s="404">
        <f t="shared" si="721"/>
        <v>0</v>
      </c>
      <c r="X576" s="404">
        <f t="shared" si="721"/>
        <v>0</v>
      </c>
      <c r="Y576" s="404">
        <f t="shared" si="721"/>
        <v>0</v>
      </c>
      <c r="Z576" s="404">
        <f t="shared" si="721"/>
        <v>0</v>
      </c>
      <c r="AA576" s="404">
        <f t="shared" si="721"/>
        <v>0</v>
      </c>
    </row>
    <row r="577" spans="1:27" s="3" customFormat="1" ht="15.75" x14ac:dyDescent="0.25">
      <c r="A577" s="81"/>
      <c r="D577" s="404"/>
      <c r="E577" s="404"/>
      <c r="F577" s="404"/>
      <c r="G577" s="404"/>
      <c r="H577" s="404"/>
      <c r="I577" s="404"/>
      <c r="J577" s="404"/>
      <c r="K577" s="404"/>
      <c r="L577" s="404"/>
      <c r="M577" s="404"/>
      <c r="N577" s="404"/>
      <c r="O577" s="404"/>
      <c r="P577" s="404"/>
      <c r="Q577" s="404"/>
      <c r="R577" s="404"/>
      <c r="S577" s="404"/>
      <c r="T577" s="404"/>
      <c r="U577" s="404"/>
      <c r="V577" s="404"/>
      <c r="W577" s="404"/>
      <c r="X577" s="404"/>
      <c r="Y577" s="404"/>
      <c r="Z577" s="404"/>
      <c r="AA577" s="404"/>
    </row>
    <row r="578" spans="1:27" s="3" customFormat="1" ht="15.75" x14ac:dyDescent="0.25">
      <c r="A578" s="81"/>
      <c r="B578" s="65"/>
      <c r="C578" s="176"/>
      <c r="D578" s="14">
        <v>1</v>
      </c>
      <c r="E578" s="14">
        <v>2</v>
      </c>
      <c r="F578" s="14">
        <v>3</v>
      </c>
      <c r="G578" s="14">
        <v>4</v>
      </c>
      <c r="H578" s="14">
        <v>5</v>
      </c>
      <c r="I578" s="14">
        <v>6</v>
      </c>
      <c r="J578" s="14">
        <v>7</v>
      </c>
      <c r="K578" s="14">
        <v>8</v>
      </c>
      <c r="L578" s="14">
        <v>9</v>
      </c>
      <c r="M578" s="14">
        <v>10</v>
      </c>
      <c r="N578" s="14">
        <v>11</v>
      </c>
      <c r="O578" s="14">
        <v>12</v>
      </c>
      <c r="P578" s="14">
        <v>13</v>
      </c>
      <c r="Q578" s="14">
        <v>14</v>
      </c>
      <c r="R578" s="14">
        <v>15</v>
      </c>
      <c r="S578" s="14">
        <v>16</v>
      </c>
      <c r="T578" s="14">
        <v>17</v>
      </c>
      <c r="U578" s="14">
        <v>18</v>
      </c>
      <c r="V578" s="14">
        <v>19</v>
      </c>
      <c r="W578" s="14">
        <v>20</v>
      </c>
      <c r="X578" s="14">
        <v>21</v>
      </c>
      <c r="Y578" s="14">
        <v>22</v>
      </c>
      <c r="Z578" s="14">
        <v>23</v>
      </c>
      <c r="AA578" s="14">
        <v>24</v>
      </c>
    </row>
    <row r="579" spans="1:27" s="3" customFormat="1" ht="15.75" x14ac:dyDescent="0.25">
      <c r="A579" s="81">
        <v>1</v>
      </c>
      <c r="B579" s="25">
        <v>20</v>
      </c>
      <c r="D579" s="83">
        <f t="shared" ref="D579:AA579" si="722">IF(D$1&gt;$B579,0,$C$377*D$380)</f>
        <v>0</v>
      </c>
      <c r="E579" s="83">
        <f t="shared" si="722"/>
        <v>0</v>
      </c>
      <c r="F579" s="83">
        <f t="shared" si="722"/>
        <v>0</v>
      </c>
      <c r="G579" s="83">
        <f t="shared" si="722"/>
        <v>0</v>
      </c>
      <c r="H579" s="83">
        <f t="shared" si="722"/>
        <v>0</v>
      </c>
      <c r="I579" s="83">
        <f t="shared" si="722"/>
        <v>0</v>
      </c>
      <c r="J579" s="83">
        <f t="shared" si="722"/>
        <v>0</v>
      </c>
      <c r="K579" s="83">
        <f t="shared" si="722"/>
        <v>0</v>
      </c>
      <c r="L579" s="83">
        <f t="shared" si="722"/>
        <v>0</v>
      </c>
      <c r="M579" s="83">
        <f t="shared" si="722"/>
        <v>0</v>
      </c>
      <c r="N579" s="83">
        <f t="shared" si="722"/>
        <v>0</v>
      </c>
      <c r="O579" s="83">
        <f t="shared" si="722"/>
        <v>0</v>
      </c>
      <c r="P579" s="83">
        <f t="shared" si="722"/>
        <v>0</v>
      </c>
      <c r="Q579" s="83">
        <f t="shared" si="722"/>
        <v>0</v>
      </c>
      <c r="R579" s="83">
        <f t="shared" si="722"/>
        <v>0</v>
      </c>
      <c r="S579" s="83">
        <f t="shared" si="722"/>
        <v>0</v>
      </c>
      <c r="T579" s="83">
        <f t="shared" si="722"/>
        <v>0</v>
      </c>
      <c r="U579" s="83">
        <f t="shared" si="722"/>
        <v>0</v>
      </c>
      <c r="V579" s="83">
        <f t="shared" si="722"/>
        <v>0</v>
      </c>
      <c r="W579" s="83">
        <f t="shared" si="722"/>
        <v>0</v>
      </c>
      <c r="X579" s="83">
        <f t="shared" si="722"/>
        <v>0</v>
      </c>
      <c r="Y579" s="83">
        <f t="shared" si="722"/>
        <v>0</v>
      </c>
      <c r="Z579" s="83">
        <f t="shared" si="722"/>
        <v>0</v>
      </c>
      <c r="AA579" s="83">
        <f t="shared" si="722"/>
        <v>0</v>
      </c>
    </row>
    <row r="580" spans="1:27" s="3" customFormat="1" x14ac:dyDescent="0.25">
      <c r="A580" s="14">
        <v>2</v>
      </c>
      <c r="B580" s="25">
        <v>20</v>
      </c>
      <c r="C580" s="59"/>
      <c r="D580" s="59"/>
      <c r="E580" s="83">
        <f t="shared" ref="E580:AA580" si="723">IF(E$285&gt;$B580,0,$D$377*E$380)</f>
        <v>0</v>
      </c>
      <c r="F580" s="83">
        <f t="shared" si="723"/>
        <v>0</v>
      </c>
      <c r="G580" s="83">
        <f t="shared" si="723"/>
        <v>0</v>
      </c>
      <c r="H580" s="83">
        <f t="shared" si="723"/>
        <v>0</v>
      </c>
      <c r="I580" s="83">
        <f t="shared" si="723"/>
        <v>0</v>
      </c>
      <c r="J580" s="83">
        <f t="shared" si="723"/>
        <v>0</v>
      </c>
      <c r="K580" s="83">
        <f t="shared" si="723"/>
        <v>0</v>
      </c>
      <c r="L580" s="83">
        <f t="shared" si="723"/>
        <v>0</v>
      </c>
      <c r="M580" s="83">
        <f t="shared" si="723"/>
        <v>0</v>
      </c>
      <c r="N580" s="83">
        <f t="shared" si="723"/>
        <v>0</v>
      </c>
      <c r="O580" s="83">
        <f t="shared" si="723"/>
        <v>0</v>
      </c>
      <c r="P580" s="83">
        <f t="shared" si="723"/>
        <v>0</v>
      </c>
      <c r="Q580" s="83">
        <f t="shared" si="723"/>
        <v>0</v>
      </c>
      <c r="R580" s="83">
        <f t="shared" si="723"/>
        <v>0</v>
      </c>
      <c r="S580" s="83">
        <f t="shared" si="723"/>
        <v>0</v>
      </c>
      <c r="T580" s="83">
        <f t="shared" si="723"/>
        <v>0</v>
      </c>
      <c r="U580" s="83">
        <f t="shared" si="723"/>
        <v>0</v>
      </c>
      <c r="V580" s="83">
        <f t="shared" si="723"/>
        <v>0</v>
      </c>
      <c r="W580" s="83">
        <f t="shared" si="723"/>
        <v>0</v>
      </c>
      <c r="X580" s="83">
        <f t="shared" si="723"/>
        <v>0</v>
      </c>
      <c r="Y580" s="83">
        <f t="shared" si="723"/>
        <v>0</v>
      </c>
      <c r="Z580" s="83">
        <f t="shared" si="723"/>
        <v>0</v>
      </c>
      <c r="AA580" s="83">
        <f t="shared" si="723"/>
        <v>0</v>
      </c>
    </row>
    <row r="581" spans="1:27" s="3" customFormat="1" x14ac:dyDescent="0.25">
      <c r="A581" s="14">
        <v>3</v>
      </c>
      <c r="B581" s="25">
        <v>20</v>
      </c>
      <c r="C581" s="59"/>
      <c r="D581" s="59"/>
      <c r="E581" s="59"/>
      <c r="F581" s="83">
        <f>IF(F$285&gt;$B581,0,E$280*F$283)</f>
        <v>0</v>
      </c>
      <c r="G581" s="83">
        <f>IF((G$98-$E$98)&gt;$B581,0,($E573-SUM($F581:F581))*$F576)</f>
        <v>0</v>
      </c>
      <c r="H581" s="83">
        <f>IF((H$98-$E$98)&gt;$B581,0,($E573-SUM($F581:G581))*$F576)</f>
        <v>0</v>
      </c>
      <c r="I581" s="83">
        <f>IF((I$98-$E$98)&gt;$B581,0,($E573-SUM($F581:H581))*$F576)</f>
        <v>0</v>
      </c>
      <c r="J581" s="83">
        <f>IF((J$98-$E$98)&gt;$B581,0,($E573-SUM($F581:I581))*$F576)</f>
        <v>0</v>
      </c>
      <c r="K581" s="83">
        <f>IF((K$98-$E$98)&gt;$B581,0,($E573-SUM($F581:J581))*$F576)</f>
        <v>0</v>
      </c>
      <c r="L581" s="83">
        <f>IF((L$98-$E$98)&gt;$B581,0,($E573-SUM($F581:K581))*$F576)</f>
        <v>0</v>
      </c>
      <c r="M581" s="83">
        <f>IF((M$98-$E$98)&gt;$B581,0,($E573-SUM($F581:L581))*$F576)</f>
        <v>0</v>
      </c>
      <c r="N581" s="83">
        <f>IF((N$98-$E$98)&gt;$B581,0,($E573-SUM($F581:M581))*$F576)</f>
        <v>0</v>
      </c>
      <c r="O581" s="83">
        <f>IF((O$98-$E$98)&gt;$B581,0,($E573-SUM($F581:N581))*$F576)</f>
        <v>0</v>
      </c>
      <c r="P581" s="83">
        <f>IF((P$98-$E$98)&gt;$B581,0,($E573-SUM($F581:O581))*$F576)</f>
        <v>0</v>
      </c>
      <c r="Q581" s="83">
        <f>IF((Q$98-$E$98)&gt;$B581,0,($E573-SUM($F581:P581))*$F576)</f>
        <v>0</v>
      </c>
      <c r="R581" s="83">
        <f>IF((R$98-$E$98)&gt;$B581,0,($E573-SUM($F581:Q581))*$F576)</f>
        <v>0</v>
      </c>
      <c r="S581" s="83">
        <f>IF((S$98-$E$98)&gt;$B581,0,($E573-SUM($F581:R581))*$F576)</f>
        <v>0</v>
      </c>
      <c r="T581" s="83">
        <f>IF((T$98-$E$98)&gt;$B581,0,($E573-SUM($F581:S581))*$F576)</f>
        <v>0</v>
      </c>
      <c r="U581" s="83">
        <f>IF((U$98-$E$98)&gt;$B581,0,($E573-SUM($F581:T581))*$F576)</f>
        <v>0</v>
      </c>
      <c r="V581" s="83">
        <f>IF((V$98-$E$98)&gt;$B581,0,($E573-SUM($F581:U581))*$F576)</f>
        <v>0</v>
      </c>
      <c r="W581" s="83">
        <f>IF((W$98-$E$98)&gt;$B581,0,($E573-SUM($F581:V581))*$F576)</f>
        <v>0</v>
      </c>
      <c r="X581" s="83">
        <f>IF((X$98-$E$98)&gt;$B581,0,($E573-SUM($F581:W581))*$F576)</f>
        <v>0</v>
      </c>
      <c r="Y581" s="83">
        <f>IF((Y$98-$E$98)&gt;$B581,0,($E573-SUM($F581:X581))*$F576)</f>
        <v>0</v>
      </c>
      <c r="Z581" s="83">
        <f>IF((Z$98-$E$98)&gt;$B581,0,($E573-SUM($F581:Y581))*$F576)</f>
        <v>0</v>
      </c>
      <c r="AA581" s="83">
        <f>IF((AA$98-$E$98)&gt;$B581,0,($E573-SUM($F581:Z581))*$F576)</f>
        <v>0</v>
      </c>
    </row>
    <row r="582" spans="1:27" s="3" customFormat="1" x14ac:dyDescent="0.25">
      <c r="A582" s="14">
        <v>4</v>
      </c>
      <c r="B582" s="25">
        <v>20</v>
      </c>
      <c r="C582" s="59"/>
      <c r="D582" s="59"/>
      <c r="E582" s="59"/>
      <c r="F582" s="59"/>
      <c r="G582" s="83">
        <f>IF(G$285&gt;$B582,0,F$280*G$283)</f>
        <v>0</v>
      </c>
      <c r="H582" s="83">
        <f>IF((H$98-$F$98)&gt;$B582,0,($F$131-SUM($G582:G582))*$G576)</f>
        <v>0</v>
      </c>
      <c r="I582" s="83">
        <f>IF((I$98-$F$98)&gt;$B582,0,($F$131-SUM($G582:H582))*$G576)</f>
        <v>0</v>
      </c>
      <c r="J582" s="83">
        <f>IF((J$98-$F$98)&gt;$B582,0,($F$131-SUM($G582:I582))*$G576)</f>
        <v>0</v>
      </c>
      <c r="K582" s="83">
        <f>IF((K$98-$F$98)&gt;$B582,0,($F$131-SUM($G582:J582))*$G576)</f>
        <v>0</v>
      </c>
      <c r="L582" s="83">
        <f>IF((L$98-$F$98)&gt;$B582,0,($F$131-SUM($G582:K582))*$G576)</f>
        <v>0</v>
      </c>
      <c r="M582" s="83">
        <f>IF((M$98-$F$98)&gt;$B582,0,($F$131-SUM($G582:L582))*$G576)</f>
        <v>0</v>
      </c>
      <c r="N582" s="83">
        <f>IF((N$98-$F$98)&gt;$B582,0,($F$131-SUM($G582:M582))*$G576)</f>
        <v>0</v>
      </c>
      <c r="O582" s="83">
        <f>IF((O$98-$F$98)&gt;$B582,0,($F$131-SUM($G582:N582))*$G576)</f>
        <v>0</v>
      </c>
      <c r="P582" s="83">
        <f>IF((P$98-$F$98)&gt;$B582,0,($F$131-SUM($G582:O582))*$G576)</f>
        <v>0</v>
      </c>
      <c r="Q582" s="83">
        <f>IF((Q$98-$F$98)&gt;$B582,0,($F$131-SUM($G582:P582))*$G576)</f>
        <v>0</v>
      </c>
      <c r="R582" s="83">
        <f>IF((R$98-$F$98)&gt;$B582,0,($F$131-SUM($G582:Q582))*$G576)</f>
        <v>0</v>
      </c>
      <c r="S582" s="83">
        <f>IF((S$98-$F$98)&gt;$B582,0,($F$131-SUM($G582:R582))*$G576)</f>
        <v>0</v>
      </c>
      <c r="T582" s="83">
        <f>IF((T$98-$F$98)&gt;$B582,0,($F$131-SUM($G582:S582))*$G576)</f>
        <v>0</v>
      </c>
      <c r="U582" s="83">
        <f>IF((U$98-$F$98)&gt;$B582,0,($F$131-SUM($G582:T582))*$G576)</f>
        <v>0</v>
      </c>
      <c r="V582" s="83">
        <f>IF((V$98-$F$98)&gt;$B582,0,($F$131-SUM($G582:U582))*$G576)</f>
        <v>0</v>
      </c>
      <c r="W582" s="83">
        <f>IF((W$98-$F$98)&gt;$B582,0,($F$131-SUM($G582:V582))*$G576)</f>
        <v>0</v>
      </c>
      <c r="X582" s="83">
        <f>IF((X$98-$F$98)&gt;$B582,0,($F$131-SUM($G582:W582))*$G576)</f>
        <v>0</v>
      </c>
      <c r="Y582" s="83">
        <f>IF((Y$98-$F$98)&gt;$B582,0,($F$131-SUM($G582:X582))*$G576)</f>
        <v>0</v>
      </c>
      <c r="Z582" s="83">
        <f>IF((Z$98-$F$98)&gt;$B582,0,($F$131-SUM($G582:Y582))*$G576)</f>
        <v>0</v>
      </c>
      <c r="AA582" s="83">
        <f>IF((AA$98-$F$98)&gt;$B582,0,($F$131-SUM($G582:Z582))*$G576)</f>
        <v>0</v>
      </c>
    </row>
    <row r="583" spans="1:27" s="3" customFormat="1" ht="15.75" x14ac:dyDescent="0.25">
      <c r="A583" s="81">
        <v>5</v>
      </c>
      <c r="B583" s="25">
        <v>20</v>
      </c>
      <c r="C583" s="59"/>
      <c r="D583" s="59"/>
      <c r="E583" s="59"/>
      <c r="F583" s="59"/>
      <c r="G583" s="59"/>
      <c r="H583" s="83">
        <f>IF(H$285&gt;$B583,0,G$280*H$283)</f>
        <v>0</v>
      </c>
      <c r="I583" s="83">
        <f>IF((I$98-$G$98)&gt;$B583,0,($G$131-SUM($H583:H583))*$H576)</f>
        <v>0</v>
      </c>
      <c r="J583" s="83">
        <f>IF((J$98-$G$98)&gt;$B583,0,($G$131-SUM($H583:I583))*$H576)</f>
        <v>0</v>
      </c>
      <c r="K583" s="83">
        <f>IF((K$98-$G$98)&gt;$B583,0,($G$131-SUM($H583:J583))*$H576)</f>
        <v>0</v>
      </c>
      <c r="L583" s="83">
        <f>IF((L$98-$G$98)&gt;$B583,0,($G$131-SUM($H583:K583))*$H576)</f>
        <v>0</v>
      </c>
      <c r="M583" s="83">
        <f>IF((M$98-$G$98)&gt;$B583,0,($G$131-SUM($H583:L583))*$H576)</f>
        <v>0</v>
      </c>
      <c r="N583" s="83">
        <f>IF((N$98-$G$98)&gt;$B583,0,($G$131-SUM($H583:M583))*$H576)</f>
        <v>0</v>
      </c>
      <c r="O583" s="83">
        <f>IF((O$98-$G$98)&gt;$B583,0,($G$131-SUM($H583:N583))*$H576)</f>
        <v>0</v>
      </c>
      <c r="P583" s="83">
        <f>IF((P$98-$G$98)&gt;$B583,0,($G$131-SUM($H583:O583))*$H576)</f>
        <v>0</v>
      </c>
      <c r="Q583" s="83">
        <f>IF((Q$98-$G$98)&gt;$B583,0,($G$131-SUM($H583:P583))*$H576)</f>
        <v>0</v>
      </c>
      <c r="R583" s="83">
        <f>IF((R$98-$G$98)&gt;$B583,0,($G$131-SUM($H583:Q583))*$H576)</f>
        <v>0</v>
      </c>
      <c r="S583" s="83">
        <f>IF((S$98-$G$98)&gt;$B583,0,($G$131-SUM($H583:R583))*$H576)</f>
        <v>0</v>
      </c>
      <c r="T583" s="83">
        <f>IF((T$98-$G$98)&gt;$B583,0,($G$131-SUM($H583:S583))*$H576)</f>
        <v>0</v>
      </c>
      <c r="U583" s="83">
        <f>IF((U$98-$G$98)&gt;$B583,0,($G$131-SUM($H583:T583))*$H576)</f>
        <v>0</v>
      </c>
      <c r="V583" s="83">
        <f>IF((V$98-$G$98)&gt;$B583,0,($G$131-SUM($H583:U583))*$H576)</f>
        <v>0</v>
      </c>
      <c r="W583" s="83">
        <f>IF((W$98-$G$98)&gt;$B583,0,($G$131-SUM($H583:V583))*$H576)</f>
        <v>0</v>
      </c>
      <c r="X583" s="83">
        <f>IF((X$98-$G$98)&gt;$B583,0,($G$131-SUM($H583:W583))*$H576)</f>
        <v>0</v>
      </c>
      <c r="Y583" s="83">
        <f>IF((Y$98-$G$98)&gt;$B583,0,($G$131-SUM($H583:X583))*$H576)</f>
        <v>0</v>
      </c>
      <c r="Z583" s="83">
        <f>IF((Z$98-$G$98)&gt;$B583,0,($G$131-SUM($H583:Y583))*$H576)</f>
        <v>0</v>
      </c>
      <c r="AA583" s="83">
        <f>IF((AA$98-$G$98)&gt;$B583,0,($G$131-SUM($H583:Z583))*$H576)</f>
        <v>0</v>
      </c>
    </row>
    <row r="584" spans="1:27" s="3" customFormat="1" x14ac:dyDescent="0.25">
      <c r="A584" s="14">
        <v>6</v>
      </c>
      <c r="B584" s="25">
        <v>20</v>
      </c>
      <c r="C584" s="59"/>
      <c r="D584" s="59"/>
      <c r="E584" s="59"/>
      <c r="F584" s="59"/>
      <c r="G584" s="59"/>
      <c r="H584" s="59"/>
      <c r="I584" s="83">
        <f>IF(I$285&gt;$B584,0,H$280*I$283)</f>
        <v>0</v>
      </c>
      <c r="J584" s="83">
        <f>IF((J$98-$H$98)&gt;$B584,0,($H$131-SUM($I584:I584))*$I576)</f>
        <v>0</v>
      </c>
      <c r="K584" s="83">
        <f>IF((K$98-$H$98)&gt;$B584,0,($H$131-SUM($I584:J584))*$I576)</f>
        <v>0</v>
      </c>
      <c r="L584" s="83">
        <f>IF((L$98-$H$98)&gt;$B584,0,($H$131-SUM($I584:K584))*$I576)</f>
        <v>0</v>
      </c>
      <c r="M584" s="83">
        <f>IF((M$98-$H$98)&gt;$B584,0,($H$131-SUM($I584:L584))*$I576)</f>
        <v>0</v>
      </c>
      <c r="N584" s="83">
        <f>IF((N$98-$H$98)&gt;$B584,0,($H$131-SUM($I584:M584))*$I576)</f>
        <v>0</v>
      </c>
      <c r="O584" s="83">
        <f>IF((O$98-$H$98)&gt;$B584,0,($H$131-SUM($I584:N584))*$I576)</f>
        <v>0</v>
      </c>
      <c r="P584" s="83">
        <f>IF((P$98-$H$98)&gt;$B584,0,($H$131-SUM($I584:O584))*$I576)</f>
        <v>0</v>
      </c>
      <c r="Q584" s="83">
        <f>IF((Q$98-$H$98)&gt;$B584,0,($H$131-SUM($I584:P584))*$I576)</f>
        <v>0</v>
      </c>
      <c r="R584" s="83">
        <f>IF((R$98-$H$98)&gt;$B584,0,($H$131-SUM($I584:Q584))*$I576)</f>
        <v>0</v>
      </c>
      <c r="S584" s="83">
        <f>IF((S$98-$H$98)&gt;$B584,0,($H$131-SUM($I584:R584))*$I576)</f>
        <v>0</v>
      </c>
      <c r="T584" s="83">
        <f>IF((T$98-$H$98)&gt;$B584,0,($H$131-SUM($I584:S584))*$I576)</f>
        <v>0</v>
      </c>
      <c r="U584" s="83">
        <f>IF((U$98-$H$98)&gt;$B584,0,($H$131-SUM($I584:T584))*$I576)</f>
        <v>0</v>
      </c>
      <c r="V584" s="83">
        <f>IF((V$98-$H$98)&gt;$B584,0,($H$131-SUM($I584:U584))*$I576)</f>
        <v>0</v>
      </c>
      <c r="W584" s="83">
        <f>IF((W$98-$H$98)&gt;$B584,0,($H$131-SUM($I584:V584))*$I576)</f>
        <v>0</v>
      </c>
      <c r="X584" s="83">
        <f>IF((X$98-$H$98)&gt;$B584,0,($H$131-SUM($I584:W584))*$I576)</f>
        <v>0</v>
      </c>
      <c r="Y584" s="83">
        <f>IF((Y$98-$H$98)&gt;$B584,0,($H$131-SUM($I584:X584))*$I576)</f>
        <v>0</v>
      </c>
      <c r="Z584" s="83">
        <f>IF((Z$98-$H$98)&gt;$B584,0,($H$131-SUM($I584:Y584))*$I576)</f>
        <v>0</v>
      </c>
      <c r="AA584" s="83">
        <f>IF((AA$98-$H$98)&gt;$B584,0,($H$131-SUM($I584:Z584))*$I576)</f>
        <v>0</v>
      </c>
    </row>
    <row r="585" spans="1:27" s="3" customFormat="1" x14ac:dyDescent="0.25">
      <c r="A585" s="14">
        <v>7</v>
      </c>
      <c r="B585" s="25">
        <v>20</v>
      </c>
      <c r="C585" s="59"/>
      <c r="D585" s="59"/>
      <c r="E585" s="59"/>
      <c r="F585" s="59"/>
      <c r="G585" s="59"/>
      <c r="H585" s="59"/>
      <c r="I585" s="59"/>
      <c r="J585" s="83">
        <f>IF(J$285&gt;$B585,0,I$280*J$283)</f>
        <v>0</v>
      </c>
      <c r="K585" s="83">
        <f>IF((K$98-$I$98)&gt;$B585,0,($I$160-SUM($J585:J585))*$J576)</f>
        <v>0</v>
      </c>
      <c r="L585" s="83">
        <f>IF((L$98-$I$98)&gt;$B585,0,($I$160-SUM($J585:K585))*$J576)</f>
        <v>0</v>
      </c>
      <c r="M585" s="83">
        <f>IF((M$98-$I$98)&gt;$B585,0,($I$160-SUM($J585:L585))*$J576)</f>
        <v>0</v>
      </c>
      <c r="N585" s="83">
        <f>IF((N$98-$I$98)&gt;$B585,0,($I$160-SUM($J585:M585))*$J576)</f>
        <v>0</v>
      </c>
      <c r="O585" s="83">
        <f>IF((O$98-$I$98)&gt;$B585,0,($I$160-SUM($J585:N585))*$J576)</f>
        <v>0</v>
      </c>
      <c r="P585" s="83">
        <f>IF((P$98-$I$98)&gt;$B585,0,($I$160-SUM($J585:O585))*$J576)</f>
        <v>0</v>
      </c>
      <c r="Q585" s="83">
        <f>IF((Q$98-$I$98)&gt;$B585,0,($I$160-SUM($J585:P585))*$J576)</f>
        <v>0</v>
      </c>
      <c r="R585" s="83">
        <f>IF((R$98-$I$98)&gt;$B585,0,($I$160-SUM($J585:Q585))*$J576)</f>
        <v>0</v>
      </c>
      <c r="S585" s="83">
        <f>IF((S$98-$I$98)&gt;$B585,0,($I$160-SUM($J585:R585))*$J576)</f>
        <v>0</v>
      </c>
      <c r="T585" s="83">
        <f>IF((T$98-$I$98)&gt;$B585,0,($I$160-SUM($J585:S585))*$J576)</f>
        <v>0</v>
      </c>
      <c r="U585" s="83">
        <f>IF((U$98-$I$98)&gt;$B585,0,($I$160-SUM($J585:T585))*$J576)</f>
        <v>0</v>
      </c>
      <c r="V585" s="83">
        <f>IF((V$98-$I$98)&gt;$B585,0,($I$160-SUM($J585:U585))*$J576)</f>
        <v>0</v>
      </c>
      <c r="W585" s="83">
        <f>IF((W$98-$I$98)&gt;$B585,0,($I$160-SUM($J585:V585))*$J576)</f>
        <v>0</v>
      </c>
      <c r="X585" s="83">
        <f>IF((X$98-$I$98)&gt;$B585,0,($I$160-SUM($J585:W585))*$J576)</f>
        <v>0</v>
      </c>
      <c r="Y585" s="83">
        <f>IF((Y$98-$I$98)&gt;$B585,0,($I$160-SUM($J585:X585))*$J576)</f>
        <v>0</v>
      </c>
      <c r="Z585" s="83">
        <f>IF((Z$98-$I$98)&gt;$B585,0,($I$160-SUM($J585:Y585))*$J576)</f>
        <v>0</v>
      </c>
      <c r="AA585" s="83">
        <f>IF((AA$98-$I$98)&gt;$B585,0,($I$160-SUM($J585:Z585))*$J576)</f>
        <v>0</v>
      </c>
    </row>
    <row r="586" spans="1:27" s="3" customFormat="1" ht="15.75" x14ac:dyDescent="0.25">
      <c r="A586" s="81">
        <v>8</v>
      </c>
      <c r="B586" s="25">
        <v>20</v>
      </c>
      <c r="C586" s="59"/>
      <c r="D586" s="59"/>
      <c r="E586" s="59"/>
      <c r="F586" s="59"/>
      <c r="G586" s="59"/>
      <c r="H586" s="59"/>
      <c r="I586" s="59"/>
      <c r="J586" s="59"/>
      <c r="K586" s="83">
        <f>IF(K$285&gt;$B586,0,J$280*K$283)</f>
        <v>0</v>
      </c>
      <c r="L586" s="83">
        <f>IF((L$98-$J$98)&gt;$B586,0,($J$160-SUM($K586:K586))*$K576)</f>
        <v>0</v>
      </c>
      <c r="M586" s="83">
        <f>IF((M$98-$J$98)&gt;$B586,0,($J$160-SUM($K586:L586))*$K576)</f>
        <v>0</v>
      </c>
      <c r="N586" s="83">
        <f>IF((N$98-$J$98)&gt;$B586,0,($J$160-SUM($K586:M586))*$K576)</f>
        <v>0</v>
      </c>
      <c r="O586" s="83">
        <f>IF((O$98-$J$98)&gt;$B586,0,($J$160-SUM($K586:N586))*$K576)</f>
        <v>0</v>
      </c>
      <c r="P586" s="83">
        <f>IF((P$98-$J$98)&gt;$B586,0,($J$160-SUM($K586:O586))*$K576)</f>
        <v>0</v>
      </c>
      <c r="Q586" s="83">
        <f>IF((Q$98-$J$98)&gt;$B586,0,($J$160-SUM($K586:P586))*$K576)</f>
        <v>0</v>
      </c>
      <c r="R586" s="83">
        <f>IF((R$98-$J$98)&gt;$B586,0,($J$160-SUM($K586:Q586))*$K576)</f>
        <v>0</v>
      </c>
      <c r="S586" s="83">
        <f>IF((S$98-$J$98)&gt;$B586,0,($J$160-SUM($K586:R586))*$K576)</f>
        <v>0</v>
      </c>
      <c r="T586" s="83">
        <f>IF((T$98-$J$98)&gt;$B586,0,($J$160-SUM($K586:S586))*$K576)</f>
        <v>0</v>
      </c>
      <c r="U586" s="83">
        <f>IF((U$98-$J$98)&gt;$B586,0,($J$160-SUM($K586:T586))*$K576)</f>
        <v>0</v>
      </c>
      <c r="V586" s="83">
        <f>IF((V$98-$J$98)&gt;$B586,0,($J$160-SUM($K586:U586))*$K576)</f>
        <v>0</v>
      </c>
      <c r="W586" s="83">
        <f>IF((W$98-$J$98)&gt;$B586,0,($J$160-SUM($K586:V586))*$K576)</f>
        <v>0</v>
      </c>
      <c r="X586" s="83">
        <f>IF((X$98-$J$98)&gt;$B586,0,($J$160-SUM($K586:W586))*$K576)</f>
        <v>0</v>
      </c>
      <c r="Y586" s="83">
        <f>IF((Y$98-$J$98)&gt;$B586,0,($J$160-SUM($K586:X586))*$K576)</f>
        <v>0</v>
      </c>
      <c r="Z586" s="83">
        <f>IF((Z$98-$J$98)&gt;$B586,0,($J$160-SUM($K586:Y586))*$K576)</f>
        <v>0</v>
      </c>
      <c r="AA586" s="83">
        <f>IF((AA$98-$J$98)&gt;$B586,0,($J$160-SUM($K586:Z586))*$K576)</f>
        <v>0</v>
      </c>
    </row>
    <row r="587" spans="1:27" s="3" customFormat="1" ht="15.75" x14ac:dyDescent="0.25">
      <c r="A587" s="81">
        <v>9</v>
      </c>
      <c r="B587" s="25">
        <v>20</v>
      </c>
      <c r="C587" s="59"/>
      <c r="D587" s="59"/>
      <c r="E587" s="59"/>
      <c r="F587" s="59"/>
      <c r="G587" s="59"/>
      <c r="H587" s="59"/>
      <c r="I587" s="59"/>
      <c r="J587" s="59"/>
      <c r="K587" s="83"/>
      <c r="L587" s="83">
        <f>IF(L$285&gt;$B587,0,K$280*L$283)</f>
        <v>0</v>
      </c>
      <c r="M587" s="83">
        <f>IF((M$98-$K$98)&gt;$B586,0,($K$160-SUM(L587:L587))*$L576)</f>
        <v>0</v>
      </c>
      <c r="N587" s="83">
        <f>IF((N$98-$K$98)&gt;$B586,0,($K$160*$L576))</f>
        <v>0</v>
      </c>
      <c r="O587" s="83">
        <f>IF((O$98-$K$98)&gt;$B586,0,($K$160-SUM(N587:N587))*$L576)</f>
        <v>0</v>
      </c>
      <c r="P587" s="83">
        <f>IF((P$98-$K$98)&gt;$B586,0,($K$160*$L576))</f>
        <v>0</v>
      </c>
      <c r="Q587" s="83">
        <f>IF((Q$98-$K$98)&gt;$B586,0,($K$160-SUM(P587:P587))*$L576)</f>
        <v>0</v>
      </c>
      <c r="R587" s="83">
        <f>IF((R$98-$K$98)&gt;$B586,0,($K$160*$L576))</f>
        <v>0</v>
      </c>
      <c r="S587" s="83">
        <f>IF((S$98-$K$98)&gt;$B586,0,($K$160-SUM(R587:R587))*$L576)</f>
        <v>0</v>
      </c>
      <c r="T587" s="83">
        <f>IF((T$98-$K$98)&gt;$B586,0,($K$160*$L576))</f>
        <v>0</v>
      </c>
      <c r="U587" s="83">
        <f>IF((U$98-$K$98)&gt;$B586,0,($K$160-SUM(T587:T587))*$L576)</f>
        <v>0</v>
      </c>
      <c r="V587" s="83">
        <f>IF((V$98-$K$98)&gt;$B586,0,($K$160*$L576))</f>
        <v>0</v>
      </c>
      <c r="W587" s="83">
        <f>IF((W$98-$K$98)&gt;$B586,0,($K$160-SUM(V587:V587))*$L576)</f>
        <v>0</v>
      </c>
      <c r="X587" s="83">
        <f>IF((X$98-$K$98)&gt;$B586,0,($K$160-SUM(W587:W587))*$L576)</f>
        <v>0</v>
      </c>
      <c r="Y587" s="83">
        <f>IF((Y$98-$K$98)&gt;$B586,0,($K$160*$L576))</f>
        <v>0</v>
      </c>
      <c r="Z587" s="83">
        <f>IF((Z$98-$K$98)&gt;$B586,0,($K$160-SUM(Y587:Y587))*$L576)</f>
        <v>0</v>
      </c>
      <c r="AA587" s="83">
        <f>IF((AA$98-$K$98)&gt;$B586,0,($K$160-SUM(Z587:Z587))*$L576)</f>
        <v>0</v>
      </c>
    </row>
    <row r="588" spans="1:27" s="3" customFormat="1" ht="15.75" x14ac:dyDescent="0.25">
      <c r="A588" s="81">
        <v>10</v>
      </c>
      <c r="B588" s="25">
        <v>20</v>
      </c>
      <c r="C588" s="59"/>
      <c r="D588" s="59"/>
      <c r="E588" s="59"/>
      <c r="F588" s="59"/>
      <c r="G588" s="59"/>
      <c r="H588" s="59"/>
      <c r="I588" s="59"/>
      <c r="J588" s="59"/>
      <c r="K588" s="83"/>
      <c r="L588" s="83"/>
      <c r="M588" s="83">
        <f>IF(M$285&gt;$B588,0,L$280*M$283)</f>
        <v>0</v>
      </c>
      <c r="N588" s="83"/>
      <c r="O588" s="83">
        <f>IF((O$98-$L$98)&gt;$B586,0,$L$160*$M576)</f>
        <v>0</v>
      </c>
      <c r="P588" s="83"/>
      <c r="Q588" s="83">
        <f>IF((Q$98-$L$98)&gt;$B586,0,$L$160*$M576)</f>
        <v>0</v>
      </c>
      <c r="R588" s="83"/>
      <c r="S588" s="83">
        <f>IF((S$98-$L$98)&gt;$B586,0,$L$160*$M576)</f>
        <v>0</v>
      </c>
      <c r="T588" s="83"/>
      <c r="U588" s="83">
        <f>IF((U$98-$L$98)&gt;$B586,0,$L$160*$M576)</f>
        <v>0</v>
      </c>
      <c r="V588" s="83"/>
      <c r="W588" s="83">
        <f>IF((W$98-$L$98)&gt;$B586,0,$L$160*$M576)</f>
        <v>0</v>
      </c>
      <c r="X588" s="83">
        <f>IF((X$98-$L$98)&gt;$B586,0,$L$160*$M576)</f>
        <v>0</v>
      </c>
      <c r="Y588" s="83"/>
      <c r="Z588" s="83">
        <f>IF((Z$98-$L$98)&gt;$B586,0,$L$160*$M576)</f>
        <v>0</v>
      </c>
      <c r="AA588" s="83">
        <f>IF((AA$98-$L$98)&gt;$B586,0,$L$160*$M576)</f>
        <v>0</v>
      </c>
    </row>
    <row r="589" spans="1:27" s="3" customFormat="1" ht="15.75" x14ac:dyDescent="0.25">
      <c r="A589" s="81">
        <v>11</v>
      </c>
      <c r="B589" s="25">
        <v>20</v>
      </c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3">
        <f>IF(N$285&gt;$B589,0,M$280*N$283)</f>
        <v>0</v>
      </c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</row>
    <row r="590" spans="1:27" s="3" customFormat="1" ht="15.75" x14ac:dyDescent="0.25">
      <c r="A590" s="81">
        <v>12</v>
      </c>
      <c r="B590" s="25">
        <v>20</v>
      </c>
      <c r="C590" s="59"/>
      <c r="D590" s="59"/>
      <c r="E590" s="59"/>
      <c r="F590" s="59"/>
      <c r="G590" s="59"/>
      <c r="H590" s="59"/>
      <c r="I590" s="59"/>
      <c r="J590" s="59"/>
      <c r="K590" s="83"/>
      <c r="O590" s="83">
        <f>IF(O$285&gt;$B590,0,N$280*O$283)</f>
        <v>0</v>
      </c>
    </row>
    <row r="591" spans="1:27" s="3" customFormat="1" ht="15.75" x14ac:dyDescent="0.25">
      <c r="A591" s="81">
        <v>13</v>
      </c>
      <c r="B591" s="25">
        <v>20</v>
      </c>
      <c r="C591" s="59"/>
      <c r="D591" s="176"/>
      <c r="E591" s="176"/>
      <c r="F591" s="176"/>
      <c r="G591" s="176"/>
      <c r="H591" s="176"/>
      <c r="I591" s="176"/>
      <c r="J591" s="176"/>
      <c r="K591" s="176"/>
      <c r="P591" s="83">
        <f>IF(P$285&gt;$B591,0,O$280*P$283)</f>
        <v>0</v>
      </c>
    </row>
    <row r="592" spans="1:27" s="3" customFormat="1" ht="15.75" x14ac:dyDescent="0.25">
      <c r="A592" s="396">
        <v>14</v>
      </c>
      <c r="B592" s="25">
        <v>20</v>
      </c>
      <c r="Q592" s="83">
        <f>IF(Q$285&gt;$B592,0,P$280*Q$283)</f>
        <v>0</v>
      </c>
    </row>
    <row r="593" spans="1:27" s="3" customFormat="1" ht="15.75" x14ac:dyDescent="0.25">
      <c r="A593" s="396">
        <v>15</v>
      </c>
      <c r="B593" s="25">
        <v>20</v>
      </c>
      <c r="R593" s="83">
        <f>IF(R$285&gt;$B593,0,Q$280*R$283)</f>
        <v>0</v>
      </c>
    </row>
    <row r="594" spans="1:27" s="3" customFormat="1" ht="15.75" x14ac:dyDescent="0.25">
      <c r="A594" s="396">
        <v>16</v>
      </c>
      <c r="B594" s="25">
        <v>20</v>
      </c>
      <c r="S594" s="83">
        <f>IF(S$285&gt;$B594,0,R$280*S$283)</f>
        <v>0</v>
      </c>
    </row>
    <row r="595" spans="1:27" s="3" customFormat="1" ht="15.75" x14ac:dyDescent="0.25">
      <c r="A595" s="396">
        <v>17</v>
      </c>
      <c r="B595" s="25">
        <v>20</v>
      </c>
      <c r="T595" s="83">
        <f>IF(T$285&gt;$B595,0,S$280*T$283)</f>
        <v>0</v>
      </c>
    </row>
    <row r="596" spans="1:27" s="3" customFormat="1" ht="15.75" x14ac:dyDescent="0.25">
      <c r="A596" s="396">
        <v>18</v>
      </c>
      <c r="B596" s="25">
        <v>20</v>
      </c>
      <c r="U596" s="83">
        <f>IF(U$285&gt;$B596,0,T$280*U$283)</f>
        <v>0</v>
      </c>
    </row>
    <row r="597" spans="1:27" s="3" customFormat="1" ht="15.75" x14ac:dyDescent="0.25">
      <c r="A597" s="396">
        <v>19</v>
      </c>
      <c r="B597" s="25">
        <v>20</v>
      </c>
      <c r="V597" s="83">
        <f>IF(V$285&gt;$B597,0,U$280*V$283)</f>
        <v>0</v>
      </c>
    </row>
    <row r="598" spans="1:27" s="3" customFormat="1" ht="15.75" x14ac:dyDescent="0.25">
      <c r="A598" s="396">
        <v>20</v>
      </c>
      <c r="B598" s="25">
        <v>20</v>
      </c>
      <c r="W598" s="83">
        <f>IF(W$285&gt;$B598,0,V$280*W$283)</f>
        <v>0</v>
      </c>
    </row>
    <row r="599" spans="1:27" s="3" customFormat="1" ht="15.75" x14ac:dyDescent="0.25">
      <c r="A599" s="396">
        <v>21</v>
      </c>
      <c r="B599" s="25">
        <v>20</v>
      </c>
      <c r="X599" s="83">
        <f>IF(X$285&gt;$B599,0,W$280*X$283)</f>
        <v>0</v>
      </c>
    </row>
    <row r="600" spans="1:27" s="3" customFormat="1" ht="15.75" x14ac:dyDescent="0.25">
      <c r="A600" s="396">
        <v>22</v>
      </c>
      <c r="B600" s="25">
        <v>20</v>
      </c>
      <c r="Y600" s="83">
        <f>IF(Y$285&gt;$B600,0,X$280*Y$283)</f>
        <v>0</v>
      </c>
    </row>
    <row r="601" spans="1:27" s="3" customFormat="1" ht="15.75" x14ac:dyDescent="0.25">
      <c r="A601" s="396">
        <v>23</v>
      </c>
      <c r="B601" s="25">
        <v>20</v>
      </c>
      <c r="Z601" s="83">
        <f>IF(Z$285&gt;$B601,0,Y$280*Z$283)</f>
        <v>0</v>
      </c>
    </row>
    <row r="602" spans="1:27" s="3" customFormat="1" ht="15.75" x14ac:dyDescent="0.25">
      <c r="A602" s="396">
        <v>24</v>
      </c>
      <c r="B602" s="25">
        <v>20</v>
      </c>
      <c r="AA602" s="83">
        <f>IF(AA$285&gt;$B602,0,Z$280*AA$283)</f>
        <v>0</v>
      </c>
    </row>
    <row r="603" spans="1:27" s="3" customFormat="1" x14ac:dyDescent="0.25">
      <c r="A603" s="3" t="s">
        <v>302</v>
      </c>
      <c r="D603" s="401">
        <f>SUM(D579:D602)</f>
        <v>0</v>
      </c>
      <c r="E603" s="401">
        <f>SUM(E579:E602)</f>
        <v>0</v>
      </c>
      <c r="F603" s="401">
        <f t="shared" ref="F603:AA603" si="724">SUM(F579:F602)</f>
        <v>0</v>
      </c>
      <c r="G603" s="401">
        <f t="shared" si="724"/>
        <v>0</v>
      </c>
      <c r="H603" s="401">
        <f t="shared" si="724"/>
        <v>0</v>
      </c>
      <c r="I603" s="401">
        <f t="shared" si="724"/>
        <v>0</v>
      </c>
      <c r="J603" s="401">
        <f t="shared" si="724"/>
        <v>0</v>
      </c>
      <c r="K603" s="401">
        <f t="shared" si="724"/>
        <v>0</v>
      </c>
      <c r="L603" s="401">
        <f t="shared" si="724"/>
        <v>0</v>
      </c>
      <c r="M603" s="401">
        <f t="shared" si="724"/>
        <v>0</v>
      </c>
      <c r="N603" s="401">
        <f t="shared" si="724"/>
        <v>0</v>
      </c>
      <c r="O603" s="401">
        <f t="shared" si="724"/>
        <v>0</v>
      </c>
      <c r="P603" s="401">
        <f t="shared" si="724"/>
        <v>0</v>
      </c>
      <c r="Q603" s="401">
        <f t="shared" si="724"/>
        <v>0</v>
      </c>
      <c r="R603" s="401">
        <f t="shared" si="724"/>
        <v>0</v>
      </c>
      <c r="S603" s="401">
        <f t="shared" si="724"/>
        <v>0</v>
      </c>
      <c r="T603" s="401">
        <f t="shared" si="724"/>
        <v>0</v>
      </c>
      <c r="U603" s="401">
        <f t="shared" si="724"/>
        <v>0</v>
      </c>
      <c r="V603" s="401">
        <f t="shared" si="724"/>
        <v>0</v>
      </c>
      <c r="W603" s="401">
        <f t="shared" si="724"/>
        <v>0</v>
      </c>
      <c r="X603" s="401">
        <f t="shared" si="724"/>
        <v>0</v>
      </c>
      <c r="Y603" s="401">
        <f t="shared" si="724"/>
        <v>0</v>
      </c>
      <c r="Z603" s="401">
        <f t="shared" si="724"/>
        <v>0</v>
      </c>
      <c r="AA603" s="401">
        <f t="shared" si="724"/>
        <v>0</v>
      </c>
    </row>
    <row r="604" spans="1:27" s="3" customFormat="1" ht="15.75" x14ac:dyDescent="0.25">
      <c r="A604" s="81" t="s">
        <v>303</v>
      </c>
      <c r="D604" s="401">
        <f>D603</f>
        <v>0</v>
      </c>
      <c r="E604" s="402">
        <f>IF(E578&gt;$B$286+1,0,E603+D604)</f>
        <v>0</v>
      </c>
      <c r="F604" s="402">
        <f>IF(F578&gt;$B$286+1,0,F603+E604)</f>
        <v>0</v>
      </c>
      <c r="G604" s="402">
        <f>IF(G578&gt;$B$286+1,0,G603+F604)</f>
        <v>0</v>
      </c>
      <c r="H604" s="402">
        <f>IF(H578&gt;$B$286+1,0,H603+G604)</f>
        <v>0</v>
      </c>
      <c r="I604" s="402">
        <f>IF(I578&gt;$B$286+1,0,I603+H604)</f>
        <v>0</v>
      </c>
      <c r="J604" s="402">
        <f t="shared" ref="J604" si="725">IF(J578&gt;$B$286+1,0,J603+I604)</f>
        <v>0</v>
      </c>
      <c r="K604" s="402">
        <f t="shared" ref="K604" si="726">IF(K578&gt;$B$286+1,0,K603+J604)</f>
        <v>0</v>
      </c>
      <c r="L604" s="402">
        <f t="shared" ref="L604" si="727">IF(L578&gt;$B$286+1,0,L603+K604)</f>
        <v>0</v>
      </c>
      <c r="M604" s="402">
        <f t="shared" ref="M604" si="728">IF(M578&gt;$B$286+1,0,M603+L604)</f>
        <v>0</v>
      </c>
      <c r="N604" s="402">
        <f t="shared" ref="N604" si="729">IF(N578&gt;$B$286+1,0,N603+M604)</f>
        <v>0</v>
      </c>
      <c r="O604" s="402">
        <f t="shared" ref="O604" si="730">IF(O578&gt;$B$286+1,0,O603+N604)</f>
        <v>0</v>
      </c>
      <c r="P604" s="402">
        <f t="shared" ref="P604" si="731">IF(P578&gt;$B$286+1,0,P603+O604)</f>
        <v>0</v>
      </c>
      <c r="Q604" s="402">
        <f t="shared" ref="Q604" si="732">IF(Q578&gt;$B$286+1,0,Q603+P604)</f>
        <v>0</v>
      </c>
      <c r="R604" s="402">
        <f t="shared" ref="R604" si="733">IF(R578&gt;$B$286+1,0,R603+Q604)</f>
        <v>0</v>
      </c>
      <c r="S604" s="402">
        <f t="shared" ref="S604" si="734">IF(S578&gt;$B$286+1,0,S603+R604)</f>
        <v>0</v>
      </c>
      <c r="T604" s="402">
        <f t="shared" ref="T604" si="735">IF(T578&gt;$B$286+1,0,T603+S604)</f>
        <v>0</v>
      </c>
      <c r="U604" s="402">
        <f t="shared" ref="U604" si="736">IF(U578&gt;$B$286+1,0,U603+T604)</f>
        <v>0</v>
      </c>
      <c r="V604" s="402">
        <f t="shared" ref="V604" si="737">IF(V578&gt;$B$286+1,0,V603+U604)</f>
        <v>0</v>
      </c>
      <c r="W604" s="402">
        <f t="shared" ref="W604" si="738">IF(W578&gt;$B$286+1,0,W603+V604)</f>
        <v>0</v>
      </c>
      <c r="X604" s="402">
        <f t="shared" ref="X604" si="739">IF(X578&gt;$B$286+1,0,X603+W604)</f>
        <v>0</v>
      </c>
      <c r="Y604" s="402">
        <f t="shared" ref="Y604" si="740">IF(Y578&gt;$B$286+1,0,Y603+X604)</f>
        <v>0</v>
      </c>
      <c r="Z604" s="402">
        <f t="shared" ref="Z604" si="741">IF(Z578&gt;$B$286+1,0,Z603+Y604)</f>
        <v>0</v>
      </c>
      <c r="AA604" s="402">
        <f t="shared" ref="AA604" si="742">IF(AA578&gt;$B$286+1,0,AA603+Z604)</f>
        <v>0</v>
      </c>
    </row>
    <row r="605" spans="1:27" s="3" customFormat="1" ht="15.75" x14ac:dyDescent="0.25">
      <c r="A605" s="81" t="str">
        <f>A541</f>
        <v>Valor en libros</v>
      </c>
      <c r="D605" s="401">
        <f>D573</f>
        <v>0</v>
      </c>
      <c r="E605" s="402">
        <f>E573+D605-E603</f>
        <v>0</v>
      </c>
      <c r="F605" s="402">
        <f t="shared" ref="F605" si="743">F573+E605-F603</f>
        <v>0</v>
      </c>
      <c r="G605" s="402">
        <f t="shared" ref="G605" si="744">G573+F605-G603</f>
        <v>0</v>
      </c>
      <c r="H605" s="402">
        <f t="shared" ref="H605" si="745">H573+G605-H603</f>
        <v>0</v>
      </c>
      <c r="I605" s="402">
        <f>I573+H605-I603</f>
        <v>0</v>
      </c>
      <c r="J605" s="402">
        <f t="shared" ref="J605" si="746">J573+I605-J603</f>
        <v>0</v>
      </c>
      <c r="K605" s="402">
        <f t="shared" ref="K605" si="747">K573+J605-K603</f>
        <v>0</v>
      </c>
      <c r="L605" s="402">
        <f t="shared" ref="L605" si="748">L573+K605-L603</f>
        <v>0</v>
      </c>
      <c r="M605" s="402">
        <f t="shared" ref="M605" si="749">M573+L605-M603</f>
        <v>0</v>
      </c>
      <c r="N605" s="402">
        <f t="shared" ref="N605" si="750">N573+M605-N603</f>
        <v>0</v>
      </c>
      <c r="O605" s="402">
        <f t="shared" ref="O605" si="751">O573+N605-O603</f>
        <v>0</v>
      </c>
      <c r="P605" s="402">
        <f t="shared" ref="P605" si="752">P573+O605-P603</f>
        <v>0</v>
      </c>
      <c r="Q605" s="402">
        <f t="shared" ref="Q605" si="753">Q573+P605-Q603</f>
        <v>0</v>
      </c>
      <c r="R605" s="402">
        <f t="shared" ref="R605" si="754">R573+Q605-R603</f>
        <v>0</v>
      </c>
      <c r="S605" s="402">
        <f t="shared" ref="S605" si="755">S573+R605-S603</f>
        <v>0</v>
      </c>
      <c r="T605" s="402">
        <f t="shared" ref="T605" si="756">T573+S605-T603</f>
        <v>0</v>
      </c>
      <c r="U605" s="402">
        <f t="shared" ref="U605" si="757">U573+T605-U603</f>
        <v>0</v>
      </c>
      <c r="V605" s="402">
        <f t="shared" ref="V605" si="758">V573+U605-V603</f>
        <v>0</v>
      </c>
      <c r="W605" s="402">
        <f t="shared" ref="W605" si="759">W573+V605-W603</f>
        <v>0</v>
      </c>
      <c r="X605" s="402">
        <f t="shared" ref="X605" si="760">X573+W605-X603</f>
        <v>0</v>
      </c>
      <c r="Y605" s="402">
        <f t="shared" ref="Y605" si="761">Y573+X605-Y603</f>
        <v>0</v>
      </c>
      <c r="Z605" s="402">
        <f t="shared" ref="Z605" si="762">Z573+Y605-Z603</f>
        <v>0</v>
      </c>
      <c r="AA605" s="402">
        <f t="shared" ref="AA605" si="763">AA573+Z605-AA603</f>
        <v>0</v>
      </c>
    </row>
  </sheetData>
  <mergeCells count="6">
    <mergeCell ref="A57:B57"/>
    <mergeCell ref="A22:B22"/>
    <mergeCell ref="A29:B29"/>
    <mergeCell ref="A36:B36"/>
    <mergeCell ref="A45:B45"/>
    <mergeCell ref="A51:B51"/>
  </mergeCells>
  <conditionalFormatting sqref="C12 D474:AA474">
    <cfRule type="cellIs" dxfId="67" priority="38" operator="greaterThan">
      <formula>0</formula>
    </cfRule>
    <cfRule type="cellIs" dxfId="66" priority="42" operator="greaterThan">
      <formula>1</formula>
    </cfRule>
  </conditionalFormatting>
  <conditionalFormatting sqref="D12:AA12">
    <cfRule type="cellIs" dxfId="65" priority="36" operator="greaterThan">
      <formula>0</formula>
    </cfRule>
    <cfRule type="cellIs" dxfId="64" priority="37" operator="greaterThan">
      <formula>1</formula>
    </cfRule>
  </conditionalFormatting>
  <conditionalFormatting sqref="C15:AA15">
    <cfRule type="cellIs" dxfId="63" priority="34" operator="greaterThan">
      <formula>0</formula>
    </cfRule>
    <cfRule type="cellIs" dxfId="62" priority="35" operator="greaterThan">
      <formula>1</formula>
    </cfRule>
  </conditionalFormatting>
  <conditionalFormatting sqref="C22">
    <cfRule type="cellIs" dxfId="61" priority="33" operator="greaterThan">
      <formula>0</formula>
    </cfRule>
  </conditionalFormatting>
  <conditionalFormatting sqref="D22:AA22">
    <cfRule type="cellIs" dxfId="60" priority="32" operator="greaterThan">
      <formula>0</formula>
    </cfRule>
  </conditionalFormatting>
  <conditionalFormatting sqref="C45:AA45">
    <cfRule type="cellIs" dxfId="59" priority="30" operator="greaterThan">
      <formula>0</formula>
    </cfRule>
    <cfRule type="cellIs" dxfId="58" priority="31" operator="greaterThan">
      <formula>1</formula>
    </cfRule>
  </conditionalFormatting>
  <conditionalFormatting sqref="C51:AA51">
    <cfRule type="cellIs" dxfId="57" priority="22" operator="greaterThan">
      <formula>0</formula>
    </cfRule>
    <cfRule type="cellIs" dxfId="56" priority="23" operator="greaterThan">
      <formula>1</formula>
    </cfRule>
  </conditionalFormatting>
  <conditionalFormatting sqref="C57:AA57">
    <cfRule type="cellIs" dxfId="55" priority="18" operator="greaterThan">
      <formula>0</formula>
    </cfRule>
    <cfRule type="cellIs" dxfId="54" priority="19" operator="greaterThan">
      <formula>1</formula>
    </cfRule>
  </conditionalFormatting>
  <conditionalFormatting sqref="F29">
    <cfRule type="cellIs" dxfId="53" priority="4" operator="greaterThan">
      <formula>0</formula>
    </cfRule>
  </conditionalFormatting>
  <conditionalFormatting sqref="D29 G29:AA29">
    <cfRule type="cellIs" dxfId="52" priority="8" operator="greaterThan">
      <formula>0</formula>
    </cfRule>
  </conditionalFormatting>
  <conditionalFormatting sqref="C29">
    <cfRule type="cellIs" dxfId="51" priority="5" operator="greaterThan">
      <formula>0</formula>
    </cfRule>
  </conditionalFormatting>
  <conditionalFormatting sqref="D36 F36:AA36">
    <cfRule type="cellIs" dxfId="50" priority="6" operator="greaterThan">
      <formula>0</formula>
    </cfRule>
  </conditionalFormatting>
  <conditionalFormatting sqref="E29">
    <cfRule type="cellIs" dxfId="49" priority="3" operator="greaterThan">
      <formula>0</formula>
    </cfRule>
  </conditionalFormatting>
  <conditionalFormatting sqref="C36">
    <cfRule type="cellIs" dxfId="48" priority="2" operator="greaterThan">
      <formula>0</formula>
    </cfRule>
  </conditionalFormatting>
  <conditionalFormatting sqref="E36">
    <cfRule type="cellIs" dxfId="47" priority="1" operator="greaterThan">
      <formula>0</formula>
    </cfRule>
  </conditionalFormatting>
  <dataValidations count="4">
    <dataValidation type="list" allowBlank="1" showInputMessage="1" showErrorMessage="1" sqref="B348:B357 B544:B553 B445:B454" xr:uid="{00000000-0002-0000-0400-000000000000}">
      <formula1>$C$9:$M$9</formula1>
    </dataValidation>
    <dataValidation type="list" allowBlank="1" showInputMessage="1" showErrorMessage="1" sqref="B69:B92 B136:B145 B579:B602 B514:B537 B482:B505 B415:B438 B383:B406 B318:B341 B158:B181 B99:B122 B286:B309 B252:B275" xr:uid="{886DC902-B04F-417D-B699-637DD6499C5A}">
      <formula1>$C$9:$W$9</formula1>
    </dataValidation>
    <dataValidation type="list" allowBlank="1" showInputMessage="1" showErrorMessage="1" sqref="B190:B213" xr:uid="{DAEB3F3B-D26A-4489-8F75-2F0F0E23CF42}">
      <formula1>$C$9:$AA$9</formula1>
    </dataValidation>
    <dataValidation type="list" allowBlank="1" showInputMessage="1" showErrorMessage="1" sqref="B221:B244" xr:uid="{D1D773C2-B500-4FC1-8CDA-A8862CEF4C82}">
      <formula1>$D$1:$AA$1</formula1>
    </dataValidation>
  </dataValidations>
  <hyperlinks>
    <hyperlink ref="A1" location="Menu!A1" display="Menu" xr:uid="{00000000-0004-0000-0400-000000000000}"/>
    <hyperlink ref="A12" location="Dep_Amort" display="Terrenos" xr:uid="{00000000-0004-0000-0400-000001000000}"/>
    <hyperlink ref="A15" location="Dep_Amort" display="Inmuebles" xr:uid="{00000000-0004-0000-0400-000002000000}"/>
    <hyperlink ref="A22" location="Dep_Amort" display="Maquinaria y Equipos" xr:uid="{00000000-0004-0000-0400-000003000000}"/>
    <hyperlink ref="A67" location="Inmuebles" display="SDA" xr:uid="{00000000-0004-0000-0400-000004000000}"/>
    <hyperlink ref="A97" location="Inmuebles" display="Linea Recta" xr:uid="{00000000-0004-0000-0400-000005000000}"/>
    <hyperlink ref="A130" location="Inmuebles" display="Reducción de Saldos" xr:uid="{00000000-0004-0000-0400-000006000000}"/>
    <hyperlink ref="A280" location="Inmuebles" display="Reducción de Saldos" xr:uid="{7964ABD1-3A8F-4C60-BDA8-FA807F9F08BF}"/>
    <hyperlink ref="A152" location="Inmuebles" display="Reducción de Saldos" xr:uid="{E83DBD2F-6B16-40A3-A6BE-3552094B3C5D}"/>
    <hyperlink ref="A377" location="Inmuebles" display="Reducción de Saldos" xr:uid="{1CBBABCD-4BA2-4256-9E47-0DDB3A4EDC22}"/>
    <hyperlink ref="A476" location="Inmuebles" display="Reducción de Saldos" xr:uid="{A3E468C3-99ED-40D8-A859-9A3DF71F9B81}"/>
    <hyperlink ref="A573" location="Inmuebles" display="Reducción de Saldos" xr:uid="{CD5101E6-2ABE-4ADA-B012-D034A3BAEDB2}"/>
    <hyperlink ref="A29" location="Dep_Amort" display="Maquinaria y Equipos" xr:uid="{0ACF3FFE-D5A2-4D0B-AFFF-504ADF049124}"/>
    <hyperlink ref="A36" location="Dep_Amort" display="Maquinaria y Equipos" xr:uid="{F7B6BD86-DE7C-41B2-BDD1-846D8A657DC7}"/>
    <hyperlink ref="A250" location="Inmuebles" display="Linea Recta" xr:uid="{23F6F8B9-9DB4-44F2-86AC-1DB734479496}"/>
  </hyperlinks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X111"/>
  <sheetViews>
    <sheetView zoomScale="80" zoomScaleNormal="80" workbookViewId="0">
      <pane xSplit="1" ySplit="12" topLeftCell="B115" activePane="bottomRight" state="frozen"/>
      <selection pane="topRight"/>
      <selection pane="bottomLeft"/>
      <selection pane="bottomRight"/>
    </sheetView>
  </sheetViews>
  <sheetFormatPr baseColWidth="10" defaultColWidth="25.7109375" defaultRowHeight="15" x14ac:dyDescent="0.25"/>
  <cols>
    <col min="1" max="1" width="5.7109375" customWidth="1"/>
    <col min="4" max="4" width="27.85546875" bestFit="1" customWidth="1"/>
    <col min="5" max="5" width="32.140625" bestFit="1" customWidth="1"/>
  </cols>
  <sheetData>
    <row r="1" spans="1:24" ht="23.25" x14ac:dyDescent="0.35">
      <c r="B1" s="143" t="s">
        <v>149</v>
      </c>
    </row>
    <row r="2" spans="1:24" ht="39.75" customHeight="1" x14ac:dyDescent="0.25">
      <c r="A2" s="26">
        <v>401</v>
      </c>
      <c r="B2" s="26" t="s">
        <v>30</v>
      </c>
      <c r="C2" s="26"/>
    </row>
    <row r="3" spans="1:24" ht="15.75" thickBot="1" x14ac:dyDescent="0.3">
      <c r="A3" s="26">
        <f>+A2+1</f>
        <v>402</v>
      </c>
      <c r="B3" s="144" t="s">
        <v>67</v>
      </c>
      <c r="C3" s="26"/>
    </row>
    <row r="4" spans="1:24" x14ac:dyDescent="0.25">
      <c r="A4" s="26">
        <f t="shared" ref="A4:A9" si="0">+A3+1</f>
        <v>403</v>
      </c>
      <c r="B4" s="144" t="s">
        <v>72</v>
      </c>
      <c r="C4" s="26"/>
      <c r="D4" s="431" t="s">
        <v>65</v>
      </c>
      <c r="E4" s="432">
        <v>0.18</v>
      </c>
    </row>
    <row r="5" spans="1:24" x14ac:dyDescent="0.25">
      <c r="A5" s="26">
        <f t="shared" si="0"/>
        <v>404</v>
      </c>
      <c r="B5" s="144" t="s">
        <v>75</v>
      </c>
      <c r="C5" s="26"/>
      <c r="D5" s="306" t="s">
        <v>328</v>
      </c>
      <c r="E5" s="433" t="s">
        <v>334</v>
      </c>
    </row>
    <row r="6" spans="1:24" x14ac:dyDescent="0.25">
      <c r="A6" s="26">
        <f t="shared" si="0"/>
        <v>405</v>
      </c>
      <c r="B6" s="144" t="s">
        <v>76</v>
      </c>
      <c r="C6" s="26"/>
      <c r="D6" s="298" t="s">
        <v>65</v>
      </c>
      <c r="E6" s="434">
        <f>'Conversion de tasa'!H5</f>
        <v>0.17999999999999816</v>
      </c>
    </row>
    <row r="7" spans="1:24" ht="15.75" thickBot="1" x14ac:dyDescent="0.3">
      <c r="A7" s="26">
        <f>+A6+1</f>
        <v>406</v>
      </c>
      <c r="B7" s="144" t="s">
        <v>86</v>
      </c>
      <c r="C7" s="26"/>
      <c r="D7" s="435" t="s">
        <v>328</v>
      </c>
      <c r="E7" s="436" t="s">
        <v>334</v>
      </c>
    </row>
    <row r="8" spans="1:24" x14ac:dyDescent="0.25">
      <c r="A8" s="26">
        <f t="shared" si="0"/>
        <v>407</v>
      </c>
      <c r="B8" s="144" t="s">
        <v>120</v>
      </c>
    </row>
    <row r="9" spans="1:24" x14ac:dyDescent="0.25">
      <c r="A9" s="26">
        <f t="shared" si="0"/>
        <v>408</v>
      </c>
      <c r="B9" s="144" t="s">
        <v>121</v>
      </c>
    </row>
    <row r="10" spans="1:24" x14ac:dyDescent="0.25">
      <c r="A10" s="26">
        <f>+A9+1</f>
        <v>409</v>
      </c>
      <c r="B10" s="144" t="s">
        <v>122</v>
      </c>
    </row>
    <row r="11" spans="1:24" x14ac:dyDescent="0.25">
      <c r="A11" s="26">
        <v>410</v>
      </c>
      <c r="B11" s="144" t="s">
        <v>298</v>
      </c>
    </row>
    <row r="12" spans="1:24" x14ac:dyDescent="0.25">
      <c r="A12" s="26">
        <v>411</v>
      </c>
      <c r="B12" s="144" t="s">
        <v>299</v>
      </c>
    </row>
    <row r="13" spans="1:24" x14ac:dyDescent="0.25">
      <c r="C13" s="26" t="s">
        <v>85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</row>
    <row r="14" spans="1:24" x14ac:dyDescent="0.25">
      <c r="C14" s="38" t="s">
        <v>65</v>
      </c>
      <c r="D14" s="428">
        <f>$E$6</f>
        <v>0.17999999999999816</v>
      </c>
    </row>
    <row r="15" spans="1:24" ht="19.5" thickBot="1" x14ac:dyDescent="0.35">
      <c r="C15" s="26" t="s">
        <v>66</v>
      </c>
      <c r="D15" s="129">
        <v>5</v>
      </c>
    </row>
    <row r="16" spans="1:24" ht="21.75" thickBot="1" x14ac:dyDescent="0.4">
      <c r="C16" s="539" t="s">
        <v>67</v>
      </c>
      <c r="D16" s="540"/>
      <c r="E16" s="114"/>
      <c r="F16" s="114"/>
      <c r="G16" s="114"/>
      <c r="H16" s="114"/>
      <c r="I16" s="114"/>
    </row>
    <row r="17" spans="3:24" x14ac:dyDescent="0.25">
      <c r="C17" s="11" t="s">
        <v>38</v>
      </c>
      <c r="D17" s="11">
        <v>0</v>
      </c>
      <c r="E17" s="3">
        <f>D17+1</f>
        <v>1</v>
      </c>
      <c r="F17" s="3">
        <f t="shared" ref="F17:X17" si="1">E17+1</f>
        <v>2</v>
      </c>
      <c r="G17" s="3">
        <f t="shared" si="1"/>
        <v>3</v>
      </c>
      <c r="H17" s="3">
        <f t="shared" si="1"/>
        <v>4</v>
      </c>
      <c r="I17" s="3">
        <f t="shared" si="1"/>
        <v>5</v>
      </c>
      <c r="J17" s="3">
        <f t="shared" si="1"/>
        <v>6</v>
      </c>
      <c r="K17" s="3">
        <f t="shared" si="1"/>
        <v>7</v>
      </c>
      <c r="L17" s="3">
        <f t="shared" si="1"/>
        <v>8</v>
      </c>
      <c r="M17" s="3">
        <f t="shared" si="1"/>
        <v>9</v>
      </c>
      <c r="N17" s="3">
        <f t="shared" si="1"/>
        <v>10</v>
      </c>
      <c r="O17" s="3">
        <f t="shared" si="1"/>
        <v>11</v>
      </c>
      <c r="P17" s="3">
        <f t="shared" si="1"/>
        <v>12</v>
      </c>
      <c r="Q17" s="3">
        <f t="shared" si="1"/>
        <v>13</v>
      </c>
      <c r="R17" s="3">
        <f t="shared" si="1"/>
        <v>14</v>
      </c>
      <c r="S17" s="3">
        <f t="shared" si="1"/>
        <v>15</v>
      </c>
      <c r="T17" s="3">
        <f t="shared" si="1"/>
        <v>16</v>
      </c>
      <c r="U17" s="3">
        <f t="shared" si="1"/>
        <v>17</v>
      </c>
      <c r="V17" s="3">
        <f t="shared" si="1"/>
        <v>18</v>
      </c>
      <c r="W17" s="3">
        <f t="shared" si="1"/>
        <v>19</v>
      </c>
      <c r="X17" s="3">
        <f t="shared" si="1"/>
        <v>20</v>
      </c>
    </row>
    <row r="18" spans="3:24" x14ac:dyDescent="0.25">
      <c r="C18" s="3" t="s">
        <v>68</v>
      </c>
      <c r="D18" s="40"/>
      <c r="E18" s="43">
        <f t="shared" ref="E18:I18" si="2">IF($D$15&lt;E17,0,(-PMT($D$14,$D$15,$D$21)))</f>
        <v>0</v>
      </c>
      <c r="F18" s="43">
        <f t="shared" si="2"/>
        <v>0</v>
      </c>
      <c r="G18" s="43">
        <f t="shared" si="2"/>
        <v>0</v>
      </c>
      <c r="H18" s="43">
        <f t="shared" si="2"/>
        <v>0</v>
      </c>
      <c r="I18" s="43">
        <f t="shared" si="2"/>
        <v>0</v>
      </c>
      <c r="J18" s="43">
        <f t="shared" ref="J18:X18" si="3">IF($D$15&lt;J17,0,(-PMT($D$14,$D$15,$D$21)))</f>
        <v>0</v>
      </c>
      <c r="K18" s="43">
        <f t="shared" si="3"/>
        <v>0</v>
      </c>
      <c r="L18" s="43">
        <f t="shared" si="3"/>
        <v>0</v>
      </c>
      <c r="M18" s="43">
        <f t="shared" si="3"/>
        <v>0</v>
      </c>
      <c r="N18" s="43">
        <f t="shared" si="3"/>
        <v>0</v>
      </c>
      <c r="O18" s="43">
        <f t="shared" si="3"/>
        <v>0</v>
      </c>
      <c r="P18" s="43">
        <f t="shared" si="3"/>
        <v>0</v>
      </c>
      <c r="Q18" s="43">
        <f t="shared" si="3"/>
        <v>0</v>
      </c>
      <c r="R18" s="43">
        <f t="shared" si="3"/>
        <v>0</v>
      </c>
      <c r="S18" s="43">
        <f t="shared" si="3"/>
        <v>0</v>
      </c>
      <c r="T18" s="43">
        <f t="shared" si="3"/>
        <v>0</v>
      </c>
      <c r="U18" s="43">
        <f t="shared" si="3"/>
        <v>0</v>
      </c>
      <c r="V18" s="43">
        <f t="shared" si="3"/>
        <v>0</v>
      </c>
      <c r="W18" s="43">
        <f t="shared" si="3"/>
        <v>0</v>
      </c>
      <c r="X18" s="43">
        <f t="shared" si="3"/>
        <v>0</v>
      </c>
    </row>
    <row r="19" spans="3:24" ht="15.75" x14ac:dyDescent="0.25">
      <c r="C19" s="3" t="s">
        <v>69</v>
      </c>
      <c r="D19" s="131">
        <f>SUM(E19:X19)</f>
        <v>0</v>
      </c>
      <c r="E19" s="43">
        <f>E18-E20</f>
        <v>0</v>
      </c>
      <c r="F19" s="43">
        <f t="shared" ref="F19:I19" si="4">F18-F20</f>
        <v>0</v>
      </c>
      <c r="G19" s="43">
        <f t="shared" si="4"/>
        <v>0</v>
      </c>
      <c r="H19" s="43">
        <f t="shared" si="4"/>
        <v>0</v>
      </c>
      <c r="I19" s="43">
        <f t="shared" si="4"/>
        <v>0</v>
      </c>
      <c r="J19" s="43">
        <f t="shared" ref="J19:X19" si="5">J18-J20</f>
        <v>0</v>
      </c>
      <c r="K19" s="43">
        <f t="shared" si="5"/>
        <v>0</v>
      </c>
      <c r="L19" s="43">
        <f t="shared" si="5"/>
        <v>0</v>
      </c>
      <c r="M19" s="43">
        <f t="shared" si="5"/>
        <v>0</v>
      </c>
      <c r="N19" s="43">
        <f t="shared" si="5"/>
        <v>0</v>
      </c>
      <c r="O19" s="43">
        <f t="shared" si="5"/>
        <v>0</v>
      </c>
      <c r="P19" s="43">
        <f t="shared" si="5"/>
        <v>0</v>
      </c>
      <c r="Q19" s="43">
        <f t="shared" si="5"/>
        <v>0</v>
      </c>
      <c r="R19" s="43">
        <f t="shared" si="5"/>
        <v>0</v>
      </c>
      <c r="S19" s="43">
        <f t="shared" si="5"/>
        <v>0</v>
      </c>
      <c r="T19" s="43">
        <f t="shared" si="5"/>
        <v>0</v>
      </c>
      <c r="U19" s="43">
        <f t="shared" si="5"/>
        <v>0</v>
      </c>
      <c r="V19" s="43">
        <f t="shared" si="5"/>
        <v>0</v>
      </c>
      <c r="W19" s="43">
        <f t="shared" si="5"/>
        <v>0</v>
      </c>
      <c r="X19" s="43">
        <f t="shared" si="5"/>
        <v>0</v>
      </c>
    </row>
    <row r="20" spans="3:24" x14ac:dyDescent="0.25">
      <c r="C20" s="3" t="s">
        <v>70</v>
      </c>
      <c r="D20" s="40"/>
      <c r="E20" s="44">
        <f>D21*$D$14</f>
        <v>0</v>
      </c>
      <c r="F20" s="44">
        <f t="shared" ref="F20:J20" si="6">E21*$D$14</f>
        <v>0</v>
      </c>
      <c r="G20" s="44">
        <f t="shared" si="6"/>
        <v>0</v>
      </c>
      <c r="H20" s="44">
        <f t="shared" si="6"/>
        <v>0</v>
      </c>
      <c r="I20" s="44">
        <f t="shared" si="6"/>
        <v>0</v>
      </c>
      <c r="J20" s="44">
        <f t="shared" si="6"/>
        <v>0</v>
      </c>
      <c r="K20" s="44">
        <f t="shared" ref="K20" si="7">J21*$D$14</f>
        <v>0</v>
      </c>
      <c r="L20" s="44">
        <f t="shared" ref="L20" si="8">K21*$D$14</f>
        <v>0</v>
      </c>
      <c r="M20" s="44">
        <f t="shared" ref="M20" si="9">L21*$D$14</f>
        <v>0</v>
      </c>
      <c r="N20" s="44">
        <f t="shared" ref="N20" si="10">M21*$D$14</f>
        <v>0</v>
      </c>
      <c r="O20" s="44">
        <f t="shared" ref="O20" si="11">N21*$D$14</f>
        <v>0</v>
      </c>
      <c r="P20" s="44">
        <f t="shared" ref="P20" si="12">O21*$D$14</f>
        <v>0</v>
      </c>
      <c r="Q20" s="44">
        <f t="shared" ref="Q20" si="13">P21*$D$14</f>
        <v>0</v>
      </c>
      <c r="R20" s="44">
        <f t="shared" ref="R20" si="14">Q21*$D$14</f>
        <v>0</v>
      </c>
      <c r="S20" s="44">
        <f t="shared" ref="S20" si="15">R21*$D$14</f>
        <v>0</v>
      </c>
      <c r="T20" s="44">
        <f t="shared" ref="T20" si="16">S21*$D$14</f>
        <v>0</v>
      </c>
      <c r="U20" s="44">
        <f t="shared" ref="U20" si="17">T21*$D$14</f>
        <v>0</v>
      </c>
      <c r="V20" s="44">
        <f t="shared" ref="V20" si="18">U21*$D$14</f>
        <v>0</v>
      </c>
      <c r="W20" s="44">
        <f t="shared" ref="W20" si="19">V21*$D$14</f>
        <v>0</v>
      </c>
      <c r="X20" s="44">
        <f t="shared" ref="X20" si="20">W21*$D$14</f>
        <v>0</v>
      </c>
    </row>
    <row r="21" spans="3:24" x14ac:dyDescent="0.25">
      <c r="C21" s="3" t="s">
        <v>71</v>
      </c>
      <c r="D21" s="44">
        <f>$D$13</f>
        <v>0</v>
      </c>
      <c r="E21" s="44">
        <f>D21-E19</f>
        <v>0</v>
      </c>
      <c r="F21" s="44">
        <f t="shared" ref="F21:I21" si="21">E21-F19</f>
        <v>0</v>
      </c>
      <c r="G21" s="44">
        <f t="shared" si="21"/>
        <v>0</v>
      </c>
      <c r="H21" s="44">
        <f t="shared" si="21"/>
        <v>0</v>
      </c>
      <c r="I21" s="44">
        <f t="shared" si="21"/>
        <v>0</v>
      </c>
      <c r="J21" s="44">
        <f t="shared" ref="J21" si="22">I21-J19</f>
        <v>0</v>
      </c>
      <c r="K21" s="44">
        <f t="shared" ref="K21" si="23">J21-K19</f>
        <v>0</v>
      </c>
      <c r="L21" s="44">
        <f t="shared" ref="L21" si="24">K21-L19</f>
        <v>0</v>
      </c>
      <c r="M21" s="44">
        <f t="shared" ref="M21" si="25">L21-M19</f>
        <v>0</v>
      </c>
      <c r="N21" s="44">
        <f t="shared" ref="N21" si="26">M21-N19</f>
        <v>0</v>
      </c>
      <c r="O21" s="44">
        <f t="shared" ref="O21" si="27">N21-O19</f>
        <v>0</v>
      </c>
      <c r="P21" s="44">
        <f t="shared" ref="P21" si="28">O21-P19</f>
        <v>0</v>
      </c>
      <c r="Q21" s="44">
        <f t="shared" ref="Q21" si="29">P21-Q19</f>
        <v>0</v>
      </c>
      <c r="R21" s="44">
        <f t="shared" ref="R21" si="30">Q21-R19</f>
        <v>0</v>
      </c>
      <c r="S21" s="44">
        <f t="shared" ref="S21" si="31">R21-S19</f>
        <v>0</v>
      </c>
      <c r="T21" s="44">
        <f t="shared" ref="T21" si="32">S21-T19</f>
        <v>0</v>
      </c>
      <c r="U21" s="44">
        <f t="shared" ref="U21" si="33">T21-U19</f>
        <v>0</v>
      </c>
      <c r="V21" s="44">
        <f t="shared" ref="V21" si="34">U21-V19</f>
        <v>0</v>
      </c>
      <c r="W21" s="44">
        <f t="shared" ref="W21" si="35">V21-W19</f>
        <v>0</v>
      </c>
      <c r="X21" s="44">
        <f t="shared" ref="X21" si="36">W21-X19</f>
        <v>0</v>
      </c>
    </row>
    <row r="22" spans="3:24" x14ac:dyDescent="0.25">
      <c r="C22" s="3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</row>
    <row r="23" spans="3:24" x14ac:dyDescent="0.25">
      <c r="C23" s="453" t="s">
        <v>70</v>
      </c>
      <c r="D23" s="453"/>
      <c r="E23" s="454">
        <f>IF(E17&gt;$D$15,0,IPMT($D$14,E17,$D$15,$D$13))</f>
        <v>0</v>
      </c>
      <c r="F23" s="454">
        <f t="shared" ref="F23:X23" si="37">IF(F17&gt;$D$15,0,IPMT($D$14,F17,$D$15,$D$13))</f>
        <v>0</v>
      </c>
      <c r="G23" s="454">
        <f t="shared" si="37"/>
        <v>0</v>
      </c>
      <c r="H23" s="454">
        <f t="shared" si="37"/>
        <v>0</v>
      </c>
      <c r="I23" s="454">
        <f t="shared" si="37"/>
        <v>0</v>
      </c>
      <c r="J23" s="454">
        <f t="shared" si="37"/>
        <v>0</v>
      </c>
      <c r="K23" s="454">
        <f t="shared" si="37"/>
        <v>0</v>
      </c>
      <c r="L23" s="454">
        <f t="shared" si="37"/>
        <v>0</v>
      </c>
      <c r="M23" s="454">
        <f t="shared" si="37"/>
        <v>0</v>
      </c>
      <c r="N23" s="454">
        <f t="shared" si="37"/>
        <v>0</v>
      </c>
      <c r="O23" s="454">
        <f t="shared" si="37"/>
        <v>0</v>
      </c>
      <c r="P23" s="454">
        <f t="shared" si="37"/>
        <v>0</v>
      </c>
      <c r="Q23" s="454">
        <f t="shared" si="37"/>
        <v>0</v>
      </c>
      <c r="R23" s="454">
        <f t="shared" si="37"/>
        <v>0</v>
      </c>
      <c r="S23" s="454">
        <f t="shared" si="37"/>
        <v>0</v>
      </c>
      <c r="T23" s="454">
        <f t="shared" si="37"/>
        <v>0</v>
      </c>
      <c r="U23" s="454">
        <f t="shared" si="37"/>
        <v>0</v>
      </c>
      <c r="V23" s="454">
        <f t="shared" si="37"/>
        <v>0</v>
      </c>
      <c r="W23" s="454">
        <f t="shared" si="37"/>
        <v>0</v>
      </c>
      <c r="X23" s="454">
        <f t="shared" si="37"/>
        <v>0</v>
      </c>
    </row>
    <row r="24" spans="3:24" x14ac:dyDescent="0.25">
      <c r="C24" s="453" t="s">
        <v>69</v>
      </c>
      <c r="D24" s="453"/>
      <c r="E24" s="454">
        <f>IF(E17&gt;$D$15,0,PPMT($D$14,E17,$D$15,$D$13))</f>
        <v>0</v>
      </c>
      <c r="F24" s="454">
        <f t="shared" ref="F24:X24" si="38">IF(F17&gt;$D$15,0,PPMT($D$14,F17,$D$15,$D$13))</f>
        <v>0</v>
      </c>
      <c r="G24" s="454">
        <f t="shared" si="38"/>
        <v>0</v>
      </c>
      <c r="H24" s="454">
        <f t="shared" si="38"/>
        <v>0</v>
      </c>
      <c r="I24" s="454">
        <f t="shared" si="38"/>
        <v>0</v>
      </c>
      <c r="J24" s="454">
        <f t="shared" si="38"/>
        <v>0</v>
      </c>
      <c r="K24" s="454">
        <f t="shared" si="38"/>
        <v>0</v>
      </c>
      <c r="L24" s="454">
        <f t="shared" si="38"/>
        <v>0</v>
      </c>
      <c r="M24" s="454">
        <f t="shared" si="38"/>
        <v>0</v>
      </c>
      <c r="N24" s="454">
        <f t="shared" si="38"/>
        <v>0</v>
      </c>
      <c r="O24" s="454">
        <f t="shared" si="38"/>
        <v>0</v>
      </c>
      <c r="P24" s="454">
        <f t="shared" si="38"/>
        <v>0</v>
      </c>
      <c r="Q24" s="454">
        <f t="shared" si="38"/>
        <v>0</v>
      </c>
      <c r="R24" s="454">
        <f t="shared" si="38"/>
        <v>0</v>
      </c>
      <c r="S24" s="454">
        <f t="shared" si="38"/>
        <v>0</v>
      </c>
      <c r="T24" s="454">
        <f t="shared" si="38"/>
        <v>0</v>
      </c>
      <c r="U24" s="454">
        <f t="shared" si="38"/>
        <v>0</v>
      </c>
      <c r="V24" s="454">
        <f t="shared" si="38"/>
        <v>0</v>
      </c>
      <c r="W24" s="454">
        <f t="shared" si="38"/>
        <v>0</v>
      </c>
      <c r="X24" s="454">
        <f t="shared" si="38"/>
        <v>0</v>
      </c>
    </row>
    <row r="26" spans="3:24" x14ac:dyDescent="0.25">
      <c r="C26" s="38" t="s">
        <v>65</v>
      </c>
      <c r="D26" s="428">
        <f>$E$6</f>
        <v>0.17999999999999816</v>
      </c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</row>
    <row r="27" spans="3:24" ht="27.6" customHeight="1" thickBot="1" x14ac:dyDescent="0.35">
      <c r="C27" s="26" t="s">
        <v>66</v>
      </c>
      <c r="D27" s="129">
        <v>5</v>
      </c>
    </row>
    <row r="28" spans="3:24" ht="22.35" customHeight="1" thickBot="1" x14ac:dyDescent="0.4">
      <c r="C28" s="539" t="s">
        <v>72</v>
      </c>
      <c r="D28" s="540"/>
      <c r="E28" s="114"/>
      <c r="F28" s="114"/>
      <c r="G28" s="114"/>
      <c r="H28" s="114"/>
      <c r="I28" s="114"/>
    </row>
    <row r="29" spans="3:24" x14ac:dyDescent="0.25">
      <c r="C29" s="3" t="s">
        <v>38</v>
      </c>
      <c r="D29" s="3">
        <v>0</v>
      </c>
      <c r="E29" s="3">
        <f>D29+1</f>
        <v>1</v>
      </c>
      <c r="F29" s="3">
        <f t="shared" ref="F29" si="39">E29+1</f>
        <v>2</v>
      </c>
      <c r="G29" s="3">
        <f t="shared" ref="G29" si="40">F29+1</f>
        <v>3</v>
      </c>
      <c r="H29" s="3">
        <f t="shared" ref="H29" si="41">G29+1</f>
        <v>4</v>
      </c>
      <c r="I29" s="3">
        <f t="shared" ref="I29" si="42">H29+1</f>
        <v>5</v>
      </c>
      <c r="J29" s="3">
        <f t="shared" ref="J29" si="43">I29+1</f>
        <v>6</v>
      </c>
      <c r="K29" s="3">
        <f t="shared" ref="K29" si="44">J29+1</f>
        <v>7</v>
      </c>
      <c r="L29" s="3">
        <f t="shared" ref="L29" si="45">K29+1</f>
        <v>8</v>
      </c>
      <c r="M29" s="3">
        <f t="shared" ref="M29" si="46">L29+1</f>
        <v>9</v>
      </c>
      <c r="N29" s="3">
        <f t="shared" ref="N29" si="47">M29+1</f>
        <v>10</v>
      </c>
      <c r="O29" s="3">
        <f t="shared" ref="O29" si="48">N29+1</f>
        <v>11</v>
      </c>
      <c r="P29" s="3">
        <f t="shared" ref="P29" si="49">O29+1</f>
        <v>12</v>
      </c>
      <c r="Q29" s="3">
        <f t="shared" ref="Q29" si="50">P29+1</f>
        <v>13</v>
      </c>
      <c r="R29" s="3">
        <f t="shared" ref="R29" si="51">Q29+1</f>
        <v>14</v>
      </c>
      <c r="S29" s="3">
        <f t="shared" ref="S29" si="52">R29+1</f>
        <v>15</v>
      </c>
      <c r="T29" s="3">
        <f t="shared" ref="T29" si="53">S29+1</f>
        <v>16</v>
      </c>
      <c r="U29" s="3">
        <f t="shared" ref="U29" si="54">T29+1</f>
        <v>17</v>
      </c>
      <c r="V29" s="3">
        <f t="shared" ref="V29" si="55">U29+1</f>
        <v>18</v>
      </c>
      <c r="W29" s="3">
        <f t="shared" ref="W29" si="56">V29+1</f>
        <v>19</v>
      </c>
      <c r="X29" s="3">
        <f t="shared" ref="X29" si="57">W29+1</f>
        <v>20</v>
      </c>
    </row>
    <row r="30" spans="3:24" x14ac:dyDescent="0.25">
      <c r="C30" s="3" t="s">
        <v>68</v>
      </c>
      <c r="D30" s="40"/>
      <c r="E30" s="43">
        <f>(E31+E32)</f>
        <v>0</v>
      </c>
      <c r="F30" s="43">
        <f t="shared" ref="F30:I30" si="58">(F31+F32)</f>
        <v>0</v>
      </c>
      <c r="G30" s="43">
        <f t="shared" si="58"/>
        <v>0</v>
      </c>
      <c r="H30" s="43">
        <f t="shared" si="58"/>
        <v>0</v>
      </c>
      <c r="I30" s="43">
        <f t="shared" si="58"/>
        <v>0</v>
      </c>
      <c r="J30" s="43">
        <f t="shared" ref="J30:X30" si="59">(J31+J32)</f>
        <v>0</v>
      </c>
      <c r="K30" s="43">
        <f t="shared" si="59"/>
        <v>0</v>
      </c>
      <c r="L30" s="43">
        <f t="shared" si="59"/>
        <v>0</v>
      </c>
      <c r="M30" s="43">
        <f t="shared" si="59"/>
        <v>0</v>
      </c>
      <c r="N30" s="43">
        <f t="shared" si="59"/>
        <v>0</v>
      </c>
      <c r="O30" s="43">
        <f t="shared" si="59"/>
        <v>0</v>
      </c>
      <c r="P30" s="43">
        <f t="shared" si="59"/>
        <v>0</v>
      </c>
      <c r="Q30" s="43">
        <f t="shared" si="59"/>
        <v>0</v>
      </c>
      <c r="R30" s="43">
        <f t="shared" si="59"/>
        <v>0</v>
      </c>
      <c r="S30" s="43">
        <f t="shared" si="59"/>
        <v>0</v>
      </c>
      <c r="T30" s="43">
        <f t="shared" si="59"/>
        <v>0</v>
      </c>
      <c r="U30" s="43">
        <f t="shared" si="59"/>
        <v>0</v>
      </c>
      <c r="V30" s="43">
        <f t="shared" si="59"/>
        <v>0</v>
      </c>
      <c r="W30" s="43">
        <f t="shared" si="59"/>
        <v>0</v>
      </c>
      <c r="X30" s="43">
        <f t="shared" si="59"/>
        <v>0</v>
      </c>
    </row>
    <row r="31" spans="3:24" ht="15.75" x14ac:dyDescent="0.25">
      <c r="C31" s="3" t="s">
        <v>69</v>
      </c>
      <c r="D31" s="131">
        <f>SUM(E31:X31)</f>
        <v>0</v>
      </c>
      <c r="E31" s="43">
        <f>IF($D$27&lt;E29,0,($D$33/$D$27))</f>
        <v>0</v>
      </c>
      <c r="F31" s="43">
        <f t="shared" ref="F31:I31" si="60">IF($D$27&lt;F29,0,($D$33/$D$27))</f>
        <v>0</v>
      </c>
      <c r="G31" s="43">
        <f t="shared" si="60"/>
        <v>0</v>
      </c>
      <c r="H31" s="43">
        <f t="shared" si="60"/>
        <v>0</v>
      </c>
      <c r="I31" s="43">
        <f t="shared" si="60"/>
        <v>0</v>
      </c>
      <c r="J31" s="43">
        <f t="shared" ref="J31:X31" si="61">IF($D$27&lt;J29,0,($D$33/$D$27))</f>
        <v>0</v>
      </c>
      <c r="K31" s="43">
        <f t="shared" si="61"/>
        <v>0</v>
      </c>
      <c r="L31" s="43">
        <f t="shared" si="61"/>
        <v>0</v>
      </c>
      <c r="M31" s="43">
        <f t="shared" si="61"/>
        <v>0</v>
      </c>
      <c r="N31" s="43">
        <f t="shared" si="61"/>
        <v>0</v>
      </c>
      <c r="O31" s="43">
        <f t="shared" si="61"/>
        <v>0</v>
      </c>
      <c r="P31" s="43">
        <f t="shared" si="61"/>
        <v>0</v>
      </c>
      <c r="Q31" s="43">
        <f t="shared" si="61"/>
        <v>0</v>
      </c>
      <c r="R31" s="43">
        <f t="shared" si="61"/>
        <v>0</v>
      </c>
      <c r="S31" s="43">
        <f t="shared" si="61"/>
        <v>0</v>
      </c>
      <c r="T31" s="43">
        <f t="shared" si="61"/>
        <v>0</v>
      </c>
      <c r="U31" s="43">
        <f t="shared" si="61"/>
        <v>0</v>
      </c>
      <c r="V31" s="43">
        <f t="shared" si="61"/>
        <v>0</v>
      </c>
      <c r="W31" s="43">
        <f t="shared" si="61"/>
        <v>0</v>
      </c>
      <c r="X31" s="43">
        <f t="shared" si="61"/>
        <v>0</v>
      </c>
    </row>
    <row r="32" spans="3:24" x14ac:dyDescent="0.25">
      <c r="C32" s="3" t="s">
        <v>70</v>
      </c>
      <c r="D32" s="40"/>
      <c r="E32" s="44">
        <f>D33*$D$26</f>
        <v>0</v>
      </c>
      <c r="F32" s="44">
        <f t="shared" ref="F32:I32" si="62">E33*$D$26</f>
        <v>0</v>
      </c>
      <c r="G32" s="44">
        <f t="shared" si="62"/>
        <v>0</v>
      </c>
      <c r="H32" s="44">
        <f t="shared" si="62"/>
        <v>0</v>
      </c>
      <c r="I32" s="44">
        <f t="shared" si="62"/>
        <v>0</v>
      </c>
      <c r="J32" s="44">
        <f t="shared" ref="J32" si="63">I33*$D$26</f>
        <v>0</v>
      </c>
      <c r="K32" s="44">
        <f t="shared" ref="K32" si="64">J33*$D$26</f>
        <v>0</v>
      </c>
      <c r="L32" s="44">
        <f t="shared" ref="L32" si="65">K33*$D$26</f>
        <v>0</v>
      </c>
      <c r="M32" s="44">
        <f t="shared" ref="M32" si="66">L33*$D$26</f>
        <v>0</v>
      </c>
      <c r="N32" s="44">
        <f t="shared" ref="N32" si="67">M33*$D$26</f>
        <v>0</v>
      </c>
      <c r="O32" s="44">
        <f t="shared" ref="O32" si="68">N33*$D$26</f>
        <v>0</v>
      </c>
      <c r="P32" s="44">
        <f t="shared" ref="P32" si="69">O33*$D$26</f>
        <v>0</v>
      </c>
      <c r="Q32" s="44">
        <f t="shared" ref="Q32" si="70">P33*$D$26</f>
        <v>0</v>
      </c>
      <c r="R32" s="44">
        <f t="shared" ref="R32" si="71">Q33*$D$26</f>
        <v>0</v>
      </c>
      <c r="S32" s="44">
        <f t="shared" ref="S32" si="72">R33*$D$26</f>
        <v>0</v>
      </c>
      <c r="T32" s="44">
        <f t="shared" ref="T32" si="73">S33*$D$26</f>
        <v>0</v>
      </c>
      <c r="U32" s="44">
        <f t="shared" ref="U32" si="74">T33*$D$26</f>
        <v>0</v>
      </c>
      <c r="V32" s="44">
        <f t="shared" ref="V32" si="75">U33*$D$26</f>
        <v>0</v>
      </c>
      <c r="W32" s="44">
        <f t="shared" ref="W32" si="76">V33*$D$26</f>
        <v>0</v>
      </c>
      <c r="X32" s="44">
        <f t="shared" ref="X32" si="77">W33*$D$26</f>
        <v>0</v>
      </c>
    </row>
    <row r="33" spans="3:24" x14ac:dyDescent="0.25">
      <c r="C33" s="3" t="s">
        <v>71</v>
      </c>
      <c r="D33" s="44">
        <f>$D$13</f>
        <v>0</v>
      </c>
      <c r="E33" s="44">
        <f>D33-E31</f>
        <v>0</v>
      </c>
      <c r="F33" s="44">
        <f t="shared" ref="F33:I33" si="78">E33-F31</f>
        <v>0</v>
      </c>
      <c r="G33" s="44">
        <f t="shared" si="78"/>
        <v>0</v>
      </c>
      <c r="H33" s="44">
        <f t="shared" si="78"/>
        <v>0</v>
      </c>
      <c r="I33" s="44">
        <f t="shared" si="78"/>
        <v>0</v>
      </c>
      <c r="J33" s="44">
        <f t="shared" ref="J33" si="79">I33-J31</f>
        <v>0</v>
      </c>
      <c r="K33" s="44">
        <f t="shared" ref="K33" si="80">J33-K31</f>
        <v>0</v>
      </c>
      <c r="L33" s="44">
        <f t="shared" ref="L33" si="81">K33-L31</f>
        <v>0</v>
      </c>
      <c r="M33" s="44">
        <f t="shared" ref="M33" si="82">L33-M31</f>
        <v>0</v>
      </c>
      <c r="N33" s="44">
        <f t="shared" ref="N33" si="83">M33-N31</f>
        <v>0</v>
      </c>
      <c r="O33" s="44">
        <f t="shared" ref="O33" si="84">N33-O31</f>
        <v>0</v>
      </c>
      <c r="P33" s="44">
        <f t="shared" ref="P33" si="85">O33-P31</f>
        <v>0</v>
      </c>
      <c r="Q33" s="44">
        <f t="shared" ref="Q33" si="86">P33-Q31</f>
        <v>0</v>
      </c>
      <c r="R33" s="44">
        <f t="shared" ref="R33" si="87">Q33-R31</f>
        <v>0</v>
      </c>
      <c r="S33" s="44">
        <f t="shared" ref="S33" si="88">R33-S31</f>
        <v>0</v>
      </c>
      <c r="T33" s="44">
        <f t="shared" ref="T33" si="89">S33-T31</f>
        <v>0</v>
      </c>
      <c r="U33" s="44">
        <f t="shared" ref="U33" si="90">T33-U31</f>
        <v>0</v>
      </c>
      <c r="V33" s="44">
        <f t="shared" ref="V33" si="91">U33-V31</f>
        <v>0</v>
      </c>
      <c r="W33" s="44">
        <f t="shared" ref="W33" si="92">V33-W31</f>
        <v>0</v>
      </c>
      <c r="X33" s="44">
        <f t="shared" ref="X33" si="93">W33-X31</f>
        <v>0</v>
      </c>
    </row>
    <row r="35" spans="3:24" x14ac:dyDescent="0.25">
      <c r="C35" s="38" t="s">
        <v>65</v>
      </c>
      <c r="D35" s="428">
        <f>$E$6</f>
        <v>0.17999999999999816</v>
      </c>
    </row>
    <row r="36" spans="3:24" ht="15.75" thickBot="1" x14ac:dyDescent="0.3"/>
    <row r="37" spans="3:24" ht="23.45" customHeight="1" thickBot="1" x14ac:dyDescent="0.4">
      <c r="C37" s="539" t="s">
        <v>73</v>
      </c>
      <c r="D37" s="540"/>
      <c r="E37" s="122" t="s">
        <v>143</v>
      </c>
      <c r="F37" s="114"/>
      <c r="G37" s="114"/>
      <c r="H37" s="114"/>
      <c r="I37" s="114"/>
    </row>
    <row r="38" spans="3:24" x14ac:dyDescent="0.25">
      <c r="C38" s="3" t="s">
        <v>38</v>
      </c>
      <c r="D38" s="3">
        <v>0</v>
      </c>
      <c r="E38" s="11">
        <f>D38+1</f>
        <v>1</v>
      </c>
      <c r="F38" s="3">
        <f t="shared" ref="F38" si="94">E38+1</f>
        <v>2</v>
      </c>
      <c r="G38" s="3">
        <f t="shared" ref="G38" si="95">F38+1</f>
        <v>3</v>
      </c>
      <c r="H38" s="3">
        <f t="shared" ref="H38" si="96">G38+1</f>
        <v>4</v>
      </c>
      <c r="I38" s="3">
        <f t="shared" ref="I38" si="97">H38+1</f>
        <v>5</v>
      </c>
      <c r="J38" s="3">
        <f t="shared" ref="J38" si="98">I38+1</f>
        <v>6</v>
      </c>
      <c r="K38" s="3">
        <f t="shared" ref="K38" si="99">J38+1</f>
        <v>7</v>
      </c>
      <c r="L38" s="3">
        <f t="shared" ref="L38" si="100">K38+1</f>
        <v>8</v>
      </c>
      <c r="M38" s="3">
        <f t="shared" ref="M38" si="101">L38+1</f>
        <v>9</v>
      </c>
      <c r="N38" s="3">
        <f t="shared" ref="N38" si="102">M38+1</f>
        <v>10</v>
      </c>
      <c r="O38" s="3">
        <f t="shared" ref="O38" si="103">N38+1</f>
        <v>11</v>
      </c>
      <c r="P38" s="3">
        <f t="shared" ref="P38" si="104">O38+1</f>
        <v>12</v>
      </c>
      <c r="Q38" s="3">
        <f t="shared" ref="Q38" si="105">P38+1</f>
        <v>13</v>
      </c>
      <c r="R38" s="3">
        <f t="shared" ref="R38" si="106">Q38+1</f>
        <v>14</v>
      </c>
      <c r="S38" s="3">
        <f t="shared" ref="S38" si="107">R38+1</f>
        <v>15</v>
      </c>
      <c r="T38" s="3">
        <f t="shared" ref="T38" si="108">S38+1</f>
        <v>16</v>
      </c>
      <c r="U38" s="3">
        <f t="shared" ref="U38" si="109">T38+1</f>
        <v>17</v>
      </c>
      <c r="V38" s="3">
        <f t="shared" ref="V38" si="110">U38+1</f>
        <v>18</v>
      </c>
      <c r="W38" s="3">
        <f t="shared" ref="W38" si="111">V38+1</f>
        <v>19</v>
      </c>
      <c r="X38" s="3">
        <f t="shared" ref="X38" si="112">W38+1</f>
        <v>20</v>
      </c>
    </row>
    <row r="39" spans="3:24" x14ac:dyDescent="0.25">
      <c r="C39" s="3" t="s">
        <v>68</v>
      </c>
      <c r="D39" s="40"/>
      <c r="E39" s="43">
        <f t="shared" ref="E39:F39" si="113">(E40+E41)</f>
        <v>0</v>
      </c>
      <c r="F39" s="43">
        <f t="shared" si="113"/>
        <v>0</v>
      </c>
      <c r="G39" s="43">
        <f t="shared" ref="G39" si="114">(G40+G41)</f>
        <v>0</v>
      </c>
      <c r="H39" s="43">
        <f t="shared" ref="H39" si="115">(H40+H41)</f>
        <v>0</v>
      </c>
      <c r="I39" s="43">
        <f t="shared" ref="I39:J39" si="116">(I40+I41)</f>
        <v>0</v>
      </c>
      <c r="J39" s="43">
        <f t="shared" si="116"/>
        <v>0</v>
      </c>
      <c r="K39" s="43">
        <f t="shared" ref="K39:X39" si="117">(K40+K41)</f>
        <v>0</v>
      </c>
      <c r="L39" s="43">
        <f t="shared" si="117"/>
        <v>0</v>
      </c>
      <c r="M39" s="43">
        <f t="shared" si="117"/>
        <v>0</v>
      </c>
      <c r="N39" s="43">
        <f t="shared" si="117"/>
        <v>0</v>
      </c>
      <c r="O39" s="43">
        <f t="shared" si="117"/>
        <v>0</v>
      </c>
      <c r="P39" s="43">
        <f t="shared" si="117"/>
        <v>0</v>
      </c>
      <c r="Q39" s="43">
        <f t="shared" si="117"/>
        <v>0</v>
      </c>
      <c r="R39" s="43">
        <f t="shared" si="117"/>
        <v>0</v>
      </c>
      <c r="S39" s="43">
        <f t="shared" si="117"/>
        <v>0</v>
      </c>
      <c r="T39" s="43">
        <f t="shared" si="117"/>
        <v>0</v>
      </c>
      <c r="U39" s="43">
        <f t="shared" si="117"/>
        <v>0</v>
      </c>
      <c r="V39" s="43">
        <f t="shared" si="117"/>
        <v>0</v>
      </c>
      <c r="W39" s="43">
        <f t="shared" si="117"/>
        <v>0</v>
      </c>
      <c r="X39" s="43">
        <f t="shared" si="117"/>
        <v>0</v>
      </c>
    </row>
    <row r="40" spans="3:24" ht="15.75" x14ac:dyDescent="0.25">
      <c r="C40" s="25" t="s">
        <v>69</v>
      </c>
      <c r="D40" s="131">
        <f>SUM(E40:X40)</f>
        <v>0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  <row r="41" spans="3:24" x14ac:dyDescent="0.25">
      <c r="C41" s="3" t="s">
        <v>70</v>
      </c>
      <c r="D41" s="40"/>
      <c r="E41" s="44">
        <f>D42*$D$26</f>
        <v>0</v>
      </c>
      <c r="F41" s="44">
        <f t="shared" ref="F41:J41" si="118">E42*$D$26</f>
        <v>0</v>
      </c>
      <c r="G41" s="44">
        <f t="shared" si="118"/>
        <v>0</v>
      </c>
      <c r="H41" s="44">
        <f t="shared" si="118"/>
        <v>0</v>
      </c>
      <c r="I41" s="44">
        <f t="shared" si="118"/>
        <v>0</v>
      </c>
      <c r="J41" s="44">
        <f t="shared" si="118"/>
        <v>0</v>
      </c>
      <c r="K41" s="44">
        <f t="shared" ref="K41" si="119">J42*$D$26</f>
        <v>0</v>
      </c>
      <c r="L41" s="44">
        <f t="shared" ref="L41" si="120">K42*$D$26</f>
        <v>0</v>
      </c>
      <c r="M41" s="44">
        <f t="shared" ref="M41" si="121">L42*$D$26</f>
        <v>0</v>
      </c>
      <c r="N41" s="44">
        <f t="shared" ref="N41" si="122">M42*$D$26</f>
        <v>0</v>
      </c>
      <c r="O41" s="44">
        <f t="shared" ref="O41" si="123">N42*$D$26</f>
        <v>0</v>
      </c>
      <c r="P41" s="44">
        <f t="shared" ref="P41" si="124">O42*$D$26</f>
        <v>0</v>
      </c>
      <c r="Q41" s="44">
        <f t="shared" ref="Q41" si="125">P42*$D$26</f>
        <v>0</v>
      </c>
      <c r="R41" s="44">
        <f t="shared" ref="R41" si="126">Q42*$D$26</f>
        <v>0</v>
      </c>
      <c r="S41" s="44">
        <f t="shared" ref="S41" si="127">R42*$D$26</f>
        <v>0</v>
      </c>
      <c r="T41" s="44">
        <f t="shared" ref="T41" si="128">S42*$D$26</f>
        <v>0</v>
      </c>
      <c r="U41" s="44">
        <f t="shared" ref="U41" si="129">T42*$D$26</f>
        <v>0</v>
      </c>
      <c r="V41" s="44">
        <f t="shared" ref="V41" si="130">U42*$D$26</f>
        <v>0</v>
      </c>
      <c r="W41" s="44">
        <f t="shared" ref="W41" si="131">V42*$D$26</f>
        <v>0</v>
      </c>
      <c r="X41" s="44">
        <f t="shared" ref="X41" si="132">W42*$D$26</f>
        <v>0</v>
      </c>
    </row>
    <row r="42" spans="3:24" x14ac:dyDescent="0.25">
      <c r="C42" s="3" t="s">
        <v>71</v>
      </c>
      <c r="D42" s="44">
        <f>$D$13</f>
        <v>0</v>
      </c>
      <c r="E42" s="44">
        <f>D42-E40</f>
        <v>0</v>
      </c>
      <c r="F42" s="44">
        <f t="shared" ref="F42:J42" si="133">E42-F40</f>
        <v>0</v>
      </c>
      <c r="G42" s="44">
        <f t="shared" si="133"/>
        <v>0</v>
      </c>
      <c r="H42" s="44">
        <f t="shared" si="133"/>
        <v>0</v>
      </c>
      <c r="I42" s="44">
        <f t="shared" si="133"/>
        <v>0</v>
      </c>
      <c r="J42" s="44">
        <f t="shared" si="133"/>
        <v>0</v>
      </c>
      <c r="K42" s="44">
        <f t="shared" ref="K42" si="134">J42-K40</f>
        <v>0</v>
      </c>
      <c r="L42" s="44">
        <f t="shared" ref="L42" si="135">K42-L40</f>
        <v>0</v>
      </c>
      <c r="M42" s="44">
        <f t="shared" ref="M42" si="136">L42-M40</f>
        <v>0</v>
      </c>
      <c r="N42" s="44">
        <f t="shared" ref="N42" si="137">M42-N40</f>
        <v>0</v>
      </c>
      <c r="O42" s="44">
        <f t="shared" ref="O42" si="138">N42-O40</f>
        <v>0</v>
      </c>
      <c r="P42" s="44">
        <f t="shared" ref="P42" si="139">O42-P40</f>
        <v>0</v>
      </c>
      <c r="Q42" s="44">
        <f t="shared" ref="Q42" si="140">P42-Q40</f>
        <v>0</v>
      </c>
      <c r="R42" s="44">
        <f t="shared" ref="R42" si="141">Q42-R40</f>
        <v>0</v>
      </c>
      <c r="S42" s="44">
        <f t="shared" ref="S42" si="142">R42-S40</f>
        <v>0</v>
      </c>
      <c r="T42" s="44">
        <f t="shared" ref="T42" si="143">S42-T40</f>
        <v>0</v>
      </c>
      <c r="U42" s="44">
        <f t="shared" ref="U42" si="144">T42-U40</f>
        <v>0</v>
      </c>
      <c r="V42" s="44">
        <f t="shared" ref="V42" si="145">U42-V40</f>
        <v>0</v>
      </c>
      <c r="W42" s="44">
        <f t="shared" ref="W42" si="146">V42-W40</f>
        <v>0</v>
      </c>
      <c r="X42" s="44">
        <f t="shared" ref="X42" si="147">W42-X40</f>
        <v>0</v>
      </c>
    </row>
    <row r="44" spans="3:24" x14ac:dyDescent="0.25">
      <c r="C44" s="38" t="s">
        <v>65</v>
      </c>
      <c r="D44" s="428">
        <f>$E$6</f>
        <v>0.17999999999999816</v>
      </c>
    </row>
    <row r="45" spans="3:24" ht="19.5" thickBot="1" x14ac:dyDescent="0.35">
      <c r="C45" s="26" t="s">
        <v>66</v>
      </c>
      <c r="D45" s="129">
        <v>5</v>
      </c>
    </row>
    <row r="46" spans="3:24" ht="21.6" customHeight="1" thickBot="1" x14ac:dyDescent="0.4">
      <c r="C46" s="539" t="s">
        <v>74</v>
      </c>
      <c r="D46" s="540"/>
      <c r="E46" s="114"/>
      <c r="F46" s="114"/>
      <c r="G46" s="114"/>
      <c r="H46" s="114"/>
      <c r="I46" s="114"/>
      <c r="J46" s="47"/>
      <c r="K46" s="47"/>
    </row>
    <row r="47" spans="3:24" x14ac:dyDescent="0.25">
      <c r="C47" s="3" t="s">
        <v>38</v>
      </c>
      <c r="D47" s="3">
        <v>0</v>
      </c>
      <c r="E47" s="3">
        <f>D47+1</f>
        <v>1</v>
      </c>
      <c r="F47" s="3">
        <f t="shared" ref="F47" si="148">E47+1</f>
        <v>2</v>
      </c>
      <c r="G47" s="3">
        <f t="shared" ref="G47" si="149">F47+1</f>
        <v>3</v>
      </c>
      <c r="H47" s="3">
        <f t="shared" ref="H47" si="150">G47+1</f>
        <v>4</v>
      </c>
      <c r="I47" s="3">
        <f t="shared" ref="I47" si="151">H47+1</f>
        <v>5</v>
      </c>
      <c r="J47" s="3">
        <f t="shared" ref="J47" si="152">I47+1</f>
        <v>6</v>
      </c>
      <c r="K47" s="3">
        <f t="shared" ref="K47" si="153">J47+1</f>
        <v>7</v>
      </c>
      <c r="L47" s="3">
        <f t="shared" ref="L47" si="154">K47+1</f>
        <v>8</v>
      </c>
      <c r="M47" s="3">
        <f t="shared" ref="M47" si="155">L47+1</f>
        <v>9</v>
      </c>
      <c r="N47" s="3">
        <f t="shared" ref="N47" si="156">M47+1</f>
        <v>10</v>
      </c>
      <c r="O47" s="3">
        <f t="shared" ref="O47" si="157">N47+1</f>
        <v>11</v>
      </c>
      <c r="P47" s="3">
        <f t="shared" ref="P47" si="158">O47+1</f>
        <v>12</v>
      </c>
      <c r="Q47" s="3">
        <f t="shared" ref="Q47" si="159">P47+1</f>
        <v>13</v>
      </c>
      <c r="R47" s="3">
        <f t="shared" ref="R47" si="160">Q47+1</f>
        <v>14</v>
      </c>
      <c r="S47" s="3">
        <f t="shared" ref="S47" si="161">R47+1</f>
        <v>15</v>
      </c>
      <c r="T47" s="3">
        <f t="shared" ref="T47" si="162">S47+1</f>
        <v>16</v>
      </c>
      <c r="U47" s="3">
        <f t="shared" ref="U47" si="163">T47+1</f>
        <v>17</v>
      </c>
      <c r="V47" s="3">
        <f t="shared" ref="V47" si="164">U47+1</f>
        <v>18</v>
      </c>
      <c r="W47" s="3">
        <f t="shared" ref="W47" si="165">V47+1</f>
        <v>19</v>
      </c>
      <c r="X47" s="3">
        <f t="shared" ref="X47" si="166">W47+1</f>
        <v>20</v>
      </c>
    </row>
    <row r="48" spans="3:24" x14ac:dyDescent="0.25">
      <c r="C48" s="3" t="s">
        <v>68</v>
      </c>
      <c r="D48" s="40"/>
      <c r="E48" s="43">
        <f>E49+E50</f>
        <v>0</v>
      </c>
      <c r="F48" s="43">
        <f t="shared" ref="F48:I48" si="167">F49+F50</f>
        <v>0</v>
      </c>
      <c r="G48" s="43">
        <f t="shared" si="167"/>
        <v>0</v>
      </c>
      <c r="H48" s="43">
        <f t="shared" si="167"/>
        <v>0</v>
      </c>
      <c r="I48" s="43">
        <f t="shared" si="167"/>
        <v>0</v>
      </c>
      <c r="J48" s="43">
        <f t="shared" ref="J48:X48" si="168">J49+J50</f>
        <v>0</v>
      </c>
      <c r="K48" s="43">
        <f t="shared" si="168"/>
        <v>0</v>
      </c>
      <c r="L48" s="43">
        <f t="shared" si="168"/>
        <v>0</v>
      </c>
      <c r="M48" s="43">
        <f t="shared" si="168"/>
        <v>0</v>
      </c>
      <c r="N48" s="43">
        <f t="shared" si="168"/>
        <v>0</v>
      </c>
      <c r="O48" s="43">
        <f t="shared" si="168"/>
        <v>0</v>
      </c>
      <c r="P48" s="43">
        <f t="shared" si="168"/>
        <v>0</v>
      </c>
      <c r="Q48" s="43">
        <f t="shared" si="168"/>
        <v>0</v>
      </c>
      <c r="R48" s="43">
        <f t="shared" si="168"/>
        <v>0</v>
      </c>
      <c r="S48" s="43">
        <f t="shared" si="168"/>
        <v>0</v>
      </c>
      <c r="T48" s="43">
        <f t="shared" si="168"/>
        <v>0</v>
      </c>
      <c r="U48" s="43">
        <f t="shared" si="168"/>
        <v>0</v>
      </c>
      <c r="V48" s="43">
        <f t="shared" si="168"/>
        <v>0</v>
      </c>
      <c r="W48" s="43">
        <f t="shared" si="168"/>
        <v>0</v>
      </c>
      <c r="X48" s="43">
        <f t="shared" si="168"/>
        <v>0</v>
      </c>
    </row>
    <row r="49" spans="3:24" x14ac:dyDescent="0.25">
      <c r="C49" s="3" t="s">
        <v>69</v>
      </c>
      <c r="D49" s="45"/>
      <c r="E49" s="46">
        <f>IF($D$45=E47,D51,0)</f>
        <v>0</v>
      </c>
      <c r="F49" s="46">
        <f t="shared" ref="F49:X49" si="169">IF($D$45=F47,E51,0)</f>
        <v>0</v>
      </c>
      <c r="G49" s="46">
        <f>IF($D$45=G47,F51,0)</f>
        <v>0</v>
      </c>
      <c r="H49" s="46">
        <f t="shared" si="169"/>
        <v>0</v>
      </c>
      <c r="I49" s="46">
        <f t="shared" si="169"/>
        <v>0</v>
      </c>
      <c r="J49" s="46">
        <f t="shared" si="169"/>
        <v>0</v>
      </c>
      <c r="K49" s="46">
        <f t="shared" si="169"/>
        <v>0</v>
      </c>
      <c r="L49" s="46">
        <f t="shared" si="169"/>
        <v>0</v>
      </c>
      <c r="M49" s="46">
        <f t="shared" si="169"/>
        <v>0</v>
      </c>
      <c r="N49" s="46">
        <f t="shared" si="169"/>
        <v>0</v>
      </c>
      <c r="O49" s="46">
        <f t="shared" si="169"/>
        <v>0</v>
      </c>
      <c r="P49" s="46">
        <f t="shared" si="169"/>
        <v>0</v>
      </c>
      <c r="Q49" s="46">
        <f t="shared" si="169"/>
        <v>0</v>
      </c>
      <c r="R49" s="46">
        <f t="shared" si="169"/>
        <v>0</v>
      </c>
      <c r="S49" s="46">
        <f t="shared" si="169"/>
        <v>0</v>
      </c>
      <c r="T49" s="46">
        <f t="shared" si="169"/>
        <v>0</v>
      </c>
      <c r="U49" s="46">
        <f t="shared" si="169"/>
        <v>0</v>
      </c>
      <c r="V49" s="46">
        <f t="shared" si="169"/>
        <v>0</v>
      </c>
      <c r="W49" s="46">
        <f t="shared" si="169"/>
        <v>0</v>
      </c>
      <c r="X49" s="46">
        <f t="shared" si="169"/>
        <v>0</v>
      </c>
    </row>
    <row r="50" spans="3:24" x14ac:dyDescent="0.25">
      <c r="C50" s="3" t="s">
        <v>70</v>
      </c>
      <c r="D50" s="40"/>
      <c r="E50" s="44">
        <f>E49*$D$44</f>
        <v>0</v>
      </c>
      <c r="F50" s="44">
        <f t="shared" ref="F50:X50" si="170">F49*$D$44</f>
        <v>0</v>
      </c>
      <c r="G50" s="44">
        <f t="shared" si="170"/>
        <v>0</v>
      </c>
      <c r="H50" s="44">
        <f t="shared" si="170"/>
        <v>0</v>
      </c>
      <c r="I50" s="44">
        <f t="shared" si="170"/>
        <v>0</v>
      </c>
      <c r="J50" s="44">
        <f t="shared" si="170"/>
        <v>0</v>
      </c>
      <c r="K50" s="44">
        <f t="shared" si="170"/>
        <v>0</v>
      </c>
      <c r="L50" s="44">
        <f t="shared" si="170"/>
        <v>0</v>
      </c>
      <c r="M50" s="44">
        <f t="shared" si="170"/>
        <v>0</v>
      </c>
      <c r="N50" s="44">
        <f t="shared" si="170"/>
        <v>0</v>
      </c>
      <c r="O50" s="44">
        <f t="shared" si="170"/>
        <v>0</v>
      </c>
      <c r="P50" s="44">
        <f t="shared" si="170"/>
        <v>0</v>
      </c>
      <c r="Q50" s="44">
        <f t="shared" si="170"/>
        <v>0</v>
      </c>
      <c r="R50" s="44">
        <f t="shared" si="170"/>
        <v>0</v>
      </c>
      <c r="S50" s="44">
        <f t="shared" si="170"/>
        <v>0</v>
      </c>
      <c r="T50" s="44">
        <f t="shared" si="170"/>
        <v>0</v>
      </c>
      <c r="U50" s="44">
        <f t="shared" si="170"/>
        <v>0</v>
      </c>
      <c r="V50" s="44">
        <f t="shared" si="170"/>
        <v>0</v>
      </c>
      <c r="W50" s="44">
        <f t="shared" si="170"/>
        <v>0</v>
      </c>
      <c r="X50" s="44">
        <f t="shared" si="170"/>
        <v>0</v>
      </c>
    </row>
    <row r="51" spans="3:24" x14ac:dyDescent="0.25">
      <c r="C51" s="3" t="s">
        <v>71</v>
      </c>
      <c r="D51" s="44">
        <f>$D$13</f>
        <v>0</v>
      </c>
      <c r="E51" s="44">
        <f>IF(E47&gt;$D$45,0,(D51*(1+$D$44)))</f>
        <v>0</v>
      </c>
      <c r="F51" s="44">
        <f t="shared" ref="F51:X51" si="171">IF(F47&gt;$D$45,0,(E51*(1+$D$44)))</f>
        <v>0</v>
      </c>
      <c r="G51" s="44">
        <f t="shared" si="171"/>
        <v>0</v>
      </c>
      <c r="H51" s="44">
        <f t="shared" si="171"/>
        <v>0</v>
      </c>
      <c r="I51" s="44">
        <f t="shared" si="171"/>
        <v>0</v>
      </c>
      <c r="J51" s="44">
        <f t="shared" si="171"/>
        <v>0</v>
      </c>
      <c r="K51" s="44">
        <f t="shared" si="171"/>
        <v>0</v>
      </c>
      <c r="L51" s="44">
        <f t="shared" si="171"/>
        <v>0</v>
      </c>
      <c r="M51" s="44">
        <f t="shared" si="171"/>
        <v>0</v>
      </c>
      <c r="N51" s="44">
        <f t="shared" si="171"/>
        <v>0</v>
      </c>
      <c r="O51" s="44">
        <f t="shared" si="171"/>
        <v>0</v>
      </c>
      <c r="P51" s="44">
        <f t="shared" si="171"/>
        <v>0</v>
      </c>
      <c r="Q51" s="44">
        <f t="shared" si="171"/>
        <v>0</v>
      </c>
      <c r="R51" s="44">
        <f t="shared" si="171"/>
        <v>0</v>
      </c>
      <c r="S51" s="44">
        <f t="shared" si="171"/>
        <v>0</v>
      </c>
      <c r="T51" s="44">
        <f t="shared" si="171"/>
        <v>0</v>
      </c>
      <c r="U51" s="44">
        <f t="shared" si="171"/>
        <v>0</v>
      </c>
      <c r="V51" s="44">
        <f t="shared" si="171"/>
        <v>0</v>
      </c>
      <c r="W51" s="44">
        <f t="shared" si="171"/>
        <v>0</v>
      </c>
      <c r="X51" s="44">
        <f t="shared" si="171"/>
        <v>0</v>
      </c>
    </row>
    <row r="53" spans="3:24" x14ac:dyDescent="0.25">
      <c r="C53" s="38" t="s">
        <v>65</v>
      </c>
      <c r="D53" s="429"/>
      <c r="E53" s="428">
        <f>$E$6</f>
        <v>0.17999999999999816</v>
      </c>
    </row>
    <row r="54" spans="3:24" ht="15.75" thickBot="1" x14ac:dyDescent="0.3">
      <c r="C54" s="26" t="s">
        <v>119</v>
      </c>
      <c r="E54" s="48"/>
    </row>
    <row r="55" spans="3:24" ht="24.6" customHeight="1" thickBot="1" x14ac:dyDescent="0.4">
      <c r="C55" s="539" t="s">
        <v>117</v>
      </c>
      <c r="D55" s="540"/>
      <c r="E55" s="130">
        <v>5</v>
      </c>
      <c r="F55" s="114"/>
      <c r="G55" s="114"/>
      <c r="H55" s="114"/>
      <c r="I55" s="114"/>
    </row>
    <row r="56" spans="3:24" x14ac:dyDescent="0.25">
      <c r="C56" s="3" t="s">
        <v>38</v>
      </c>
      <c r="D56" s="3">
        <v>0</v>
      </c>
      <c r="E56" s="3">
        <f>D56+1</f>
        <v>1</v>
      </c>
      <c r="F56" s="3">
        <f t="shared" ref="F56:X56" si="172">E56+1</f>
        <v>2</v>
      </c>
      <c r="G56" s="3">
        <f t="shared" si="172"/>
        <v>3</v>
      </c>
      <c r="H56" s="3">
        <f t="shared" si="172"/>
        <v>4</v>
      </c>
      <c r="I56" s="3">
        <f t="shared" si="172"/>
        <v>5</v>
      </c>
      <c r="J56" s="3">
        <f t="shared" si="172"/>
        <v>6</v>
      </c>
      <c r="K56" s="3">
        <f t="shared" si="172"/>
        <v>7</v>
      </c>
      <c r="L56" s="3">
        <f t="shared" si="172"/>
        <v>8</v>
      </c>
      <c r="M56" s="3">
        <f t="shared" si="172"/>
        <v>9</v>
      </c>
      <c r="N56" s="3">
        <f t="shared" si="172"/>
        <v>10</v>
      </c>
      <c r="O56" s="3">
        <f t="shared" si="172"/>
        <v>11</v>
      </c>
      <c r="P56" s="3">
        <f t="shared" si="172"/>
        <v>12</v>
      </c>
      <c r="Q56" s="3">
        <f t="shared" si="172"/>
        <v>13</v>
      </c>
      <c r="R56" s="3">
        <f t="shared" si="172"/>
        <v>14</v>
      </c>
      <c r="S56" s="3">
        <f t="shared" si="172"/>
        <v>15</v>
      </c>
      <c r="T56" s="3">
        <f t="shared" si="172"/>
        <v>16</v>
      </c>
      <c r="U56" s="3">
        <f t="shared" si="172"/>
        <v>17</v>
      </c>
      <c r="V56" s="3">
        <f t="shared" si="172"/>
        <v>18</v>
      </c>
      <c r="W56" s="3">
        <f t="shared" si="172"/>
        <v>19</v>
      </c>
      <c r="X56" s="3">
        <f t="shared" si="172"/>
        <v>20</v>
      </c>
    </row>
    <row r="57" spans="3:24" x14ac:dyDescent="0.25">
      <c r="C57" s="3" t="s">
        <v>68</v>
      </c>
      <c r="D57" s="40"/>
      <c r="E57" s="49"/>
      <c r="F57" s="46">
        <f>IF(F56&gt;$E$55,0,(E57+$E54))</f>
        <v>0</v>
      </c>
      <c r="G57" s="46">
        <f t="shared" ref="G57:X57" si="173">IF(G56&gt;$E$55,0,(F57+$E54))</f>
        <v>0</v>
      </c>
      <c r="H57" s="46">
        <f t="shared" si="173"/>
        <v>0</v>
      </c>
      <c r="I57" s="46">
        <f t="shared" si="173"/>
        <v>0</v>
      </c>
      <c r="J57" s="46">
        <f t="shared" si="173"/>
        <v>0</v>
      </c>
      <c r="K57" s="46">
        <f t="shared" si="173"/>
        <v>0</v>
      </c>
      <c r="L57" s="46">
        <f t="shared" si="173"/>
        <v>0</v>
      </c>
      <c r="M57" s="46">
        <f t="shared" si="173"/>
        <v>0</v>
      </c>
      <c r="N57" s="46">
        <f t="shared" si="173"/>
        <v>0</v>
      </c>
      <c r="O57" s="46">
        <f t="shared" si="173"/>
        <v>0</v>
      </c>
      <c r="P57" s="46">
        <f t="shared" si="173"/>
        <v>0</v>
      </c>
      <c r="Q57" s="46">
        <f t="shared" si="173"/>
        <v>0</v>
      </c>
      <c r="R57" s="46">
        <f t="shared" si="173"/>
        <v>0</v>
      </c>
      <c r="S57" s="46">
        <f t="shared" si="173"/>
        <v>0</v>
      </c>
      <c r="T57" s="46">
        <f t="shared" si="173"/>
        <v>0</v>
      </c>
      <c r="U57" s="46">
        <f t="shared" si="173"/>
        <v>0</v>
      </c>
      <c r="V57" s="46">
        <f t="shared" si="173"/>
        <v>0</v>
      </c>
      <c r="W57" s="46">
        <f t="shared" si="173"/>
        <v>0</v>
      </c>
      <c r="X57" s="46">
        <f t="shared" si="173"/>
        <v>0</v>
      </c>
    </row>
    <row r="58" spans="3:24" ht="18.75" x14ac:dyDescent="0.3">
      <c r="C58" s="3" t="s">
        <v>69</v>
      </c>
      <c r="D58" s="125">
        <f>SUM(E58:X58)</f>
        <v>0</v>
      </c>
      <c r="E58" s="44">
        <f>E57-E59</f>
        <v>0</v>
      </c>
      <c r="F58" s="44">
        <f t="shared" ref="F58:X58" si="174">F57-F59</f>
        <v>0</v>
      </c>
      <c r="G58" s="44">
        <f t="shared" si="174"/>
        <v>0</v>
      </c>
      <c r="H58" s="44">
        <f t="shared" si="174"/>
        <v>0</v>
      </c>
      <c r="I58" s="44">
        <f t="shared" si="174"/>
        <v>0</v>
      </c>
      <c r="J58" s="44">
        <f t="shared" si="174"/>
        <v>0</v>
      </c>
      <c r="K58" s="44">
        <f t="shared" si="174"/>
        <v>0</v>
      </c>
      <c r="L58" s="44">
        <f t="shared" si="174"/>
        <v>0</v>
      </c>
      <c r="M58" s="44">
        <f t="shared" si="174"/>
        <v>0</v>
      </c>
      <c r="N58" s="44">
        <f t="shared" si="174"/>
        <v>0</v>
      </c>
      <c r="O58" s="44">
        <f t="shared" si="174"/>
        <v>0</v>
      </c>
      <c r="P58" s="44">
        <f t="shared" si="174"/>
        <v>0</v>
      </c>
      <c r="Q58" s="44">
        <f t="shared" si="174"/>
        <v>0</v>
      </c>
      <c r="R58" s="44">
        <f t="shared" si="174"/>
        <v>0</v>
      </c>
      <c r="S58" s="44">
        <f t="shared" si="174"/>
        <v>0</v>
      </c>
      <c r="T58" s="44">
        <f t="shared" si="174"/>
        <v>0</v>
      </c>
      <c r="U58" s="44">
        <f t="shared" si="174"/>
        <v>0</v>
      </c>
      <c r="V58" s="44">
        <f t="shared" si="174"/>
        <v>0</v>
      </c>
      <c r="W58" s="44">
        <f t="shared" si="174"/>
        <v>0</v>
      </c>
      <c r="X58" s="44">
        <f t="shared" si="174"/>
        <v>0</v>
      </c>
    </row>
    <row r="59" spans="3:24" x14ac:dyDescent="0.25">
      <c r="C59" s="3" t="s">
        <v>70</v>
      </c>
      <c r="D59" s="40"/>
      <c r="E59" s="44">
        <f>D60*$E53</f>
        <v>0</v>
      </c>
      <c r="F59" s="44">
        <f t="shared" ref="F59:X59" si="175">E60*$E53</f>
        <v>0</v>
      </c>
      <c r="G59" s="44">
        <f t="shared" si="175"/>
        <v>0</v>
      </c>
      <c r="H59" s="44">
        <f t="shared" si="175"/>
        <v>0</v>
      </c>
      <c r="I59" s="44">
        <f t="shared" si="175"/>
        <v>0</v>
      </c>
      <c r="J59" s="44">
        <f t="shared" si="175"/>
        <v>0</v>
      </c>
      <c r="K59" s="44">
        <f t="shared" si="175"/>
        <v>0</v>
      </c>
      <c r="L59" s="44">
        <f t="shared" si="175"/>
        <v>0</v>
      </c>
      <c r="M59" s="44">
        <f t="shared" si="175"/>
        <v>0</v>
      </c>
      <c r="N59" s="44">
        <f t="shared" si="175"/>
        <v>0</v>
      </c>
      <c r="O59" s="44">
        <f t="shared" si="175"/>
        <v>0</v>
      </c>
      <c r="P59" s="44">
        <f t="shared" si="175"/>
        <v>0</v>
      </c>
      <c r="Q59" s="44">
        <f t="shared" si="175"/>
        <v>0</v>
      </c>
      <c r="R59" s="44">
        <f t="shared" si="175"/>
        <v>0</v>
      </c>
      <c r="S59" s="44">
        <f t="shared" si="175"/>
        <v>0</v>
      </c>
      <c r="T59" s="44">
        <f t="shared" si="175"/>
        <v>0</v>
      </c>
      <c r="U59" s="44">
        <f t="shared" si="175"/>
        <v>0</v>
      </c>
      <c r="V59" s="44">
        <f t="shared" si="175"/>
        <v>0</v>
      </c>
      <c r="W59" s="44">
        <f t="shared" si="175"/>
        <v>0</v>
      </c>
      <c r="X59" s="44">
        <f t="shared" si="175"/>
        <v>0</v>
      </c>
    </row>
    <row r="60" spans="3:24" x14ac:dyDescent="0.25">
      <c r="C60" s="3" t="s">
        <v>71</v>
      </c>
      <c r="D60" s="44">
        <f>$D$21</f>
        <v>0</v>
      </c>
      <c r="E60" s="44">
        <f>D60-E58</f>
        <v>0</v>
      </c>
      <c r="F60" s="44">
        <f>ROUND(E60-F58,0)</f>
        <v>0</v>
      </c>
      <c r="G60" s="44">
        <f t="shared" ref="G60:X60" si="176">ROUND(F60-G58,0)</f>
        <v>0</v>
      </c>
      <c r="H60" s="44">
        <f t="shared" si="176"/>
        <v>0</v>
      </c>
      <c r="I60" s="44">
        <f t="shared" si="176"/>
        <v>0</v>
      </c>
      <c r="J60" s="44">
        <f t="shared" si="176"/>
        <v>0</v>
      </c>
      <c r="K60" s="44">
        <f t="shared" si="176"/>
        <v>0</v>
      </c>
      <c r="L60" s="44">
        <f t="shared" si="176"/>
        <v>0</v>
      </c>
      <c r="M60" s="44">
        <f t="shared" si="176"/>
        <v>0</v>
      </c>
      <c r="N60" s="44">
        <f t="shared" si="176"/>
        <v>0</v>
      </c>
      <c r="O60" s="44">
        <f t="shared" si="176"/>
        <v>0</v>
      </c>
      <c r="P60" s="44">
        <f>ROUND(O60-P58,0)</f>
        <v>0</v>
      </c>
      <c r="Q60" s="44">
        <f t="shared" si="176"/>
        <v>0</v>
      </c>
      <c r="R60" s="44">
        <f t="shared" si="176"/>
        <v>0</v>
      </c>
      <c r="S60" s="44">
        <f t="shared" si="176"/>
        <v>0</v>
      </c>
      <c r="T60" s="44">
        <f t="shared" si="176"/>
        <v>0</v>
      </c>
      <c r="U60" s="44">
        <f t="shared" si="176"/>
        <v>0</v>
      </c>
      <c r="V60" s="44">
        <f t="shared" si="176"/>
        <v>0</v>
      </c>
      <c r="W60" s="44">
        <f t="shared" si="176"/>
        <v>0</v>
      </c>
      <c r="X60" s="44">
        <f t="shared" si="176"/>
        <v>0</v>
      </c>
    </row>
    <row r="62" spans="3:24" x14ac:dyDescent="0.25">
      <c r="C62" s="38" t="s">
        <v>65</v>
      </c>
      <c r="D62" s="429"/>
      <c r="E62" s="428">
        <f>$E$6</f>
        <v>0.17999999999999816</v>
      </c>
    </row>
    <row r="63" spans="3:24" ht="15.75" thickBot="1" x14ac:dyDescent="0.3">
      <c r="C63" s="26" t="s">
        <v>118</v>
      </c>
      <c r="E63" s="48"/>
    </row>
    <row r="64" spans="3:24" ht="21.75" thickBot="1" x14ac:dyDescent="0.4">
      <c r="C64" s="539" t="s">
        <v>117</v>
      </c>
      <c r="D64" s="540"/>
      <c r="E64" s="130">
        <v>4</v>
      </c>
      <c r="F64" s="114"/>
      <c r="G64" s="114"/>
      <c r="H64" s="114"/>
      <c r="I64" s="114"/>
    </row>
    <row r="65" spans="3:24" x14ac:dyDescent="0.25">
      <c r="C65" s="3" t="s">
        <v>38</v>
      </c>
      <c r="D65" s="3">
        <v>0</v>
      </c>
      <c r="E65" s="3">
        <f>D65+1</f>
        <v>1</v>
      </c>
      <c r="F65" s="3">
        <f t="shared" ref="F65:X65" si="177">E65+1</f>
        <v>2</v>
      </c>
      <c r="G65" s="3">
        <f t="shared" si="177"/>
        <v>3</v>
      </c>
      <c r="H65" s="3">
        <f t="shared" si="177"/>
        <v>4</v>
      </c>
      <c r="I65" s="3">
        <f t="shared" si="177"/>
        <v>5</v>
      </c>
      <c r="J65" s="3">
        <f t="shared" si="177"/>
        <v>6</v>
      </c>
      <c r="K65" s="3">
        <f t="shared" si="177"/>
        <v>7</v>
      </c>
      <c r="L65" s="3">
        <f t="shared" si="177"/>
        <v>8</v>
      </c>
      <c r="M65" s="3">
        <f t="shared" si="177"/>
        <v>9</v>
      </c>
      <c r="N65" s="3">
        <f t="shared" si="177"/>
        <v>10</v>
      </c>
      <c r="O65" s="3">
        <f t="shared" si="177"/>
        <v>11</v>
      </c>
      <c r="P65" s="3">
        <f t="shared" si="177"/>
        <v>12</v>
      </c>
      <c r="Q65" s="3">
        <f t="shared" si="177"/>
        <v>13</v>
      </c>
      <c r="R65" s="3">
        <f t="shared" si="177"/>
        <v>14</v>
      </c>
      <c r="S65" s="3">
        <f t="shared" si="177"/>
        <v>15</v>
      </c>
      <c r="T65" s="3">
        <f t="shared" si="177"/>
        <v>16</v>
      </c>
      <c r="U65" s="3">
        <f t="shared" si="177"/>
        <v>17</v>
      </c>
      <c r="V65" s="3">
        <f t="shared" si="177"/>
        <v>18</v>
      </c>
      <c r="W65" s="3">
        <f t="shared" si="177"/>
        <v>19</v>
      </c>
      <c r="X65" s="3">
        <f t="shared" si="177"/>
        <v>20</v>
      </c>
    </row>
    <row r="66" spans="3:24" x14ac:dyDescent="0.25">
      <c r="C66" s="3" t="s">
        <v>68</v>
      </c>
      <c r="D66" s="40"/>
      <c r="E66" s="49"/>
      <c r="F66" s="46">
        <f>IF(F65&gt;$E$64,0,(E66-$E$63))</f>
        <v>0</v>
      </c>
      <c r="G66" s="46">
        <f t="shared" ref="G66:X66" si="178">IF(G65&gt;$E$64,0,(F66-$E$63))</f>
        <v>0</v>
      </c>
      <c r="H66" s="46">
        <f t="shared" si="178"/>
        <v>0</v>
      </c>
      <c r="I66" s="46">
        <f t="shared" si="178"/>
        <v>0</v>
      </c>
      <c r="J66" s="46">
        <f t="shared" si="178"/>
        <v>0</v>
      </c>
      <c r="K66" s="46">
        <f t="shared" si="178"/>
        <v>0</v>
      </c>
      <c r="L66" s="46">
        <f t="shared" si="178"/>
        <v>0</v>
      </c>
      <c r="M66" s="46">
        <f t="shared" si="178"/>
        <v>0</v>
      </c>
      <c r="N66" s="46">
        <f t="shared" si="178"/>
        <v>0</v>
      </c>
      <c r="O66" s="46">
        <f t="shared" si="178"/>
        <v>0</v>
      </c>
      <c r="P66" s="46">
        <f t="shared" si="178"/>
        <v>0</v>
      </c>
      <c r="Q66" s="46">
        <f t="shared" si="178"/>
        <v>0</v>
      </c>
      <c r="R66" s="46">
        <f t="shared" si="178"/>
        <v>0</v>
      </c>
      <c r="S66" s="46">
        <f t="shared" si="178"/>
        <v>0</v>
      </c>
      <c r="T66" s="46">
        <f t="shared" si="178"/>
        <v>0</v>
      </c>
      <c r="U66" s="46">
        <f t="shared" si="178"/>
        <v>0</v>
      </c>
      <c r="V66" s="46">
        <f t="shared" si="178"/>
        <v>0</v>
      </c>
      <c r="W66" s="46">
        <f t="shared" si="178"/>
        <v>0</v>
      </c>
      <c r="X66" s="46">
        <f t="shared" si="178"/>
        <v>0</v>
      </c>
    </row>
    <row r="67" spans="3:24" ht="18.75" x14ac:dyDescent="0.3">
      <c r="C67" s="3" t="s">
        <v>69</v>
      </c>
      <c r="D67" s="125">
        <f>SUM(E67:X67)</f>
        <v>0</v>
      </c>
      <c r="E67" s="44">
        <f>E66-E68</f>
        <v>0</v>
      </c>
      <c r="F67" s="44">
        <f t="shared" ref="F67:X67" si="179">F66-F68</f>
        <v>0</v>
      </c>
      <c r="G67" s="44">
        <f t="shared" si="179"/>
        <v>0</v>
      </c>
      <c r="H67" s="44">
        <f t="shared" si="179"/>
        <v>0</v>
      </c>
      <c r="I67" s="44">
        <f t="shared" si="179"/>
        <v>0</v>
      </c>
      <c r="J67" s="44">
        <f t="shared" si="179"/>
        <v>0</v>
      </c>
      <c r="K67" s="44">
        <f t="shared" si="179"/>
        <v>0</v>
      </c>
      <c r="L67" s="44">
        <f t="shared" si="179"/>
        <v>0</v>
      </c>
      <c r="M67" s="44">
        <f t="shared" si="179"/>
        <v>0</v>
      </c>
      <c r="N67" s="44">
        <f t="shared" si="179"/>
        <v>0</v>
      </c>
      <c r="O67" s="44">
        <f t="shared" si="179"/>
        <v>0</v>
      </c>
      <c r="P67" s="44">
        <f t="shared" si="179"/>
        <v>0</v>
      </c>
      <c r="Q67" s="44">
        <f t="shared" si="179"/>
        <v>0</v>
      </c>
      <c r="R67" s="44">
        <f t="shared" si="179"/>
        <v>0</v>
      </c>
      <c r="S67" s="44">
        <f t="shared" si="179"/>
        <v>0</v>
      </c>
      <c r="T67" s="44">
        <f t="shared" si="179"/>
        <v>0</v>
      </c>
      <c r="U67" s="44">
        <f t="shared" si="179"/>
        <v>0</v>
      </c>
      <c r="V67" s="44">
        <f t="shared" si="179"/>
        <v>0</v>
      </c>
      <c r="W67" s="44">
        <f t="shared" si="179"/>
        <v>0</v>
      </c>
      <c r="X67" s="44">
        <f t="shared" si="179"/>
        <v>0</v>
      </c>
    </row>
    <row r="68" spans="3:24" x14ac:dyDescent="0.25">
      <c r="C68" s="3" t="s">
        <v>70</v>
      </c>
      <c r="D68" s="40"/>
      <c r="E68" s="44">
        <f>D69*$E$62</f>
        <v>0</v>
      </c>
      <c r="F68" s="44">
        <f t="shared" ref="F68:X68" si="180">E69*$E$62</f>
        <v>0</v>
      </c>
      <c r="G68" s="44">
        <f t="shared" si="180"/>
        <v>0</v>
      </c>
      <c r="H68" s="44">
        <f t="shared" si="180"/>
        <v>0</v>
      </c>
      <c r="I68" s="44">
        <f t="shared" si="180"/>
        <v>0</v>
      </c>
      <c r="J68" s="44">
        <f t="shared" si="180"/>
        <v>0</v>
      </c>
      <c r="K68" s="44">
        <f t="shared" si="180"/>
        <v>0</v>
      </c>
      <c r="L68" s="44">
        <f t="shared" si="180"/>
        <v>0</v>
      </c>
      <c r="M68" s="44">
        <f t="shared" si="180"/>
        <v>0</v>
      </c>
      <c r="N68" s="44">
        <f t="shared" si="180"/>
        <v>0</v>
      </c>
      <c r="O68" s="44">
        <f t="shared" si="180"/>
        <v>0</v>
      </c>
      <c r="P68" s="44">
        <f t="shared" si="180"/>
        <v>0</v>
      </c>
      <c r="Q68" s="44">
        <f t="shared" si="180"/>
        <v>0</v>
      </c>
      <c r="R68" s="44">
        <f t="shared" si="180"/>
        <v>0</v>
      </c>
      <c r="S68" s="44">
        <f t="shared" si="180"/>
        <v>0</v>
      </c>
      <c r="T68" s="44">
        <f t="shared" si="180"/>
        <v>0</v>
      </c>
      <c r="U68" s="44">
        <f t="shared" si="180"/>
        <v>0</v>
      </c>
      <c r="V68" s="44">
        <f t="shared" si="180"/>
        <v>0</v>
      </c>
      <c r="W68" s="44">
        <f t="shared" si="180"/>
        <v>0</v>
      </c>
      <c r="X68" s="44">
        <f t="shared" si="180"/>
        <v>0</v>
      </c>
    </row>
    <row r="69" spans="3:24" x14ac:dyDescent="0.25">
      <c r="C69" s="3" t="s">
        <v>71</v>
      </c>
      <c r="D69" s="44">
        <f>$D$21</f>
        <v>0</v>
      </c>
      <c r="E69" s="44">
        <f>D69-E67</f>
        <v>0</v>
      </c>
      <c r="F69" s="44">
        <f t="shared" ref="F69:X69" si="181">E69-F67</f>
        <v>0</v>
      </c>
      <c r="G69" s="44">
        <f t="shared" si="181"/>
        <v>0</v>
      </c>
      <c r="H69" s="44">
        <f t="shared" si="181"/>
        <v>0</v>
      </c>
      <c r="I69" s="44">
        <f t="shared" si="181"/>
        <v>0</v>
      </c>
      <c r="J69" s="44">
        <f t="shared" si="181"/>
        <v>0</v>
      </c>
      <c r="K69" s="44">
        <f t="shared" si="181"/>
        <v>0</v>
      </c>
      <c r="L69" s="44">
        <f t="shared" si="181"/>
        <v>0</v>
      </c>
      <c r="M69" s="44">
        <f t="shared" si="181"/>
        <v>0</v>
      </c>
      <c r="N69" s="44">
        <f t="shared" si="181"/>
        <v>0</v>
      </c>
      <c r="O69" s="44">
        <f t="shared" si="181"/>
        <v>0</v>
      </c>
      <c r="P69" s="44">
        <f t="shared" si="181"/>
        <v>0</v>
      </c>
      <c r="Q69" s="44">
        <f t="shared" si="181"/>
        <v>0</v>
      </c>
      <c r="R69" s="44">
        <f t="shared" si="181"/>
        <v>0</v>
      </c>
      <c r="S69" s="44">
        <f t="shared" si="181"/>
        <v>0</v>
      </c>
      <c r="T69" s="44">
        <f t="shared" si="181"/>
        <v>0</v>
      </c>
      <c r="U69" s="44">
        <f t="shared" si="181"/>
        <v>0</v>
      </c>
      <c r="V69" s="44">
        <f t="shared" si="181"/>
        <v>0</v>
      </c>
      <c r="W69" s="44">
        <f t="shared" si="181"/>
        <v>0</v>
      </c>
      <c r="X69" s="44">
        <f t="shared" si="181"/>
        <v>0</v>
      </c>
    </row>
    <row r="70" spans="3:24" x14ac:dyDescent="0.25">
      <c r="C70" s="103"/>
      <c r="D70" s="103"/>
      <c r="E70" s="103"/>
      <c r="F70" s="103"/>
      <c r="G70" s="103"/>
      <c r="H70" s="103"/>
      <c r="I70" s="103"/>
    </row>
    <row r="71" spans="3:24" x14ac:dyDescent="0.25">
      <c r="C71" s="26"/>
      <c r="E71" s="39"/>
      <c r="F71" s="104"/>
    </row>
    <row r="72" spans="3:24" x14ac:dyDescent="0.25">
      <c r="C72" s="38" t="s">
        <v>65</v>
      </c>
      <c r="D72" s="429"/>
      <c r="E72" s="428">
        <f>$E$6</f>
        <v>0.17999999999999816</v>
      </c>
    </row>
    <row r="73" spans="3:24" ht="15.75" thickBot="1" x14ac:dyDescent="0.3">
      <c r="C73" s="26" t="s">
        <v>121</v>
      </c>
      <c r="E73" s="134"/>
    </row>
    <row r="74" spans="3:24" ht="21.75" thickBot="1" x14ac:dyDescent="0.4">
      <c r="C74" s="539" t="s">
        <v>140</v>
      </c>
      <c r="D74" s="540"/>
      <c r="E74" s="130">
        <v>5</v>
      </c>
      <c r="F74" s="114"/>
      <c r="G74" s="114"/>
      <c r="H74" s="114"/>
      <c r="I74" s="114"/>
    </row>
    <row r="75" spans="3:24" x14ac:dyDescent="0.25">
      <c r="C75" s="3" t="s">
        <v>38</v>
      </c>
      <c r="D75" s="3">
        <v>0</v>
      </c>
      <c r="E75" s="3">
        <f>D75+1</f>
        <v>1</v>
      </c>
      <c r="F75" s="3">
        <f t="shared" ref="F75:X75" si="182">E75+1</f>
        <v>2</v>
      </c>
      <c r="G75" s="3">
        <f t="shared" si="182"/>
        <v>3</v>
      </c>
      <c r="H75" s="3">
        <f t="shared" si="182"/>
        <v>4</v>
      </c>
      <c r="I75" s="3">
        <f t="shared" si="182"/>
        <v>5</v>
      </c>
      <c r="J75" s="3">
        <f t="shared" si="182"/>
        <v>6</v>
      </c>
      <c r="K75" s="3">
        <f t="shared" si="182"/>
        <v>7</v>
      </c>
      <c r="L75" s="3">
        <f t="shared" si="182"/>
        <v>8</v>
      </c>
      <c r="M75" s="3">
        <f t="shared" si="182"/>
        <v>9</v>
      </c>
      <c r="N75" s="3">
        <f t="shared" si="182"/>
        <v>10</v>
      </c>
      <c r="O75" s="3">
        <f t="shared" si="182"/>
        <v>11</v>
      </c>
      <c r="P75" s="3">
        <f t="shared" si="182"/>
        <v>12</v>
      </c>
      <c r="Q75" s="3">
        <f t="shared" si="182"/>
        <v>13</v>
      </c>
      <c r="R75" s="3">
        <f t="shared" si="182"/>
        <v>14</v>
      </c>
      <c r="S75" s="3">
        <f t="shared" si="182"/>
        <v>15</v>
      </c>
      <c r="T75" s="3">
        <f t="shared" si="182"/>
        <v>16</v>
      </c>
      <c r="U75" s="3">
        <f t="shared" si="182"/>
        <v>17</v>
      </c>
      <c r="V75" s="3">
        <f t="shared" si="182"/>
        <v>18</v>
      </c>
      <c r="W75" s="3">
        <f t="shared" si="182"/>
        <v>19</v>
      </c>
      <c r="X75" s="3">
        <f t="shared" si="182"/>
        <v>20</v>
      </c>
    </row>
    <row r="76" spans="3:24" x14ac:dyDescent="0.25">
      <c r="C76" s="3" t="s">
        <v>68</v>
      </c>
      <c r="D76" s="40"/>
      <c r="E76" s="49"/>
      <c r="F76" s="44">
        <f>IF(F75&gt;$E$74,0,E76*(1+$E73))</f>
        <v>0</v>
      </c>
      <c r="G76" s="44">
        <f t="shared" ref="G76:X76" si="183">IF(G75&gt;$E$74,0,F76*(1+$E73))</f>
        <v>0</v>
      </c>
      <c r="H76" s="44">
        <f t="shared" si="183"/>
        <v>0</v>
      </c>
      <c r="I76" s="44">
        <f t="shared" si="183"/>
        <v>0</v>
      </c>
      <c r="J76" s="44">
        <f t="shared" si="183"/>
        <v>0</v>
      </c>
      <c r="K76" s="44">
        <f t="shared" si="183"/>
        <v>0</v>
      </c>
      <c r="L76" s="44">
        <f t="shared" si="183"/>
        <v>0</v>
      </c>
      <c r="M76" s="44">
        <f t="shared" si="183"/>
        <v>0</v>
      </c>
      <c r="N76" s="44">
        <f t="shared" si="183"/>
        <v>0</v>
      </c>
      <c r="O76" s="44">
        <f t="shared" si="183"/>
        <v>0</v>
      </c>
      <c r="P76" s="44">
        <f t="shared" si="183"/>
        <v>0</v>
      </c>
      <c r="Q76" s="44">
        <f t="shared" si="183"/>
        <v>0</v>
      </c>
      <c r="R76" s="44">
        <f t="shared" si="183"/>
        <v>0</v>
      </c>
      <c r="S76" s="44">
        <f t="shared" si="183"/>
        <v>0</v>
      </c>
      <c r="T76" s="44">
        <f t="shared" si="183"/>
        <v>0</v>
      </c>
      <c r="U76" s="44">
        <f t="shared" si="183"/>
        <v>0</v>
      </c>
      <c r="V76" s="44">
        <f t="shared" si="183"/>
        <v>0</v>
      </c>
      <c r="W76" s="44">
        <f t="shared" si="183"/>
        <v>0</v>
      </c>
      <c r="X76" s="44">
        <f t="shared" si="183"/>
        <v>0</v>
      </c>
    </row>
    <row r="77" spans="3:24" x14ac:dyDescent="0.25">
      <c r="C77" s="3" t="s">
        <v>69</v>
      </c>
      <c r="D77" s="128">
        <f>SUM(E77:X77)</f>
        <v>0</v>
      </c>
      <c r="E77" s="44">
        <f>E76-E78</f>
        <v>0</v>
      </c>
      <c r="F77" s="44">
        <f t="shared" ref="F77:X77" si="184">F76-F78</f>
        <v>0</v>
      </c>
      <c r="G77" s="44">
        <f t="shared" si="184"/>
        <v>0</v>
      </c>
      <c r="H77" s="44">
        <f t="shared" si="184"/>
        <v>0</v>
      </c>
      <c r="I77" s="44">
        <f t="shared" si="184"/>
        <v>0</v>
      </c>
      <c r="J77" s="44">
        <f t="shared" si="184"/>
        <v>0</v>
      </c>
      <c r="K77" s="44">
        <f t="shared" si="184"/>
        <v>0</v>
      </c>
      <c r="L77" s="44">
        <f t="shared" si="184"/>
        <v>0</v>
      </c>
      <c r="M77" s="44">
        <f t="shared" si="184"/>
        <v>0</v>
      </c>
      <c r="N77" s="44">
        <f t="shared" si="184"/>
        <v>0</v>
      </c>
      <c r="O77" s="44">
        <f t="shared" si="184"/>
        <v>0</v>
      </c>
      <c r="P77" s="44">
        <f t="shared" si="184"/>
        <v>0</v>
      </c>
      <c r="Q77" s="44">
        <f t="shared" si="184"/>
        <v>0</v>
      </c>
      <c r="R77" s="44">
        <f t="shared" si="184"/>
        <v>0</v>
      </c>
      <c r="S77" s="44">
        <f t="shared" si="184"/>
        <v>0</v>
      </c>
      <c r="T77" s="44">
        <f t="shared" si="184"/>
        <v>0</v>
      </c>
      <c r="U77" s="44">
        <f t="shared" si="184"/>
        <v>0</v>
      </c>
      <c r="V77" s="44">
        <f t="shared" si="184"/>
        <v>0</v>
      </c>
      <c r="W77" s="44">
        <f t="shared" si="184"/>
        <v>0</v>
      </c>
      <c r="X77" s="44">
        <f t="shared" si="184"/>
        <v>0</v>
      </c>
    </row>
    <row r="78" spans="3:24" x14ac:dyDescent="0.25">
      <c r="C78" s="3" t="s">
        <v>70</v>
      </c>
      <c r="D78" s="40"/>
      <c r="E78" s="44">
        <f>D79*$E$72</f>
        <v>0</v>
      </c>
      <c r="F78" s="44">
        <f t="shared" ref="F78:X78" si="185">E79*$E$72</f>
        <v>0</v>
      </c>
      <c r="G78" s="44">
        <f t="shared" si="185"/>
        <v>0</v>
      </c>
      <c r="H78" s="44">
        <f t="shared" si="185"/>
        <v>0</v>
      </c>
      <c r="I78" s="44">
        <f t="shared" si="185"/>
        <v>0</v>
      </c>
      <c r="J78" s="44">
        <f t="shared" si="185"/>
        <v>0</v>
      </c>
      <c r="K78" s="44">
        <f t="shared" si="185"/>
        <v>0</v>
      </c>
      <c r="L78" s="44">
        <f t="shared" si="185"/>
        <v>0</v>
      </c>
      <c r="M78" s="44">
        <f t="shared" si="185"/>
        <v>0</v>
      </c>
      <c r="N78" s="44">
        <f t="shared" si="185"/>
        <v>0</v>
      </c>
      <c r="O78" s="44">
        <f t="shared" si="185"/>
        <v>0</v>
      </c>
      <c r="P78" s="44">
        <f t="shared" si="185"/>
        <v>0</v>
      </c>
      <c r="Q78" s="44">
        <f t="shared" si="185"/>
        <v>0</v>
      </c>
      <c r="R78" s="44">
        <f t="shared" si="185"/>
        <v>0</v>
      </c>
      <c r="S78" s="44">
        <f t="shared" si="185"/>
        <v>0</v>
      </c>
      <c r="T78" s="44">
        <f t="shared" si="185"/>
        <v>0</v>
      </c>
      <c r="U78" s="44">
        <f t="shared" si="185"/>
        <v>0</v>
      </c>
      <c r="V78" s="44">
        <f t="shared" si="185"/>
        <v>0</v>
      </c>
      <c r="W78" s="44">
        <f t="shared" si="185"/>
        <v>0</v>
      </c>
      <c r="X78" s="44">
        <f t="shared" si="185"/>
        <v>0</v>
      </c>
    </row>
    <row r="79" spans="3:24" x14ac:dyDescent="0.25">
      <c r="C79" s="3" t="s">
        <v>71</v>
      </c>
      <c r="D79" s="44">
        <f>$D$21</f>
        <v>0</v>
      </c>
      <c r="E79" s="44">
        <f>D79-E77</f>
        <v>0</v>
      </c>
      <c r="F79" s="44">
        <f t="shared" ref="F79:X79" si="186">E79-F77</f>
        <v>0</v>
      </c>
      <c r="G79" s="44">
        <f t="shared" si="186"/>
        <v>0</v>
      </c>
      <c r="H79" s="44">
        <f t="shared" si="186"/>
        <v>0</v>
      </c>
      <c r="I79" s="44">
        <f t="shared" si="186"/>
        <v>0</v>
      </c>
      <c r="J79" s="44">
        <f t="shared" si="186"/>
        <v>0</v>
      </c>
      <c r="K79" s="44">
        <f t="shared" si="186"/>
        <v>0</v>
      </c>
      <c r="L79" s="44">
        <f t="shared" si="186"/>
        <v>0</v>
      </c>
      <c r="M79" s="44">
        <f t="shared" si="186"/>
        <v>0</v>
      </c>
      <c r="N79" s="44">
        <f t="shared" si="186"/>
        <v>0</v>
      </c>
      <c r="O79" s="44">
        <f t="shared" si="186"/>
        <v>0</v>
      </c>
      <c r="P79" s="44">
        <f t="shared" si="186"/>
        <v>0</v>
      </c>
      <c r="Q79" s="44">
        <f t="shared" si="186"/>
        <v>0</v>
      </c>
      <c r="R79" s="44">
        <f t="shared" si="186"/>
        <v>0</v>
      </c>
      <c r="S79" s="44">
        <f t="shared" si="186"/>
        <v>0</v>
      </c>
      <c r="T79" s="44">
        <f t="shared" si="186"/>
        <v>0</v>
      </c>
      <c r="U79" s="44">
        <f t="shared" si="186"/>
        <v>0</v>
      </c>
      <c r="V79" s="44">
        <f t="shared" si="186"/>
        <v>0</v>
      </c>
      <c r="W79" s="44">
        <f t="shared" si="186"/>
        <v>0</v>
      </c>
      <c r="X79" s="44">
        <f t="shared" si="186"/>
        <v>0</v>
      </c>
    </row>
    <row r="82" spans="3:24" x14ac:dyDescent="0.25">
      <c r="C82" s="38" t="s">
        <v>65</v>
      </c>
      <c r="D82" s="429"/>
      <c r="E82" s="428">
        <f>$E$6</f>
        <v>0.17999999999999816</v>
      </c>
    </row>
    <row r="83" spans="3:24" ht="15.75" thickBot="1" x14ac:dyDescent="0.3">
      <c r="C83" s="26" t="s">
        <v>122</v>
      </c>
      <c r="E83" s="134"/>
    </row>
    <row r="84" spans="3:24" ht="21.75" thickBot="1" x14ac:dyDescent="0.4">
      <c r="C84" s="539" t="s">
        <v>140</v>
      </c>
      <c r="D84" s="540"/>
      <c r="E84" s="130">
        <v>5</v>
      </c>
      <c r="F84" s="114"/>
      <c r="G84" s="114"/>
      <c r="H84" s="114"/>
      <c r="I84" s="114"/>
    </row>
    <row r="85" spans="3:24" x14ac:dyDescent="0.25">
      <c r="C85" s="3" t="s">
        <v>38</v>
      </c>
      <c r="D85" s="3">
        <v>0</v>
      </c>
      <c r="E85" s="3">
        <f>D85+1</f>
        <v>1</v>
      </c>
      <c r="F85" s="3">
        <f t="shared" ref="F85:X85" si="187">E85+1</f>
        <v>2</v>
      </c>
      <c r="G85" s="3">
        <f t="shared" si="187"/>
        <v>3</v>
      </c>
      <c r="H85" s="3">
        <f t="shared" si="187"/>
        <v>4</v>
      </c>
      <c r="I85" s="3">
        <f t="shared" si="187"/>
        <v>5</v>
      </c>
      <c r="J85" s="3">
        <f t="shared" si="187"/>
        <v>6</v>
      </c>
      <c r="K85" s="3">
        <f t="shared" si="187"/>
        <v>7</v>
      </c>
      <c r="L85" s="3">
        <f t="shared" si="187"/>
        <v>8</v>
      </c>
      <c r="M85" s="3">
        <f t="shared" si="187"/>
        <v>9</v>
      </c>
      <c r="N85" s="3">
        <f t="shared" si="187"/>
        <v>10</v>
      </c>
      <c r="O85" s="3">
        <f t="shared" si="187"/>
        <v>11</v>
      </c>
      <c r="P85" s="3">
        <f t="shared" si="187"/>
        <v>12</v>
      </c>
      <c r="Q85" s="3">
        <f t="shared" si="187"/>
        <v>13</v>
      </c>
      <c r="R85" s="3">
        <f t="shared" si="187"/>
        <v>14</v>
      </c>
      <c r="S85" s="3">
        <f t="shared" si="187"/>
        <v>15</v>
      </c>
      <c r="T85" s="3">
        <f t="shared" si="187"/>
        <v>16</v>
      </c>
      <c r="U85" s="3">
        <f t="shared" si="187"/>
        <v>17</v>
      </c>
      <c r="V85" s="3">
        <f t="shared" si="187"/>
        <v>18</v>
      </c>
      <c r="W85" s="3">
        <f t="shared" si="187"/>
        <v>19</v>
      </c>
      <c r="X85" s="3">
        <f t="shared" si="187"/>
        <v>20</v>
      </c>
    </row>
    <row r="86" spans="3:24" x14ac:dyDescent="0.25">
      <c r="C86" s="3" t="s">
        <v>68</v>
      </c>
      <c r="D86" s="40"/>
      <c r="E86" s="49"/>
      <c r="F86" s="44">
        <f>IF(F85&gt;$E84,0,(E86*(1-$E$83)))</f>
        <v>0</v>
      </c>
      <c r="G86" s="44">
        <f t="shared" ref="G86:X86" si="188">IF(G85&gt;$E84,0,(F86*(1-$E$83)))</f>
        <v>0</v>
      </c>
      <c r="H86" s="44">
        <f t="shared" si="188"/>
        <v>0</v>
      </c>
      <c r="I86" s="44">
        <f t="shared" si="188"/>
        <v>0</v>
      </c>
      <c r="J86" s="44">
        <f t="shared" si="188"/>
        <v>0</v>
      </c>
      <c r="K86" s="44">
        <f t="shared" si="188"/>
        <v>0</v>
      </c>
      <c r="L86" s="44">
        <f t="shared" si="188"/>
        <v>0</v>
      </c>
      <c r="M86" s="44">
        <f t="shared" si="188"/>
        <v>0</v>
      </c>
      <c r="N86" s="44">
        <f t="shared" si="188"/>
        <v>0</v>
      </c>
      <c r="O86" s="44">
        <f t="shared" si="188"/>
        <v>0</v>
      </c>
      <c r="P86" s="44">
        <f t="shared" si="188"/>
        <v>0</v>
      </c>
      <c r="Q86" s="44">
        <f t="shared" si="188"/>
        <v>0</v>
      </c>
      <c r="R86" s="44">
        <f t="shared" si="188"/>
        <v>0</v>
      </c>
      <c r="S86" s="44">
        <f t="shared" si="188"/>
        <v>0</v>
      </c>
      <c r="T86" s="44">
        <f t="shared" si="188"/>
        <v>0</v>
      </c>
      <c r="U86" s="44">
        <f t="shared" si="188"/>
        <v>0</v>
      </c>
      <c r="V86" s="44">
        <f t="shared" si="188"/>
        <v>0</v>
      </c>
      <c r="W86" s="44">
        <f t="shared" si="188"/>
        <v>0</v>
      </c>
      <c r="X86" s="44">
        <f t="shared" si="188"/>
        <v>0</v>
      </c>
    </row>
    <row r="87" spans="3:24" x14ac:dyDescent="0.25">
      <c r="C87" s="3" t="s">
        <v>69</v>
      </c>
      <c r="D87" s="128">
        <f>SUM(E87:X87)</f>
        <v>0</v>
      </c>
      <c r="E87" s="44">
        <f>E86-E88</f>
        <v>0</v>
      </c>
      <c r="F87" s="44">
        <f t="shared" ref="F87:X87" si="189">F86-F88</f>
        <v>0</v>
      </c>
      <c r="G87" s="44">
        <f t="shared" si="189"/>
        <v>0</v>
      </c>
      <c r="H87" s="44">
        <f t="shared" si="189"/>
        <v>0</v>
      </c>
      <c r="I87" s="44">
        <f t="shared" si="189"/>
        <v>0</v>
      </c>
      <c r="J87" s="44">
        <f t="shared" si="189"/>
        <v>0</v>
      </c>
      <c r="K87" s="44">
        <f t="shared" si="189"/>
        <v>0</v>
      </c>
      <c r="L87" s="44">
        <f t="shared" si="189"/>
        <v>0</v>
      </c>
      <c r="M87" s="44">
        <f t="shared" si="189"/>
        <v>0</v>
      </c>
      <c r="N87" s="44">
        <f t="shared" si="189"/>
        <v>0</v>
      </c>
      <c r="O87" s="44">
        <f t="shared" si="189"/>
        <v>0</v>
      </c>
      <c r="P87" s="44">
        <f t="shared" si="189"/>
        <v>0</v>
      </c>
      <c r="Q87" s="44">
        <f t="shared" si="189"/>
        <v>0</v>
      </c>
      <c r="R87" s="44">
        <f t="shared" si="189"/>
        <v>0</v>
      </c>
      <c r="S87" s="44">
        <f t="shared" si="189"/>
        <v>0</v>
      </c>
      <c r="T87" s="44">
        <f t="shared" si="189"/>
        <v>0</v>
      </c>
      <c r="U87" s="44">
        <f t="shared" si="189"/>
        <v>0</v>
      </c>
      <c r="V87" s="44">
        <f t="shared" si="189"/>
        <v>0</v>
      </c>
      <c r="W87" s="44">
        <f t="shared" si="189"/>
        <v>0</v>
      </c>
      <c r="X87" s="44">
        <f t="shared" si="189"/>
        <v>0</v>
      </c>
    </row>
    <row r="88" spans="3:24" x14ac:dyDescent="0.25">
      <c r="C88" s="3" t="s">
        <v>70</v>
      </c>
      <c r="D88" s="40"/>
      <c r="E88" s="44">
        <f>D89*$E$82</f>
        <v>0</v>
      </c>
      <c r="F88" s="44">
        <f t="shared" ref="F88:X88" si="190">E89*$E$82</f>
        <v>0</v>
      </c>
      <c r="G88" s="44">
        <f t="shared" si="190"/>
        <v>0</v>
      </c>
      <c r="H88" s="44">
        <f t="shared" si="190"/>
        <v>0</v>
      </c>
      <c r="I88" s="44">
        <f t="shared" si="190"/>
        <v>0</v>
      </c>
      <c r="J88" s="44">
        <f t="shared" si="190"/>
        <v>0</v>
      </c>
      <c r="K88" s="44">
        <f t="shared" si="190"/>
        <v>0</v>
      </c>
      <c r="L88" s="44">
        <f t="shared" si="190"/>
        <v>0</v>
      </c>
      <c r="M88" s="44">
        <f t="shared" si="190"/>
        <v>0</v>
      </c>
      <c r="N88" s="44">
        <f t="shared" si="190"/>
        <v>0</v>
      </c>
      <c r="O88" s="44">
        <f t="shared" si="190"/>
        <v>0</v>
      </c>
      <c r="P88" s="44">
        <f t="shared" si="190"/>
        <v>0</v>
      </c>
      <c r="Q88" s="44">
        <f t="shared" si="190"/>
        <v>0</v>
      </c>
      <c r="R88" s="44">
        <f t="shared" si="190"/>
        <v>0</v>
      </c>
      <c r="S88" s="44">
        <f t="shared" si="190"/>
        <v>0</v>
      </c>
      <c r="T88" s="44">
        <f t="shared" si="190"/>
        <v>0</v>
      </c>
      <c r="U88" s="44">
        <f t="shared" si="190"/>
        <v>0</v>
      </c>
      <c r="V88" s="44">
        <f t="shared" si="190"/>
        <v>0</v>
      </c>
      <c r="W88" s="44">
        <f t="shared" si="190"/>
        <v>0</v>
      </c>
      <c r="X88" s="44">
        <f t="shared" si="190"/>
        <v>0</v>
      </c>
    </row>
    <row r="89" spans="3:24" x14ac:dyDescent="0.25">
      <c r="C89" s="3" t="s">
        <v>71</v>
      </c>
      <c r="D89" s="44">
        <f>$D$21</f>
        <v>0</v>
      </c>
      <c r="E89" s="44">
        <f>D89-E87</f>
        <v>0</v>
      </c>
      <c r="F89" s="44">
        <f t="shared" ref="F89:X89" si="191">E89-F87</f>
        <v>0</v>
      </c>
      <c r="G89" s="44">
        <f t="shared" si="191"/>
        <v>0</v>
      </c>
      <c r="H89" s="44">
        <f t="shared" si="191"/>
        <v>0</v>
      </c>
      <c r="I89" s="44">
        <f t="shared" si="191"/>
        <v>0</v>
      </c>
      <c r="J89" s="44">
        <f t="shared" si="191"/>
        <v>0</v>
      </c>
      <c r="K89" s="44">
        <f t="shared" si="191"/>
        <v>0</v>
      </c>
      <c r="L89" s="44">
        <f t="shared" si="191"/>
        <v>0</v>
      </c>
      <c r="M89" s="44">
        <f t="shared" si="191"/>
        <v>0</v>
      </c>
      <c r="N89" s="44">
        <f t="shared" si="191"/>
        <v>0</v>
      </c>
      <c r="O89" s="44">
        <f t="shared" si="191"/>
        <v>0</v>
      </c>
      <c r="P89" s="44">
        <f t="shared" si="191"/>
        <v>0</v>
      </c>
      <c r="Q89" s="44">
        <f t="shared" si="191"/>
        <v>0</v>
      </c>
      <c r="R89" s="44">
        <f t="shared" si="191"/>
        <v>0</v>
      </c>
      <c r="S89" s="44">
        <f t="shared" si="191"/>
        <v>0</v>
      </c>
      <c r="T89" s="44">
        <f t="shared" si="191"/>
        <v>0</v>
      </c>
      <c r="U89" s="44">
        <f t="shared" si="191"/>
        <v>0</v>
      </c>
      <c r="V89" s="44">
        <f t="shared" si="191"/>
        <v>0</v>
      </c>
      <c r="W89" s="44">
        <f t="shared" si="191"/>
        <v>0</v>
      </c>
      <c r="X89" s="44">
        <f t="shared" si="191"/>
        <v>0</v>
      </c>
    </row>
    <row r="90" spans="3:24" x14ac:dyDescent="0.25">
      <c r="E90" s="109"/>
      <c r="F90" s="109"/>
      <c r="G90" s="109"/>
      <c r="H90" s="109"/>
      <c r="I90" s="109"/>
    </row>
    <row r="92" spans="3:24" x14ac:dyDescent="0.25">
      <c r="C92" s="38" t="s">
        <v>65</v>
      </c>
      <c r="D92" s="428">
        <f>$E$6</f>
        <v>0.17999999999999816</v>
      </c>
    </row>
    <row r="93" spans="3:24" x14ac:dyDescent="0.25">
      <c r="C93" s="26" t="s">
        <v>304</v>
      </c>
      <c r="D93" s="39">
        <v>0</v>
      </c>
    </row>
    <row r="94" spans="3:24" ht="19.5" thickBot="1" x14ac:dyDescent="0.35">
      <c r="C94" s="26" t="s">
        <v>66</v>
      </c>
      <c r="D94" s="129">
        <v>5</v>
      </c>
    </row>
    <row r="95" spans="3:24" ht="21.75" thickBot="1" x14ac:dyDescent="0.4">
      <c r="C95" s="539" t="s">
        <v>298</v>
      </c>
      <c r="D95" s="540"/>
      <c r="E95" s="114"/>
      <c r="F95" s="114"/>
      <c r="G95" s="114"/>
      <c r="H95" s="114"/>
      <c r="I95" s="114"/>
    </row>
    <row r="96" spans="3:24" x14ac:dyDescent="0.25">
      <c r="C96" s="11" t="s">
        <v>38</v>
      </c>
      <c r="D96" s="11">
        <v>0</v>
      </c>
      <c r="E96" s="3">
        <f>D96+1</f>
        <v>1</v>
      </c>
      <c r="F96" s="3">
        <f t="shared" ref="F96" si="192">E96+1</f>
        <v>2</v>
      </c>
      <c r="G96" s="3">
        <f t="shared" ref="G96" si="193">F96+1</f>
        <v>3</v>
      </c>
      <c r="H96" s="3">
        <f t="shared" ref="H96" si="194">G96+1</f>
        <v>4</v>
      </c>
      <c r="I96" s="3">
        <f t="shared" ref="I96" si="195">H96+1</f>
        <v>5</v>
      </c>
      <c r="J96" s="3">
        <f t="shared" ref="J96" si="196">I96+1</f>
        <v>6</v>
      </c>
      <c r="K96" s="3">
        <f t="shared" ref="K96" si="197">J96+1</f>
        <v>7</v>
      </c>
      <c r="L96" s="3">
        <f t="shared" ref="L96" si="198">K96+1</f>
        <v>8</v>
      </c>
      <c r="M96" s="3">
        <f t="shared" ref="M96" si="199">L96+1</f>
        <v>9</v>
      </c>
      <c r="N96" s="3">
        <f t="shared" ref="N96" si="200">M96+1</f>
        <v>10</v>
      </c>
      <c r="O96" s="3">
        <f t="shared" ref="O96" si="201">N96+1</f>
        <v>11</v>
      </c>
      <c r="P96" s="3">
        <f t="shared" ref="P96" si="202">O96+1</f>
        <v>12</v>
      </c>
      <c r="Q96" s="3">
        <f t="shared" ref="Q96" si="203">P96+1</f>
        <v>13</v>
      </c>
      <c r="R96" s="3">
        <f t="shared" ref="R96" si="204">Q96+1</f>
        <v>14</v>
      </c>
      <c r="S96" s="3">
        <f t="shared" ref="S96" si="205">R96+1</f>
        <v>15</v>
      </c>
      <c r="T96" s="3">
        <f t="shared" ref="T96" si="206">S96+1</f>
        <v>16</v>
      </c>
      <c r="U96" s="3">
        <f t="shared" ref="U96" si="207">T96+1</f>
        <v>17</v>
      </c>
      <c r="V96" s="3">
        <f t="shared" ref="V96" si="208">U96+1</f>
        <v>18</v>
      </c>
      <c r="W96" s="3">
        <f t="shared" ref="W96" si="209">V96+1</f>
        <v>19</v>
      </c>
      <c r="X96" s="3">
        <f t="shared" ref="X96" si="210">W96+1</f>
        <v>20</v>
      </c>
    </row>
    <row r="97" spans="3:24" x14ac:dyDescent="0.25">
      <c r="C97" s="3" t="s">
        <v>68</v>
      </c>
      <c r="D97" s="40"/>
      <c r="E97" s="43">
        <f>IF($D$94&lt;E96,0,(-PMT($D$92,$D$94,$D$100)))</f>
        <v>0</v>
      </c>
      <c r="F97" s="43">
        <f t="shared" ref="F97:X97" si="211">IF($D$94&lt;F96,0,(-PMT($D$92,$D$94,$D$100)))</f>
        <v>0</v>
      </c>
      <c r="G97" s="43">
        <f t="shared" si="211"/>
        <v>0</v>
      </c>
      <c r="H97" s="43">
        <f t="shared" si="211"/>
        <v>0</v>
      </c>
      <c r="I97" s="43">
        <f t="shared" si="211"/>
        <v>0</v>
      </c>
      <c r="J97" s="43">
        <f t="shared" si="211"/>
        <v>0</v>
      </c>
      <c r="K97" s="43">
        <f t="shared" si="211"/>
        <v>0</v>
      </c>
      <c r="L97" s="43">
        <f t="shared" si="211"/>
        <v>0</v>
      </c>
      <c r="M97" s="43">
        <f t="shared" si="211"/>
        <v>0</v>
      </c>
      <c r="N97" s="43">
        <f t="shared" si="211"/>
        <v>0</v>
      </c>
      <c r="O97" s="43">
        <f t="shared" si="211"/>
        <v>0</v>
      </c>
      <c r="P97" s="43">
        <f t="shared" si="211"/>
        <v>0</v>
      </c>
      <c r="Q97" s="43">
        <f t="shared" si="211"/>
        <v>0</v>
      </c>
      <c r="R97" s="43">
        <f t="shared" si="211"/>
        <v>0</v>
      </c>
      <c r="S97" s="43">
        <f t="shared" si="211"/>
        <v>0</v>
      </c>
      <c r="T97" s="43">
        <f t="shared" si="211"/>
        <v>0</v>
      </c>
      <c r="U97" s="43">
        <f t="shared" si="211"/>
        <v>0</v>
      </c>
      <c r="V97" s="43">
        <f t="shared" si="211"/>
        <v>0</v>
      </c>
      <c r="W97" s="43">
        <f t="shared" si="211"/>
        <v>0</v>
      </c>
      <c r="X97" s="43">
        <f t="shared" si="211"/>
        <v>0</v>
      </c>
    </row>
    <row r="98" spans="3:24" ht="15.75" x14ac:dyDescent="0.25">
      <c r="C98" s="3" t="s">
        <v>69</v>
      </c>
      <c r="D98" s="131">
        <f>SUM(E98:X98)+SUM(E101:X101)</f>
        <v>0</v>
      </c>
      <c r="E98" s="43">
        <f>E97-E99</f>
        <v>0</v>
      </c>
      <c r="F98" s="43">
        <f t="shared" ref="F98:X98" si="212">F97-F99</f>
        <v>0</v>
      </c>
      <c r="G98" s="43">
        <f t="shared" si="212"/>
        <v>0</v>
      </c>
      <c r="H98" s="43">
        <f t="shared" si="212"/>
        <v>0</v>
      </c>
      <c r="I98" s="43">
        <f t="shared" si="212"/>
        <v>0</v>
      </c>
      <c r="J98" s="43">
        <f t="shared" si="212"/>
        <v>0</v>
      </c>
      <c r="K98" s="43">
        <f t="shared" si="212"/>
        <v>0</v>
      </c>
      <c r="L98" s="43">
        <f t="shared" si="212"/>
        <v>0</v>
      </c>
      <c r="M98" s="43">
        <f t="shared" si="212"/>
        <v>0</v>
      </c>
      <c r="N98" s="43">
        <f t="shared" si="212"/>
        <v>0</v>
      </c>
      <c r="O98" s="43">
        <f t="shared" si="212"/>
        <v>0</v>
      </c>
      <c r="P98" s="43">
        <f t="shared" si="212"/>
        <v>0</v>
      </c>
      <c r="Q98" s="43">
        <f t="shared" si="212"/>
        <v>0</v>
      </c>
      <c r="R98" s="43">
        <f t="shared" si="212"/>
        <v>0</v>
      </c>
      <c r="S98" s="43">
        <f t="shared" si="212"/>
        <v>0</v>
      </c>
      <c r="T98" s="43">
        <f t="shared" si="212"/>
        <v>0</v>
      </c>
      <c r="U98" s="43">
        <f t="shared" si="212"/>
        <v>0</v>
      </c>
      <c r="V98" s="43">
        <f t="shared" si="212"/>
        <v>0</v>
      </c>
      <c r="W98" s="43">
        <f t="shared" si="212"/>
        <v>0</v>
      </c>
      <c r="X98" s="43">
        <f t="shared" si="212"/>
        <v>0</v>
      </c>
    </row>
    <row r="99" spans="3:24" x14ac:dyDescent="0.25">
      <c r="C99" s="3" t="s">
        <v>70</v>
      </c>
      <c r="D99" s="40"/>
      <c r="E99" s="44">
        <f>D100*$D$14</f>
        <v>0</v>
      </c>
      <c r="F99" s="44">
        <f t="shared" ref="F99" si="213">E100*$D$14</f>
        <v>0</v>
      </c>
      <c r="G99" s="44">
        <f t="shared" ref="G99" si="214">F100*$D$14</f>
        <v>0</v>
      </c>
      <c r="H99" s="44">
        <f t="shared" ref="H99" si="215">G100*$D$14</f>
        <v>0</v>
      </c>
      <c r="I99" s="44">
        <f t="shared" ref="I99" si="216">H100*$D$14</f>
        <v>0</v>
      </c>
      <c r="J99" s="44">
        <f t="shared" ref="J99" si="217">I100*$D$14</f>
        <v>0</v>
      </c>
      <c r="K99" s="44">
        <f t="shared" ref="K99" si="218">J100*$D$14</f>
        <v>0</v>
      </c>
      <c r="L99" s="44">
        <f t="shared" ref="L99" si="219">K100*$D$14</f>
        <v>0</v>
      </c>
      <c r="M99" s="44">
        <f t="shared" ref="M99" si="220">L100*$D$14</f>
        <v>0</v>
      </c>
      <c r="N99" s="44">
        <f t="shared" ref="N99" si="221">M100*$D$14</f>
        <v>0</v>
      </c>
      <c r="O99" s="44">
        <f t="shared" ref="O99" si="222">N100*$D$14</f>
        <v>0</v>
      </c>
      <c r="P99" s="44">
        <f t="shared" ref="P99" si="223">O100*$D$14</f>
        <v>0</v>
      </c>
      <c r="Q99" s="44">
        <f t="shared" ref="Q99" si="224">P100*$D$14</f>
        <v>0</v>
      </c>
      <c r="R99" s="44">
        <f t="shared" ref="R99" si="225">Q100*$D$14</f>
        <v>0</v>
      </c>
      <c r="S99" s="44">
        <f t="shared" ref="S99" si="226">R100*$D$14</f>
        <v>0</v>
      </c>
      <c r="T99" s="44">
        <f t="shared" ref="T99" si="227">S100*$D$14</f>
        <v>0</v>
      </c>
      <c r="U99" s="44">
        <f t="shared" ref="U99" si="228">T100*$D$14</f>
        <v>0</v>
      </c>
      <c r="V99" s="44">
        <f t="shared" ref="V99" si="229">U100*$D$14</f>
        <v>0</v>
      </c>
      <c r="W99" s="44">
        <f t="shared" ref="W99" si="230">V100*$D$14</f>
        <v>0</v>
      </c>
      <c r="X99" s="44">
        <f t="shared" ref="X99" si="231">W100*$D$14</f>
        <v>0</v>
      </c>
    </row>
    <row r="100" spans="3:24" x14ac:dyDescent="0.25">
      <c r="C100" s="3" t="s">
        <v>305</v>
      </c>
      <c r="D100" s="44">
        <f>$D$13*(1-D93)</f>
        <v>0</v>
      </c>
      <c r="E100" s="44">
        <f>D100-E98</f>
        <v>0</v>
      </c>
      <c r="F100" s="44">
        <f>E100-F98</f>
        <v>0</v>
      </c>
      <c r="G100" s="44">
        <f t="shared" ref="G100" si="232">F100-G98</f>
        <v>0</v>
      </c>
      <c r="H100" s="44">
        <f t="shared" ref="H100:X100" si="233">G100-H98</f>
        <v>0</v>
      </c>
      <c r="I100" s="44">
        <f t="shared" si="233"/>
        <v>0</v>
      </c>
      <c r="J100" s="44">
        <f t="shared" si="233"/>
        <v>0</v>
      </c>
      <c r="K100" s="44">
        <f t="shared" si="233"/>
        <v>0</v>
      </c>
      <c r="L100" s="44">
        <f t="shared" si="233"/>
        <v>0</v>
      </c>
      <c r="M100" s="44">
        <f t="shared" si="233"/>
        <v>0</v>
      </c>
      <c r="N100" s="44">
        <f t="shared" si="233"/>
        <v>0</v>
      </c>
      <c r="O100" s="44">
        <f t="shared" si="233"/>
        <v>0</v>
      </c>
      <c r="P100" s="44">
        <f t="shared" si="233"/>
        <v>0</v>
      </c>
      <c r="Q100" s="44">
        <f t="shared" si="233"/>
        <v>0</v>
      </c>
      <c r="R100" s="44">
        <f t="shared" si="233"/>
        <v>0</v>
      </c>
      <c r="S100" s="44">
        <f t="shared" si="233"/>
        <v>0</v>
      </c>
      <c r="T100" s="44">
        <f t="shared" si="233"/>
        <v>0</v>
      </c>
      <c r="U100" s="44">
        <f t="shared" si="233"/>
        <v>0</v>
      </c>
      <c r="V100" s="44">
        <f t="shared" si="233"/>
        <v>0</v>
      </c>
      <c r="W100" s="44">
        <f t="shared" si="233"/>
        <v>0</v>
      </c>
      <c r="X100" s="44">
        <f t="shared" si="233"/>
        <v>0</v>
      </c>
    </row>
    <row r="101" spans="3:24" x14ac:dyDescent="0.25">
      <c r="C101" s="3" t="s">
        <v>307</v>
      </c>
      <c r="D101" s="44">
        <f>$D$13*D93</f>
        <v>0</v>
      </c>
      <c r="E101" s="44">
        <f>IF(E96=$D$94,$D$101,0)</f>
        <v>0</v>
      </c>
      <c r="F101" s="44">
        <f t="shared" ref="F101:X101" si="234">IF(F96=$D$94,$D$101,0)</f>
        <v>0</v>
      </c>
      <c r="G101" s="44">
        <f t="shared" si="234"/>
        <v>0</v>
      </c>
      <c r="H101" s="44">
        <f t="shared" si="234"/>
        <v>0</v>
      </c>
      <c r="I101" s="44">
        <f t="shared" si="234"/>
        <v>0</v>
      </c>
      <c r="J101" s="44">
        <f t="shared" si="234"/>
        <v>0</v>
      </c>
      <c r="K101" s="44">
        <f t="shared" si="234"/>
        <v>0</v>
      </c>
      <c r="L101" s="44">
        <f t="shared" si="234"/>
        <v>0</v>
      </c>
      <c r="M101" s="44">
        <f t="shared" si="234"/>
        <v>0</v>
      </c>
      <c r="N101" s="44">
        <f t="shared" si="234"/>
        <v>0</v>
      </c>
      <c r="O101" s="44">
        <f t="shared" si="234"/>
        <v>0</v>
      </c>
      <c r="P101" s="44">
        <f t="shared" si="234"/>
        <v>0</v>
      </c>
      <c r="Q101" s="44">
        <f t="shared" si="234"/>
        <v>0</v>
      </c>
      <c r="R101" s="44">
        <f t="shared" si="234"/>
        <v>0</v>
      </c>
      <c r="S101" s="44">
        <f t="shared" si="234"/>
        <v>0</v>
      </c>
      <c r="T101" s="44">
        <f t="shared" si="234"/>
        <v>0</v>
      </c>
      <c r="U101" s="44">
        <f t="shared" si="234"/>
        <v>0</v>
      </c>
      <c r="V101" s="44">
        <f t="shared" si="234"/>
        <v>0</v>
      </c>
      <c r="W101" s="44">
        <f t="shared" si="234"/>
        <v>0</v>
      </c>
      <c r="X101" s="44">
        <f t="shared" si="234"/>
        <v>0</v>
      </c>
    </row>
    <row r="102" spans="3:24" x14ac:dyDescent="0.25">
      <c r="C102" s="9" t="s">
        <v>306</v>
      </c>
      <c r="D102" s="44">
        <f>$D$13</f>
        <v>0</v>
      </c>
      <c r="E102" s="44">
        <f>D102-E98-E101</f>
        <v>0</v>
      </c>
      <c r="F102" s="44">
        <f t="shared" ref="F102:I102" si="235">E102-F98-F101</f>
        <v>0</v>
      </c>
      <c r="G102" s="44">
        <f t="shared" si="235"/>
        <v>0</v>
      </c>
      <c r="H102" s="44">
        <f t="shared" si="235"/>
        <v>0</v>
      </c>
      <c r="I102" s="44">
        <f t="shared" si="235"/>
        <v>0</v>
      </c>
      <c r="J102" s="44">
        <f t="shared" ref="J102" si="236">I102-J98-J101</f>
        <v>0</v>
      </c>
      <c r="K102" s="44">
        <f t="shared" ref="K102" si="237">J102-K98-K101</f>
        <v>0</v>
      </c>
      <c r="L102" s="44">
        <f t="shared" ref="L102:M102" si="238">K102-L98-L101</f>
        <v>0</v>
      </c>
      <c r="M102" s="44">
        <f t="shared" si="238"/>
        <v>0</v>
      </c>
      <c r="N102" s="44">
        <f t="shared" ref="N102" si="239">M102-N98-N101</f>
        <v>0</v>
      </c>
      <c r="O102" s="44">
        <f t="shared" ref="O102" si="240">N102-O98-O101</f>
        <v>0</v>
      </c>
      <c r="P102" s="44">
        <f t="shared" ref="P102:Q102" si="241">O102-P98-P101</f>
        <v>0</v>
      </c>
      <c r="Q102" s="44">
        <f t="shared" si="241"/>
        <v>0</v>
      </c>
      <c r="R102" s="44">
        <f t="shared" ref="R102" si="242">Q102-R98-R101</f>
        <v>0</v>
      </c>
      <c r="S102" s="44">
        <f t="shared" ref="S102" si="243">R102-S98-S101</f>
        <v>0</v>
      </c>
      <c r="T102" s="44">
        <f t="shared" ref="T102:U102" si="244">S102-T98-T101</f>
        <v>0</v>
      </c>
      <c r="U102" s="44">
        <f t="shared" si="244"/>
        <v>0</v>
      </c>
      <c r="V102" s="44">
        <f t="shared" ref="V102" si="245">U102-V98-V101</f>
        <v>0</v>
      </c>
      <c r="W102" s="44">
        <f t="shared" ref="W102" si="246">V102-W98-W101</f>
        <v>0</v>
      </c>
      <c r="X102" s="44">
        <f>W102-X98-X101</f>
        <v>0</v>
      </c>
    </row>
    <row r="104" spans="3:24" x14ac:dyDescent="0.25">
      <c r="C104" s="38" t="s">
        <v>65</v>
      </c>
      <c r="D104" s="428">
        <f>$E$6</f>
        <v>0.17999999999999816</v>
      </c>
    </row>
    <row r="105" spans="3:24" ht="19.5" thickBot="1" x14ac:dyDescent="0.35">
      <c r="C105" s="26" t="s">
        <v>66</v>
      </c>
      <c r="D105" s="129">
        <v>5</v>
      </c>
    </row>
    <row r="106" spans="3:24" ht="21.75" thickBot="1" x14ac:dyDescent="0.4">
      <c r="C106" s="539" t="s">
        <v>299</v>
      </c>
      <c r="D106" s="540"/>
      <c r="E106" s="114"/>
      <c r="F106" s="114"/>
      <c r="G106" s="114"/>
      <c r="H106" s="114"/>
      <c r="I106" s="114"/>
    </row>
    <row r="107" spans="3:24" x14ac:dyDescent="0.25">
      <c r="C107" s="11" t="s">
        <v>38</v>
      </c>
      <c r="D107" s="11">
        <v>0</v>
      </c>
      <c r="E107" s="3">
        <f>D107+1</f>
        <v>1</v>
      </c>
      <c r="F107" s="3">
        <f t="shared" ref="F107" si="247">E107+1</f>
        <v>2</v>
      </c>
      <c r="G107" s="3">
        <f t="shared" ref="G107" si="248">F107+1</f>
        <v>3</v>
      </c>
      <c r="H107" s="3">
        <f t="shared" ref="H107" si="249">G107+1</f>
        <v>4</v>
      </c>
      <c r="I107" s="3">
        <f t="shared" ref="I107" si="250">H107+1</f>
        <v>5</v>
      </c>
      <c r="J107" s="3">
        <f t="shared" ref="J107" si="251">I107+1</f>
        <v>6</v>
      </c>
      <c r="K107" s="3">
        <f t="shared" ref="K107" si="252">J107+1</f>
        <v>7</v>
      </c>
      <c r="L107" s="3">
        <f t="shared" ref="L107" si="253">K107+1</f>
        <v>8</v>
      </c>
      <c r="M107" s="3">
        <f t="shared" ref="M107" si="254">L107+1</f>
        <v>9</v>
      </c>
      <c r="N107" s="3">
        <f t="shared" ref="N107" si="255">M107+1</f>
        <v>10</v>
      </c>
      <c r="O107" s="3">
        <f t="shared" ref="O107" si="256">N107+1</f>
        <v>11</v>
      </c>
      <c r="P107" s="3">
        <f t="shared" ref="P107" si="257">O107+1</f>
        <v>12</v>
      </c>
      <c r="Q107" s="3">
        <f t="shared" ref="Q107" si="258">P107+1</f>
        <v>13</v>
      </c>
      <c r="R107" s="3">
        <f t="shared" ref="R107" si="259">Q107+1</f>
        <v>14</v>
      </c>
      <c r="S107" s="3">
        <f t="shared" ref="S107" si="260">R107+1</f>
        <v>15</v>
      </c>
      <c r="T107" s="3">
        <f t="shared" ref="T107" si="261">S107+1</f>
        <v>16</v>
      </c>
      <c r="U107" s="3">
        <f t="shared" ref="U107" si="262">T107+1</f>
        <v>17</v>
      </c>
      <c r="V107" s="3">
        <f t="shared" ref="V107" si="263">U107+1</f>
        <v>18</v>
      </c>
      <c r="W107" s="3">
        <f t="shared" ref="W107" si="264">V107+1</f>
        <v>19</v>
      </c>
      <c r="X107" s="3">
        <f t="shared" ref="X107" si="265">W107+1</f>
        <v>20</v>
      </c>
    </row>
    <row r="108" spans="3:24" x14ac:dyDescent="0.25">
      <c r="C108" s="3" t="s">
        <v>68</v>
      </c>
      <c r="D108" s="40"/>
      <c r="E108" s="43">
        <f>IF($D$105&lt;E107,0,(-PMT($D$14,$D$15,$D$21)))</f>
        <v>0</v>
      </c>
      <c r="F108" s="43">
        <f t="shared" ref="F108:X108" si="266">IF($D$105&lt;F107,0,(-PMT($D$14,$D$15,$D$21)))</f>
        <v>0</v>
      </c>
      <c r="G108" s="43">
        <f t="shared" si="266"/>
        <v>0</v>
      </c>
      <c r="H108" s="43">
        <f t="shared" si="266"/>
        <v>0</v>
      </c>
      <c r="I108" s="43">
        <f t="shared" si="266"/>
        <v>0</v>
      </c>
      <c r="J108" s="43">
        <f t="shared" si="266"/>
        <v>0</v>
      </c>
      <c r="K108" s="43">
        <f t="shared" si="266"/>
        <v>0</v>
      </c>
      <c r="L108" s="43">
        <f t="shared" si="266"/>
        <v>0</v>
      </c>
      <c r="M108" s="43">
        <f t="shared" si="266"/>
        <v>0</v>
      </c>
      <c r="N108" s="43">
        <f t="shared" si="266"/>
        <v>0</v>
      </c>
      <c r="O108" s="43">
        <f t="shared" si="266"/>
        <v>0</v>
      </c>
      <c r="P108" s="43">
        <f t="shared" si="266"/>
        <v>0</v>
      </c>
      <c r="Q108" s="43">
        <f t="shared" si="266"/>
        <v>0</v>
      </c>
      <c r="R108" s="43">
        <f t="shared" si="266"/>
        <v>0</v>
      </c>
      <c r="S108" s="43">
        <f t="shared" si="266"/>
        <v>0</v>
      </c>
      <c r="T108" s="43">
        <f t="shared" si="266"/>
        <v>0</v>
      </c>
      <c r="U108" s="43">
        <f t="shared" si="266"/>
        <v>0</v>
      </c>
      <c r="V108" s="43">
        <f t="shared" si="266"/>
        <v>0</v>
      </c>
      <c r="W108" s="43">
        <f t="shared" si="266"/>
        <v>0</v>
      </c>
      <c r="X108" s="43">
        <f t="shared" si="266"/>
        <v>0</v>
      </c>
    </row>
    <row r="109" spans="3:24" ht="15.75" x14ac:dyDescent="0.25">
      <c r="C109" s="3"/>
      <c r="D109" s="131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</row>
    <row r="110" spans="3:24" x14ac:dyDescent="0.25">
      <c r="C110" s="3"/>
      <c r="D110" s="40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</row>
    <row r="111" spans="3:24" x14ac:dyDescent="0.25">
      <c r="C111" s="3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</row>
  </sheetData>
  <scenarios current="5">
    <scenario name="Flujo de caja del proyecto" locked="1" count="1" user="SERVER" comment="Creado por Francisco el 22/09/2011">
      <inputCells r="A3" undone="1" val="0"/>
    </scenario>
    <scenario name="Cuotas Uniformes" locked="1" count="1" user="SERVER" comment="Creado por Francisco el 22/09/2011">
      <inputCells r="A3" undone="1" val="1"/>
    </scenario>
    <scenario name="Abono constante a capital" locked="1" count="1" user="SERVER" comment="Creado por Francisco el 22/09/2011">
      <inputCells r="A3" undone="1" val="2"/>
    </scenario>
    <scenario name="Abono Interes en cada periodo" locked="1" count="1" user="SERVER" comment="Creado por Francisco el 22/09/2011">
      <inputCells r="A3" undone="1" val="3"/>
    </scenario>
    <scenario name="Pago de capital al final del periodo" locked="1" count="1" user="SERVER" comment="Creado por Francisco el 22/09/2011">
      <inputCells r="A3" undone="1" val="4"/>
    </scenario>
    <scenario name="Gradiente aritmedico creciente" locked="1" count="1" user="SERVER" comment="Creado por Francisco el 22/09/2011">
      <inputCells r="A3" undone="1" val="5"/>
    </scenario>
  </scenarios>
  <dataConsolidate/>
  <mergeCells count="10">
    <mergeCell ref="C95:D95"/>
    <mergeCell ref="C106:D106"/>
    <mergeCell ref="C16:D16"/>
    <mergeCell ref="C28:D28"/>
    <mergeCell ref="C37:D37"/>
    <mergeCell ref="C84:D84"/>
    <mergeCell ref="C64:D64"/>
    <mergeCell ref="C74:D74"/>
    <mergeCell ref="C46:D46"/>
    <mergeCell ref="C55:D55"/>
  </mergeCells>
  <dataValidations xWindow="388" yWindow="236" count="8">
    <dataValidation allowBlank="1" showInputMessage="1" showErrorMessage="1" promptTitle="Entrada del capital a pagar" prompt="Debe entrar el monto que desea cancelar en este periodo." sqref="E40:X40" xr:uid="{00000000-0002-0000-0500-000000000000}"/>
    <dataValidation allowBlank="1" showInputMessage="1" showErrorMessage="1" promptTitle="Valor gradiente" prompt="Debe entrar inicialmente $1 y posteriormente aplicar buscar objetivo._x000a_Definir celda para saldo al final de periodo._x000a_Con el valor 0_x000a_Para cambiar la celda del Gradiente." sqref="E54 E63" xr:uid="{00000000-0002-0000-0500-000001000000}"/>
    <dataValidation allowBlank="1" showInputMessage="1" showErrorMessage="1" promptTitle="Cuota inicial pactada" prompt="Debera entrar el valor de la primera cuota que se pacte para el prestamo bajo la modalidad de gradiente aritmetico." sqref="E57 E66 E76 E86" xr:uid="{00000000-0002-0000-0500-000002000000}"/>
    <dataValidation allowBlank="1" showInputMessage="1" showErrorMessage="1" promptTitle="Monto  del prestamo" prompt="_x000a_" sqref="D21:D22 D33 D42 D51 D60 D69:D70 D79 D89 D111 D100:D102" xr:uid="{00000000-0002-0000-0500-000003000000}"/>
    <dataValidation allowBlank="1" showInputMessage="1" showErrorMessage="1" promptTitle="Valor gradiente" prompt="Debe entrar inicialmente 1% y posteriormente aplicar buscar objetivo._x000a_Definir celda para saldo al final de periodo._x000a_Con el valor 0_x000a_Para cambiar la celda del Gradiente." sqref="E73 E83" xr:uid="{00000000-0002-0000-0500-000004000000}"/>
    <dataValidation type="whole" operator="lessThanOrEqual" allowBlank="1" showInputMessage="1" showErrorMessage="1" errorTitle="Entrada del dato" error="Debe ser entre 1 a 10" promptTitle="Periodos para el prestamo" prompt="Debera entrar el número de periodos que quiere para el prestamo los cuales deben estar dendro del rango de 1 a 20." sqref="D45 D27" xr:uid="{00000000-0002-0000-0500-000005000000}">
      <formula1>20</formula1>
    </dataValidation>
    <dataValidation type="whole" operator="lessThanOrEqual" allowBlank="1" showInputMessage="1" showErrorMessage="1" errorTitle="Entrada del dato" error="Debe ser entre 1 a 60" promptTitle="Periodos para el prestamo" prompt="Debera entrar el número de periodos que quiere para el prestamo los cuales deben estar dendro del rango de 1 a 60." sqref="D15 D94 D105" xr:uid="{00000000-0002-0000-0500-000006000000}">
      <formula1>60</formula1>
    </dataValidation>
    <dataValidation type="list" allowBlank="1" showInputMessage="1" showErrorMessage="1" error="Debe seleccionar una periodicidad de la lista_x000a_" sqref="E5 E7" xr:uid="{FC206802-93B1-403C-9050-438DC3101606}">
      <formula1>"Diario,Bimensual,Mensual,Bimestral,Trimestral,Semestral,Anual"</formula1>
    </dataValidation>
  </dataValidations>
  <hyperlinks>
    <hyperlink ref="B1" location="Menu!A1" display="Menu" xr:uid="{00000000-0004-0000-0500-000000000000}"/>
    <hyperlink ref="B3" location="Cuotas_Uniformes" display="Cuotas Uniformes" xr:uid="{00000000-0004-0000-0500-000001000000}"/>
    <hyperlink ref="C16:D16" location="Menu" display="Cuotas Uniformes" xr:uid="{00000000-0004-0000-0500-000002000000}"/>
    <hyperlink ref="B4" location="Abono_Capital_Constante" display="Abono constante a capital" xr:uid="{00000000-0004-0000-0500-000003000000}"/>
    <hyperlink ref="C28:D28" location="Saldos_Insolutos" display="Abono constante a capital" xr:uid="{00000000-0004-0000-0500-000004000000}"/>
    <hyperlink ref="B5" location="Saldos_Insolutos" display="Abono de intereses en cada periodo" xr:uid="{00000000-0004-0000-0500-000005000000}"/>
    <hyperlink ref="C37:D37" location="Menu" display="Abono intereses en cada periodo" xr:uid="{00000000-0004-0000-0500-000006000000}"/>
    <hyperlink ref="B6" location="Pago_Final" display="Pago de capital final del periodo" xr:uid="{00000000-0004-0000-0500-000007000000}"/>
    <hyperlink ref="C46:D46" location="Menu" display="Pago de capital al final del periodo" xr:uid="{00000000-0004-0000-0500-000008000000}"/>
    <hyperlink ref="B7" location="Gradiente_Aritmetico_Creciente" display="Gradiente aritmetico creciente" xr:uid="{00000000-0004-0000-0500-000009000000}"/>
    <hyperlink ref="C55:D55" location="Menu" display="Gradiente Aritmetico" xr:uid="{00000000-0004-0000-0500-00000A000000}"/>
    <hyperlink ref="B8" location="Gradiente_Aritmetico_Dcreciente" display="Gradiente aritmetico decreciente" xr:uid="{00000000-0004-0000-0500-00000B000000}"/>
    <hyperlink ref="C64:D64" location="Menu" display="Gradiente Aritmetico" xr:uid="{00000000-0004-0000-0500-00000C000000}"/>
    <hyperlink ref="B9" location="Gradiente_Geometrico_Creciente" display="Gradiente Geometrico Creciente" xr:uid="{00000000-0004-0000-0500-00000D000000}"/>
    <hyperlink ref="C74:D74" location="Menu" display="Gradiente Geometico" xr:uid="{00000000-0004-0000-0500-00000E000000}"/>
    <hyperlink ref="B10" location="Gradiente_Geometrico_decreciente" display="Gradiente Geometrico Decreciente" xr:uid="{00000000-0004-0000-0500-00000F000000}"/>
    <hyperlink ref="C84:D84" location="Menu" display="Gradiente Geometico" xr:uid="{00000000-0004-0000-0500-000010000000}"/>
    <hyperlink ref="C95:D95" location="Menu" display="Cuotas Uniformes" xr:uid="{CAA7CD90-E2EB-4DBB-BF13-2AFDD5BF6B91}"/>
    <hyperlink ref="B11" location="'Ppto Financiación'!C93" display="Leasing" xr:uid="{04213969-9B2C-4804-8839-398DCFCB0E6D}"/>
    <hyperlink ref="B12" location="'Ppto Financiación'!C104" display="Renting" xr:uid="{66F18BB9-1E53-42A4-9C78-563A4CD01632}"/>
    <hyperlink ref="C106:D106" location="Menu" display="Cuotas Uniformes" xr:uid="{05272553-CAD3-49C4-925D-258D3B5EB1B6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39DE3-F008-46DE-A835-E8214BC56980}">
  <dimension ref="B2:I5"/>
  <sheetViews>
    <sheetView workbookViewId="0"/>
  </sheetViews>
  <sheetFormatPr baseColWidth="10" defaultRowHeight="15" x14ac:dyDescent="0.25"/>
  <cols>
    <col min="2" max="2" width="11.140625" bestFit="1" customWidth="1"/>
    <col min="3" max="3" width="16.85546875" bestFit="1" customWidth="1"/>
    <col min="4" max="4" width="15.85546875" bestFit="1" customWidth="1"/>
    <col min="5" max="5" width="14.42578125" bestFit="1" customWidth="1"/>
    <col min="6" max="6" width="11.42578125" bestFit="1" customWidth="1"/>
    <col min="7" max="7" width="15.85546875" bestFit="1" customWidth="1"/>
    <col min="8" max="8" width="8.85546875" bestFit="1" customWidth="1"/>
    <col min="9" max="9" width="15.42578125" bestFit="1" customWidth="1"/>
  </cols>
  <sheetData>
    <row r="2" spans="2:9" ht="18" x14ac:dyDescent="0.25">
      <c r="B2" s="430" t="s">
        <v>237</v>
      </c>
    </row>
    <row r="3" spans="2:9" ht="15.75" thickBot="1" x14ac:dyDescent="0.3">
      <c r="B3" s="144" t="s">
        <v>337</v>
      </c>
    </row>
    <row r="4" spans="2:9" x14ac:dyDescent="0.25">
      <c r="B4" s="296" t="s">
        <v>329</v>
      </c>
      <c r="C4" s="422" t="s">
        <v>330</v>
      </c>
      <c r="D4" s="422" t="s">
        <v>336</v>
      </c>
      <c r="E4" s="422" t="s">
        <v>335</v>
      </c>
      <c r="F4" s="422" t="s">
        <v>328</v>
      </c>
      <c r="G4" s="422" t="s">
        <v>336</v>
      </c>
      <c r="H4" s="422" t="s">
        <v>331</v>
      </c>
      <c r="I4" s="423" t="s">
        <v>332</v>
      </c>
    </row>
    <row r="5" spans="2:9" ht="15.75" thickBot="1" x14ac:dyDescent="0.3">
      <c r="B5" s="424">
        <f>'Ppto Financiación'!E4</f>
        <v>0.18</v>
      </c>
      <c r="C5" s="326" t="str">
        <f>'Ppto Financiación'!E5</f>
        <v>Anual</v>
      </c>
      <c r="D5" s="425">
        <f>IF(C5="Diario",30,IF(C5="Bimensual",2,IF(C5="Bimestral",1/2,IF(C5="Trimestral",1/3,IF(C5="Semestral",1/6,IF(C5="Anual",1/12,IF(C5="Mensual",1,0)))))))</f>
        <v>8.3333333333333329E-2</v>
      </c>
      <c r="E5" s="426">
        <f>(((1+B5)^D5)-1)</f>
        <v>1.3888430348409919E-2</v>
      </c>
      <c r="F5" s="326" t="s">
        <v>333</v>
      </c>
      <c r="G5" s="425">
        <f>IF(I5="Diario",1/30,IF(I5="Bimensual",1/2,IF(I5="Bimestral",2,IF(I5="Trimestral",3,IF(I5="Semestral",6,IF(I5="Anual",12,IF(I5="Mensual",1,0)))))))</f>
        <v>12</v>
      </c>
      <c r="H5" s="426">
        <f>(((1+E5)^G5)-1)</f>
        <v>0.17999999999999816</v>
      </c>
      <c r="I5" s="427" t="str">
        <f>'Ppto Financiación'!E7</f>
        <v>Anual</v>
      </c>
    </row>
  </sheetData>
  <hyperlinks>
    <hyperlink ref="B2" location="Menu!A1" display="MENU" xr:uid="{B0E78F6D-CC43-4E16-91B1-FD24576AC0E4}"/>
    <hyperlink ref="B3" location="'Ppto Financiación'!A1" display="Financiacion" xr:uid="{7D20BA60-A749-4113-AFF1-E9548274C20C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AA42"/>
  <sheetViews>
    <sheetView zoomScale="110" zoomScaleNormal="110" workbookViewId="0">
      <pane xSplit="2" ySplit="4" topLeftCell="C41" activePane="bottomRight" state="frozen"/>
      <selection pane="topRight"/>
      <selection pane="bottomLeft"/>
      <selection pane="bottomRight" activeCell="B26" sqref="B26"/>
    </sheetView>
  </sheetViews>
  <sheetFormatPr baseColWidth="10" defaultRowHeight="15" x14ac:dyDescent="0.25"/>
  <cols>
    <col min="2" max="2" width="57.7109375" bestFit="1" customWidth="1"/>
    <col min="3" max="3" width="14.85546875" bestFit="1" customWidth="1"/>
    <col min="4" max="4" width="16.140625" customWidth="1"/>
    <col min="5" max="5" width="14.85546875" bestFit="1" customWidth="1"/>
    <col min="6" max="6" width="13.85546875" bestFit="1" customWidth="1"/>
    <col min="7" max="7" width="15" bestFit="1" customWidth="1"/>
    <col min="8" max="8" width="14.85546875" bestFit="1" customWidth="1"/>
    <col min="9" max="18" width="13.85546875" bestFit="1" customWidth="1"/>
    <col min="19" max="23" width="14.85546875" bestFit="1" customWidth="1"/>
    <col min="24" max="27" width="13.5703125" bestFit="1" customWidth="1"/>
  </cols>
  <sheetData>
    <row r="1" spans="2:27" ht="15.75" thickBot="1" x14ac:dyDescent="0.3"/>
    <row r="2" spans="2:27" ht="21" thickBot="1" x14ac:dyDescent="0.35">
      <c r="B2" s="293" t="s">
        <v>237</v>
      </c>
      <c r="C2" s="389"/>
      <c r="D2" s="389" t="s">
        <v>240</v>
      </c>
    </row>
    <row r="3" spans="2:27" ht="21" thickBot="1" x14ac:dyDescent="0.35">
      <c r="B3" s="293" t="s">
        <v>240</v>
      </c>
    </row>
    <row r="4" spans="2:27" x14ac:dyDescent="0.25">
      <c r="B4" s="292" t="s">
        <v>157</v>
      </c>
      <c r="C4" s="3">
        <f>+'EdeR y F de C'!F5</f>
        <v>0</v>
      </c>
      <c r="D4" s="3">
        <f>+C4+1</f>
        <v>1</v>
      </c>
      <c r="E4" s="3">
        <f t="shared" ref="E4:K4" si="0">+D4+1</f>
        <v>2</v>
      </c>
      <c r="F4" s="3">
        <f t="shared" si="0"/>
        <v>3</v>
      </c>
      <c r="G4" s="3">
        <f t="shared" si="0"/>
        <v>4</v>
      </c>
      <c r="H4" s="3">
        <f t="shared" si="0"/>
        <v>5</v>
      </c>
      <c r="I4" s="3">
        <f t="shared" si="0"/>
        <v>6</v>
      </c>
      <c r="J4" s="3">
        <f t="shared" si="0"/>
        <v>7</v>
      </c>
      <c r="K4" s="3">
        <f t="shared" si="0"/>
        <v>8</v>
      </c>
      <c r="L4" s="3">
        <f t="shared" ref="L4" si="1">+K4+1</f>
        <v>9</v>
      </c>
      <c r="M4" s="3">
        <f t="shared" ref="M4" si="2">+L4+1</f>
        <v>10</v>
      </c>
      <c r="N4" s="3">
        <f t="shared" ref="N4" si="3">+M4+1</f>
        <v>11</v>
      </c>
      <c r="O4" s="3">
        <f t="shared" ref="O4" si="4">+N4+1</f>
        <v>12</v>
      </c>
      <c r="P4" s="3">
        <f t="shared" ref="P4" si="5">+O4+1</f>
        <v>13</v>
      </c>
      <c r="Q4" s="3">
        <f t="shared" ref="Q4" si="6">+P4+1</f>
        <v>14</v>
      </c>
      <c r="R4" s="3">
        <f t="shared" ref="R4" si="7">+Q4+1</f>
        <v>15</v>
      </c>
      <c r="S4" s="3">
        <f t="shared" ref="S4" si="8">+R4+1</f>
        <v>16</v>
      </c>
      <c r="T4" s="3">
        <f t="shared" ref="T4" si="9">+S4+1</f>
        <v>17</v>
      </c>
      <c r="U4" s="3">
        <f t="shared" ref="U4" si="10">+T4+1</f>
        <v>18</v>
      </c>
      <c r="V4" s="3">
        <f t="shared" ref="V4" si="11">+U4+1</f>
        <v>19</v>
      </c>
      <c r="W4" s="3">
        <f t="shared" ref="W4" si="12">+V4+1</f>
        <v>20</v>
      </c>
      <c r="X4" s="3">
        <f t="shared" ref="X4" si="13">+W4+1</f>
        <v>21</v>
      </c>
      <c r="Y4" s="3">
        <f t="shared" ref="Y4" si="14">+X4+1</f>
        <v>22</v>
      </c>
      <c r="Z4" s="3">
        <f t="shared" ref="Z4" si="15">+Y4+1</f>
        <v>23</v>
      </c>
      <c r="AA4" s="3">
        <f t="shared" ref="AA4" si="16">+Z4+1</f>
        <v>24</v>
      </c>
    </row>
    <row r="5" spans="2:27" x14ac:dyDescent="0.25">
      <c r="B5" s="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</row>
    <row r="6" spans="2:27" x14ac:dyDescent="0.25">
      <c r="B6" s="3" t="s">
        <v>158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</row>
    <row r="7" spans="2:27" x14ac:dyDescent="0.25">
      <c r="B7" s="171" t="s">
        <v>159</v>
      </c>
      <c r="C7" s="173">
        <f>+'EdeR y F de C'!F24</f>
        <v>0</v>
      </c>
      <c r="D7" s="173">
        <f>+'EdeR y F de C'!G24</f>
        <v>0</v>
      </c>
      <c r="E7" s="173">
        <f>+'EdeR y F de C'!H24</f>
        <v>0</v>
      </c>
      <c r="F7" s="173">
        <f>+'EdeR y F de C'!I24</f>
        <v>0</v>
      </c>
      <c r="G7" s="173">
        <f>+'EdeR y F de C'!J24</f>
        <v>0</v>
      </c>
      <c r="H7" s="173">
        <f>+'EdeR y F de C'!K24</f>
        <v>0</v>
      </c>
      <c r="I7" s="173">
        <f>+'EdeR y F de C'!L24</f>
        <v>0</v>
      </c>
      <c r="J7" s="173">
        <f>+'EdeR y F de C'!M24</f>
        <v>0</v>
      </c>
      <c r="K7" s="173">
        <f>+'EdeR y F de C'!N24</f>
        <v>0</v>
      </c>
      <c r="L7" s="173">
        <f>+'EdeR y F de C'!O24</f>
        <v>0</v>
      </c>
      <c r="M7" s="173">
        <f>+'EdeR y F de C'!P24</f>
        <v>0</v>
      </c>
      <c r="N7" s="173">
        <f>+'EdeR y F de C'!Q24</f>
        <v>0</v>
      </c>
      <c r="O7" s="173">
        <f>+'EdeR y F de C'!R24</f>
        <v>0</v>
      </c>
      <c r="P7" s="173">
        <f>+'EdeR y F de C'!S24</f>
        <v>0</v>
      </c>
      <c r="Q7" s="173">
        <f>+'EdeR y F de C'!T24</f>
        <v>0</v>
      </c>
      <c r="R7" s="173">
        <f>+'EdeR y F de C'!U24</f>
        <v>0</v>
      </c>
      <c r="S7" s="173">
        <f>+'EdeR y F de C'!V24</f>
        <v>0</v>
      </c>
      <c r="T7" s="173">
        <f>+'EdeR y F de C'!W24</f>
        <v>0</v>
      </c>
      <c r="U7" s="173">
        <f>+'EdeR y F de C'!X24</f>
        <v>0</v>
      </c>
      <c r="V7" s="173">
        <f>+'EdeR y F de C'!Y24</f>
        <v>0</v>
      </c>
      <c r="W7" s="173">
        <f>+'EdeR y F de C'!Z24</f>
        <v>0</v>
      </c>
      <c r="X7" s="173">
        <f>+'EdeR y F de C'!AA24</f>
        <v>0</v>
      </c>
      <c r="Y7" s="173">
        <f>+'EdeR y F de C'!AB24</f>
        <v>0</v>
      </c>
      <c r="Z7" s="173">
        <f>+'EdeR y F de C'!AC24</f>
        <v>0</v>
      </c>
      <c r="AA7" s="173">
        <f>+'EdeR y F de C'!AD24</f>
        <v>0</v>
      </c>
    </row>
    <row r="8" spans="2:27" x14ac:dyDescent="0.25">
      <c r="B8" s="171" t="s">
        <v>160</v>
      </c>
      <c r="C8" s="172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</row>
    <row r="9" spans="2:27" x14ac:dyDescent="0.25">
      <c r="B9" s="171" t="s">
        <v>161</v>
      </c>
      <c r="C9" s="173">
        <f>'Capital de Trabajo'!C42</f>
        <v>0</v>
      </c>
      <c r="D9" s="173">
        <f>'Capital de Trabajo'!D42</f>
        <v>0</v>
      </c>
      <c r="E9" s="173">
        <f>'Capital de Trabajo'!E42</f>
        <v>0</v>
      </c>
      <c r="F9" s="173">
        <f>'Capital de Trabajo'!F42</f>
        <v>0</v>
      </c>
      <c r="G9" s="173">
        <f>'Capital de Trabajo'!G42</f>
        <v>0</v>
      </c>
      <c r="H9" s="173">
        <f>'Capital de Trabajo'!H42</f>
        <v>0</v>
      </c>
      <c r="I9" s="173">
        <f>'Capital de Trabajo'!I42</f>
        <v>0</v>
      </c>
      <c r="J9" s="173">
        <f>'Capital de Trabajo'!J42</f>
        <v>0</v>
      </c>
      <c r="K9" s="173">
        <f>'Capital de Trabajo'!K42</f>
        <v>0</v>
      </c>
      <c r="L9" s="173">
        <f>'Capital de Trabajo'!L42</f>
        <v>0</v>
      </c>
      <c r="M9" s="173">
        <f>'Capital de Trabajo'!M42</f>
        <v>0</v>
      </c>
      <c r="N9" s="173">
        <f>'Capital de Trabajo'!N42</f>
        <v>0</v>
      </c>
      <c r="O9" s="173">
        <f>'Capital de Trabajo'!O42</f>
        <v>0</v>
      </c>
      <c r="P9" s="173">
        <f>'Capital de Trabajo'!P42</f>
        <v>0</v>
      </c>
      <c r="Q9" s="173">
        <f>'Capital de Trabajo'!Q42</f>
        <v>0</v>
      </c>
      <c r="R9" s="173">
        <f>'Capital de Trabajo'!R42</f>
        <v>0</v>
      </c>
      <c r="S9" s="173">
        <f>'Capital de Trabajo'!S42</f>
        <v>0</v>
      </c>
      <c r="T9" s="173">
        <f>'Capital de Trabajo'!T42</f>
        <v>0</v>
      </c>
      <c r="U9" s="173">
        <f>'Capital de Trabajo'!U42</f>
        <v>0</v>
      </c>
      <c r="V9" s="173">
        <f>'Capital de Trabajo'!V42</f>
        <v>0</v>
      </c>
      <c r="W9" s="173">
        <f>'Capital de Trabajo'!W42</f>
        <v>0</v>
      </c>
      <c r="X9" s="173">
        <f>'Capital de Trabajo'!X42</f>
        <v>0</v>
      </c>
      <c r="Y9" s="173">
        <f>'Capital de Trabajo'!Y42</f>
        <v>0</v>
      </c>
      <c r="Z9" s="173">
        <f>'Capital de Trabajo'!Z42</f>
        <v>0</v>
      </c>
      <c r="AA9" s="173">
        <f>'Capital de Trabajo'!AA42</f>
        <v>0</v>
      </c>
    </row>
    <row r="10" spans="2:27" x14ac:dyDescent="0.25">
      <c r="B10" s="156" t="s">
        <v>162</v>
      </c>
      <c r="C10" s="160"/>
      <c r="D10" s="163">
        <f>D7+C9-D9</f>
        <v>0</v>
      </c>
      <c r="E10" s="163">
        <f>E7+D9-E9</f>
        <v>0</v>
      </c>
      <c r="F10" s="163">
        <f t="shared" ref="F10:K10" si="17">F7+E9-F9</f>
        <v>0</v>
      </c>
      <c r="G10" s="163">
        <f t="shared" si="17"/>
        <v>0</v>
      </c>
      <c r="H10" s="163">
        <f t="shared" si="17"/>
        <v>0</v>
      </c>
      <c r="I10" s="163">
        <f t="shared" si="17"/>
        <v>0</v>
      </c>
      <c r="J10" s="163">
        <f t="shared" si="17"/>
        <v>0</v>
      </c>
      <c r="K10" s="163">
        <f t="shared" si="17"/>
        <v>0</v>
      </c>
      <c r="L10" s="163">
        <f t="shared" ref="L10" si="18">L7+K9-L9</f>
        <v>0</v>
      </c>
      <c r="M10" s="163">
        <f t="shared" ref="M10" si="19">M7+L9-M9</f>
        <v>0</v>
      </c>
      <c r="N10" s="163">
        <f t="shared" ref="N10" si="20">N7+M9-N9</f>
        <v>0</v>
      </c>
      <c r="O10" s="163">
        <f t="shared" ref="O10" si="21">O7+N9-O9</f>
        <v>0</v>
      </c>
      <c r="P10" s="163">
        <f t="shared" ref="P10" si="22">P7+O9-P9</f>
        <v>0</v>
      </c>
      <c r="Q10" s="163">
        <f t="shared" ref="Q10" si="23">Q7+P9-Q9</f>
        <v>0</v>
      </c>
      <c r="R10" s="163">
        <f t="shared" ref="R10" si="24">R7+Q9-R9</f>
        <v>0</v>
      </c>
      <c r="S10" s="163">
        <f t="shared" ref="S10" si="25">S7+R9-S9</f>
        <v>0</v>
      </c>
      <c r="T10" s="163">
        <f t="shared" ref="T10" si="26">T7+S9-T9</f>
        <v>0</v>
      </c>
      <c r="U10" s="163">
        <f t="shared" ref="U10" si="27">U7+T9-U9</f>
        <v>0</v>
      </c>
      <c r="V10" s="163">
        <f t="shared" ref="V10" si="28">V7+U9-V9</f>
        <v>0</v>
      </c>
      <c r="W10" s="163">
        <f t="shared" ref="W10" si="29">W7+V9-W9</f>
        <v>0</v>
      </c>
      <c r="X10" s="163">
        <f t="shared" ref="X10" si="30">X7+W9-X9</f>
        <v>0</v>
      </c>
      <c r="Y10" s="163">
        <f t="shared" ref="Y10" si="31">Y7+X9-Y9</f>
        <v>0</v>
      </c>
      <c r="Z10" s="163">
        <f t="shared" ref="Z10" si="32">Z7+Y9-Z9</f>
        <v>0</v>
      </c>
      <c r="AA10" s="163">
        <f t="shared" ref="AA10" si="33">AA7+Z9-AA9</f>
        <v>0</v>
      </c>
    </row>
    <row r="11" spans="2:27" x14ac:dyDescent="0.25">
      <c r="B11" s="156" t="s">
        <v>163</v>
      </c>
      <c r="C11" s="160">
        <f>+'Ppto Inv_Dep y Amt'!C2+'Ppto Inv_Dep y Amt'!C5-'EdeR y F de C'!F75</f>
        <v>188207486</v>
      </c>
      <c r="D11" s="160">
        <f>+'Ppto Inv_Dep y Amt'!D2+'Ppto Inv_Dep y Amt'!D5-'EdeR y F de C'!G75</f>
        <v>0</v>
      </c>
      <c r="E11" s="160">
        <f>+'Ppto Inv_Dep y Amt'!E2+'Ppto Inv_Dep y Amt'!E5-'EdeR y F de C'!H75</f>
        <v>0</v>
      </c>
      <c r="F11" s="160">
        <f>+'Ppto Inv_Dep y Amt'!F2+'Ppto Inv_Dep y Amt'!F5-'EdeR y F de C'!I75</f>
        <v>0</v>
      </c>
      <c r="G11" s="160">
        <f>+'Ppto Inv_Dep y Amt'!G2+'Ppto Inv_Dep y Amt'!G5-'EdeR y F de C'!J75</f>
        <v>0</v>
      </c>
      <c r="H11" s="160">
        <f>+'Ppto Inv_Dep y Amt'!H2+'Ppto Inv_Dep y Amt'!H5-'EdeR y F de C'!K75</f>
        <v>0</v>
      </c>
      <c r="I11" s="160">
        <f>+'Ppto Inv_Dep y Amt'!I2+'Ppto Inv_Dep y Amt'!I5-'EdeR y F de C'!L75</f>
        <v>0</v>
      </c>
      <c r="J11" s="160">
        <f>+'Ppto Inv_Dep y Amt'!J2+'Ppto Inv_Dep y Amt'!J5-'EdeR y F de C'!M75</f>
        <v>0</v>
      </c>
      <c r="K11" s="160">
        <f>+'Ppto Inv_Dep y Amt'!K2+'Ppto Inv_Dep y Amt'!K5-'EdeR y F de C'!N75</f>
        <v>0</v>
      </c>
      <c r="L11" s="160">
        <f>+'Ppto Inv_Dep y Amt'!L2+'Ppto Inv_Dep y Amt'!L5-'EdeR y F de C'!O75</f>
        <v>0</v>
      </c>
      <c r="M11" s="160">
        <f>+'Ppto Inv_Dep y Amt'!M2+'Ppto Inv_Dep y Amt'!M5-'EdeR y F de C'!P75</f>
        <v>0</v>
      </c>
      <c r="N11" s="160">
        <f>+'Ppto Inv_Dep y Amt'!N2+'Ppto Inv_Dep y Amt'!N5-'EdeR y F de C'!Q75</f>
        <v>0</v>
      </c>
      <c r="O11" s="160">
        <f>+'Ppto Inv_Dep y Amt'!O2+'Ppto Inv_Dep y Amt'!O5-'EdeR y F de C'!R75</f>
        <v>0</v>
      </c>
      <c r="P11" s="160">
        <f>+'Ppto Inv_Dep y Amt'!P2+'Ppto Inv_Dep y Amt'!P5-'EdeR y F de C'!S75</f>
        <v>0</v>
      </c>
      <c r="Q11" s="160">
        <f>+'Ppto Inv_Dep y Amt'!Q2+'Ppto Inv_Dep y Amt'!Q5-'EdeR y F de C'!T75</f>
        <v>0</v>
      </c>
      <c r="R11" s="160">
        <f>+'Ppto Inv_Dep y Amt'!R2+'Ppto Inv_Dep y Amt'!R5-'EdeR y F de C'!U75</f>
        <v>0</v>
      </c>
      <c r="S11" s="160">
        <f>+'Ppto Inv_Dep y Amt'!S2+'Ppto Inv_Dep y Amt'!S5-'EdeR y F de C'!V75</f>
        <v>0</v>
      </c>
      <c r="T11" s="160">
        <f>+'Ppto Inv_Dep y Amt'!T2+'Ppto Inv_Dep y Amt'!T5-'EdeR y F de C'!W75</f>
        <v>0</v>
      </c>
      <c r="U11" s="160">
        <f>+'Ppto Inv_Dep y Amt'!U2+'Ppto Inv_Dep y Amt'!U5-'EdeR y F de C'!X75</f>
        <v>0</v>
      </c>
      <c r="V11" s="160">
        <f>+'Ppto Inv_Dep y Amt'!V2+'Ppto Inv_Dep y Amt'!V5-'EdeR y F de C'!Y75</f>
        <v>0</v>
      </c>
      <c r="W11" s="160">
        <f>+'Ppto Inv_Dep y Amt'!W2+'Ppto Inv_Dep y Amt'!W5-'EdeR y F de C'!Z75</f>
        <v>0</v>
      </c>
      <c r="X11" s="160">
        <f>+'Ppto Inv_Dep y Amt'!X2+'Ppto Inv_Dep y Amt'!X5-'EdeR y F de C'!AA75</f>
        <v>0</v>
      </c>
      <c r="Y11" s="160">
        <f>+'Ppto Inv_Dep y Amt'!Y2+'Ppto Inv_Dep y Amt'!Y5-'EdeR y F de C'!AB75</f>
        <v>0</v>
      </c>
      <c r="Z11" s="160">
        <f>+'Ppto Inv_Dep y Amt'!Z2+'Ppto Inv_Dep y Amt'!Z5-'EdeR y F de C'!AC75</f>
        <v>0</v>
      </c>
      <c r="AA11" s="160">
        <f>+'Ppto Inv_Dep y Amt'!AA2+'Ppto Inv_Dep y Amt'!AA5-'EdeR y F de C'!AD75</f>
        <v>0</v>
      </c>
    </row>
    <row r="12" spans="2:27" x14ac:dyDescent="0.25">
      <c r="B12" s="156" t="s">
        <v>164</v>
      </c>
      <c r="C12" s="160">
        <f>+'EdeR y F de C'!F75</f>
        <v>0</v>
      </c>
      <c r="D12" s="160">
        <f>+'EdeR y F de C'!G75</f>
        <v>0</v>
      </c>
      <c r="E12" s="160">
        <f>+'EdeR y F de C'!H75</f>
        <v>0</v>
      </c>
      <c r="F12" s="160">
        <f>+'EdeR y F de C'!I75</f>
        <v>0</v>
      </c>
      <c r="G12" s="160">
        <f>+'EdeR y F de C'!J75</f>
        <v>0</v>
      </c>
      <c r="H12" s="160">
        <f>+'EdeR y F de C'!K75</f>
        <v>0</v>
      </c>
      <c r="I12" s="160">
        <f>+'EdeR y F de C'!L75</f>
        <v>0</v>
      </c>
      <c r="J12" s="160">
        <f>+'EdeR y F de C'!M75</f>
        <v>0</v>
      </c>
      <c r="K12" s="160">
        <f>+'EdeR y F de C'!N75</f>
        <v>0</v>
      </c>
      <c r="L12" s="160">
        <f>+'EdeR y F de C'!O75</f>
        <v>0</v>
      </c>
      <c r="M12" s="160">
        <f>+'EdeR y F de C'!P75</f>
        <v>0</v>
      </c>
      <c r="N12" s="160">
        <f>+'EdeR y F de C'!Q75</f>
        <v>0</v>
      </c>
      <c r="O12" s="160">
        <f>+'EdeR y F de C'!R75</f>
        <v>0</v>
      </c>
      <c r="P12" s="160">
        <f>+'EdeR y F de C'!S75</f>
        <v>0</v>
      </c>
      <c r="Q12" s="160">
        <f>+'EdeR y F de C'!T75</f>
        <v>0</v>
      </c>
      <c r="R12" s="160">
        <f>+'EdeR y F de C'!U75</f>
        <v>0</v>
      </c>
      <c r="S12" s="160">
        <f>+'EdeR y F de C'!V75</f>
        <v>0</v>
      </c>
      <c r="T12" s="160">
        <f>+'EdeR y F de C'!W75</f>
        <v>0</v>
      </c>
      <c r="U12" s="160">
        <f>+'EdeR y F de C'!X75</f>
        <v>0</v>
      </c>
      <c r="V12" s="160">
        <f>+'EdeR y F de C'!Y75</f>
        <v>0</v>
      </c>
      <c r="W12" s="160">
        <f>+'EdeR y F de C'!Z75</f>
        <v>0</v>
      </c>
      <c r="X12" s="160">
        <f>+'EdeR y F de C'!AA75</f>
        <v>0</v>
      </c>
      <c r="Y12" s="160">
        <f>+'EdeR y F de C'!AB75</f>
        <v>0</v>
      </c>
      <c r="Z12" s="160">
        <f>+'EdeR y F de C'!AC75</f>
        <v>0</v>
      </c>
      <c r="AA12" s="160">
        <f>+'EdeR y F de C'!AD75</f>
        <v>0</v>
      </c>
    </row>
    <row r="13" spans="2:27" x14ac:dyDescent="0.25">
      <c r="B13" s="156" t="s">
        <v>165</v>
      </c>
      <c r="C13" s="160">
        <f>+'Ppto Ing'!D96</f>
        <v>0</v>
      </c>
      <c r="D13" s="160">
        <f>+'Ppto Ing'!E96</f>
        <v>0</v>
      </c>
      <c r="E13" s="160">
        <f>+'Ppto Ing'!F96</f>
        <v>0</v>
      </c>
      <c r="F13" s="160">
        <f>+'Ppto Ing'!G96</f>
        <v>0</v>
      </c>
      <c r="G13" s="160">
        <f>+'Ppto Ing'!H96</f>
        <v>0</v>
      </c>
      <c r="H13" s="160">
        <f>+'Ppto Ing'!I96</f>
        <v>0</v>
      </c>
      <c r="I13" s="160">
        <f>+'Ppto Ing'!J96</f>
        <v>0</v>
      </c>
      <c r="J13" s="160">
        <f>+'Ppto Ing'!K96</f>
        <v>0</v>
      </c>
      <c r="K13" s="160">
        <f>+'Ppto Ing'!L96</f>
        <v>0</v>
      </c>
      <c r="L13" s="160">
        <f>+'Ppto Ing'!M96</f>
        <v>0</v>
      </c>
      <c r="M13" s="160">
        <f>+'Ppto Ing'!N96</f>
        <v>0</v>
      </c>
      <c r="N13" s="160">
        <f>+'Ppto Ing'!O96</f>
        <v>0</v>
      </c>
      <c r="O13" s="160">
        <f>+'Ppto Ing'!P96</f>
        <v>0</v>
      </c>
      <c r="P13" s="160">
        <f>+'Ppto Ing'!Q96</f>
        <v>0</v>
      </c>
      <c r="Q13" s="160">
        <f>+'Ppto Ing'!R96</f>
        <v>0</v>
      </c>
      <c r="R13" s="160">
        <f>+'Ppto Ing'!S96</f>
        <v>0</v>
      </c>
      <c r="S13" s="160">
        <f>+'Ppto Ing'!T96</f>
        <v>0</v>
      </c>
      <c r="T13" s="160">
        <f>+'Ppto Ing'!U96</f>
        <v>0</v>
      </c>
      <c r="U13" s="160">
        <f>+'Ppto Ing'!V96</f>
        <v>0</v>
      </c>
      <c r="V13" s="160">
        <f>+'Ppto Ing'!W96</f>
        <v>0</v>
      </c>
      <c r="W13" s="160">
        <f>+'Ppto Ing'!X96</f>
        <v>0</v>
      </c>
      <c r="X13" s="160">
        <f>+'Ppto Ing'!Y96</f>
        <v>0</v>
      </c>
      <c r="Y13" s="160">
        <f>+'Ppto Ing'!Z96</f>
        <v>0</v>
      </c>
      <c r="Z13" s="160">
        <f>+'Ppto Ing'!AA96</f>
        <v>0</v>
      </c>
      <c r="AA13" s="160">
        <f>+'Ppto Ing'!AB96</f>
        <v>0</v>
      </c>
    </row>
    <row r="14" spans="2:27" x14ac:dyDescent="0.25">
      <c r="B14" s="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</row>
    <row r="15" spans="2:27" x14ac:dyDescent="0.25">
      <c r="B15" s="157" t="s">
        <v>166</v>
      </c>
      <c r="C15" s="161">
        <f>C10+C11+C12+C13</f>
        <v>188207486</v>
      </c>
      <c r="D15" s="161">
        <f t="shared" ref="D15:K15" si="34">D10+D11+D12+D13</f>
        <v>0</v>
      </c>
      <c r="E15" s="161">
        <f t="shared" si="34"/>
        <v>0</v>
      </c>
      <c r="F15" s="161">
        <f t="shared" si="34"/>
        <v>0</v>
      </c>
      <c r="G15" s="161">
        <f t="shared" si="34"/>
        <v>0</v>
      </c>
      <c r="H15" s="161">
        <f t="shared" si="34"/>
        <v>0</v>
      </c>
      <c r="I15" s="161">
        <f t="shared" si="34"/>
        <v>0</v>
      </c>
      <c r="J15" s="161">
        <f t="shared" si="34"/>
        <v>0</v>
      </c>
      <c r="K15" s="161">
        <f t="shared" si="34"/>
        <v>0</v>
      </c>
      <c r="L15" s="161">
        <f t="shared" ref="L15:T15" si="35">L10+L11+L12+L13</f>
        <v>0</v>
      </c>
      <c r="M15" s="161">
        <f t="shared" si="35"/>
        <v>0</v>
      </c>
      <c r="N15" s="161">
        <f t="shared" si="35"/>
        <v>0</v>
      </c>
      <c r="O15" s="161">
        <f t="shared" si="35"/>
        <v>0</v>
      </c>
      <c r="P15" s="161">
        <f t="shared" si="35"/>
        <v>0</v>
      </c>
      <c r="Q15" s="161">
        <f t="shared" si="35"/>
        <v>0</v>
      </c>
      <c r="R15" s="161">
        <f t="shared" si="35"/>
        <v>0</v>
      </c>
      <c r="S15" s="161">
        <f t="shared" si="35"/>
        <v>0</v>
      </c>
      <c r="T15" s="161">
        <f t="shared" si="35"/>
        <v>0</v>
      </c>
      <c r="U15" s="161">
        <f t="shared" ref="U15:AA15" si="36">U10+U11+U12+U13</f>
        <v>0</v>
      </c>
      <c r="V15" s="161">
        <f t="shared" si="36"/>
        <v>0</v>
      </c>
      <c r="W15" s="161">
        <f t="shared" si="36"/>
        <v>0</v>
      </c>
      <c r="X15" s="161">
        <f t="shared" si="36"/>
        <v>0</v>
      </c>
      <c r="Y15" s="161">
        <f t="shared" si="36"/>
        <v>0</v>
      </c>
      <c r="Z15" s="161">
        <f t="shared" si="36"/>
        <v>0</v>
      </c>
      <c r="AA15" s="161">
        <f t="shared" si="36"/>
        <v>0</v>
      </c>
    </row>
    <row r="16" spans="2:27" x14ac:dyDescent="0.25">
      <c r="B16" s="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</row>
    <row r="17" spans="2:27" x14ac:dyDescent="0.25">
      <c r="B17" s="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</row>
    <row r="18" spans="2:27" x14ac:dyDescent="0.25">
      <c r="B18" s="3" t="s">
        <v>167</v>
      </c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</row>
    <row r="19" spans="2:27" x14ac:dyDescent="0.25">
      <c r="B19" s="171" t="s">
        <v>168</v>
      </c>
      <c r="C19" s="172">
        <f>'EdeR y F de C'!F37</f>
        <v>0</v>
      </c>
      <c r="D19" s="172">
        <f>'EdeR y F de C'!G37</f>
        <v>180400000</v>
      </c>
      <c r="E19" s="172">
        <f>'EdeR y F de C'!H37</f>
        <v>185812000</v>
      </c>
      <c r="F19" s="172">
        <f>'EdeR y F de C'!I37</f>
        <v>186714000</v>
      </c>
      <c r="G19" s="172">
        <f>'EdeR y F de C'!J37</f>
        <v>187074800</v>
      </c>
      <c r="H19" s="172">
        <f>'EdeR y F de C'!K37</f>
        <v>185992400</v>
      </c>
      <c r="I19" s="172">
        <f>'EdeR y F de C'!L37</f>
        <v>0</v>
      </c>
      <c r="J19" s="172">
        <f>'EdeR y F de C'!M37</f>
        <v>0</v>
      </c>
      <c r="K19" s="172">
        <f>'EdeR y F de C'!N37</f>
        <v>0</v>
      </c>
      <c r="L19" s="172">
        <f>'EdeR y F de C'!O37</f>
        <v>0</v>
      </c>
      <c r="M19" s="172">
        <f>'EdeR y F de C'!P37</f>
        <v>0</v>
      </c>
      <c r="N19" s="172">
        <f>'EdeR y F de C'!Q37</f>
        <v>0</v>
      </c>
      <c r="O19" s="172">
        <f>'EdeR y F de C'!R37</f>
        <v>0</v>
      </c>
      <c r="P19" s="172">
        <f>'EdeR y F de C'!S37</f>
        <v>0</v>
      </c>
      <c r="Q19" s="172">
        <f>'EdeR y F de C'!T37</f>
        <v>0</v>
      </c>
      <c r="R19" s="172">
        <f>'EdeR y F de C'!U37</f>
        <v>0</v>
      </c>
      <c r="S19" s="172">
        <f>'EdeR y F de C'!V37</f>
        <v>0</v>
      </c>
      <c r="T19" s="172">
        <f>'EdeR y F de C'!W37</f>
        <v>0</v>
      </c>
      <c r="U19" s="172">
        <f>'EdeR y F de C'!X37</f>
        <v>0</v>
      </c>
      <c r="V19" s="172">
        <f>'EdeR y F de C'!Y37</f>
        <v>0</v>
      </c>
      <c r="W19" s="172">
        <f>'EdeR y F de C'!Z37</f>
        <v>0</v>
      </c>
      <c r="X19" s="172">
        <f>'EdeR y F de C'!AA37</f>
        <v>0</v>
      </c>
      <c r="Y19" s="172">
        <f>'EdeR y F de C'!AB37</f>
        <v>0</v>
      </c>
      <c r="Z19" s="172">
        <f>'EdeR y F de C'!AC37</f>
        <v>0</v>
      </c>
      <c r="AA19" s="172">
        <f>'EdeR y F de C'!AD37</f>
        <v>0</v>
      </c>
    </row>
    <row r="20" spans="2:27" x14ac:dyDescent="0.25">
      <c r="B20" s="171" t="s">
        <v>190</v>
      </c>
      <c r="C20" s="172">
        <f>'Capital de Trabajo'!C79</f>
        <v>0</v>
      </c>
      <c r="D20" s="172">
        <f>'Capital de Trabajo'!D79</f>
        <v>0</v>
      </c>
      <c r="E20" s="172">
        <f>'Capital de Trabajo'!E79</f>
        <v>0</v>
      </c>
      <c r="F20" s="172">
        <f>'Capital de Trabajo'!F79</f>
        <v>0</v>
      </c>
      <c r="G20" s="172">
        <f>'Capital de Trabajo'!G79</f>
        <v>0</v>
      </c>
      <c r="H20" s="172">
        <f>'Capital de Trabajo'!H79</f>
        <v>0</v>
      </c>
      <c r="I20" s="172">
        <f>'Capital de Trabajo'!I79</f>
        <v>0</v>
      </c>
      <c r="J20" s="172">
        <f>'Capital de Trabajo'!J79</f>
        <v>0</v>
      </c>
      <c r="K20" s="172">
        <f>'Capital de Trabajo'!K79</f>
        <v>0</v>
      </c>
      <c r="L20" s="172">
        <f>'Capital de Trabajo'!L79</f>
        <v>0</v>
      </c>
      <c r="M20" s="172">
        <f>'Capital de Trabajo'!M79</f>
        <v>0</v>
      </c>
      <c r="N20" s="172">
        <f>'Capital de Trabajo'!N79</f>
        <v>0</v>
      </c>
      <c r="O20" s="172">
        <f>'Capital de Trabajo'!O79</f>
        <v>0</v>
      </c>
      <c r="P20" s="172">
        <f>'Capital de Trabajo'!P79</f>
        <v>0</v>
      </c>
      <c r="Q20" s="172">
        <f>'Capital de Trabajo'!Q79</f>
        <v>0</v>
      </c>
      <c r="R20" s="172">
        <f>'Capital de Trabajo'!R79</f>
        <v>0</v>
      </c>
      <c r="S20" s="172">
        <f>'Capital de Trabajo'!S79</f>
        <v>0</v>
      </c>
      <c r="T20" s="172">
        <f>'Capital de Trabajo'!T79</f>
        <v>0</v>
      </c>
      <c r="U20" s="172">
        <f>'Capital de Trabajo'!U79</f>
        <v>0</v>
      </c>
      <c r="V20" s="172">
        <f>'Capital de Trabajo'!V79</f>
        <v>0</v>
      </c>
      <c r="W20" s="172">
        <f>'Capital de Trabajo'!W79</f>
        <v>0</v>
      </c>
      <c r="X20" s="172">
        <f>'Capital de Trabajo'!X79</f>
        <v>0</v>
      </c>
      <c r="Y20" s="172">
        <f>'Capital de Trabajo'!Y79</f>
        <v>0</v>
      </c>
      <c r="Z20" s="172">
        <f>'Capital de Trabajo'!Z79</f>
        <v>0</v>
      </c>
      <c r="AA20" s="172">
        <f>'Capital de Trabajo'!AA79</f>
        <v>0</v>
      </c>
    </row>
    <row r="21" spans="2:27" x14ac:dyDescent="0.25">
      <c r="B21" s="156" t="s">
        <v>191</v>
      </c>
      <c r="C21" s="160"/>
      <c r="D21" s="163">
        <f>D19+C20-D20</f>
        <v>180400000</v>
      </c>
      <c r="E21" s="163">
        <f t="shared" ref="E21:K21" si="37">E19+D20-E20</f>
        <v>185812000</v>
      </c>
      <c r="F21" s="163">
        <f t="shared" si="37"/>
        <v>186714000</v>
      </c>
      <c r="G21" s="163">
        <f t="shared" si="37"/>
        <v>187074800</v>
      </c>
      <c r="H21" s="163">
        <f t="shared" si="37"/>
        <v>185992400</v>
      </c>
      <c r="I21" s="163">
        <f t="shared" si="37"/>
        <v>0</v>
      </c>
      <c r="J21" s="163">
        <f t="shared" si="37"/>
        <v>0</v>
      </c>
      <c r="K21" s="163">
        <f t="shared" si="37"/>
        <v>0</v>
      </c>
      <c r="L21" s="163">
        <f t="shared" ref="L21" si="38">L19+K20-L20</f>
        <v>0</v>
      </c>
      <c r="M21" s="163">
        <f t="shared" ref="M21" si="39">M19+L20-M20</f>
        <v>0</v>
      </c>
      <c r="N21" s="163">
        <f t="shared" ref="N21" si="40">N19+M20-N20</f>
        <v>0</v>
      </c>
      <c r="O21" s="163">
        <f t="shared" ref="O21" si="41">O19+N20-O20</f>
        <v>0</v>
      </c>
      <c r="P21" s="163">
        <f t="shared" ref="P21" si="42">P19+O20-P20</f>
        <v>0</v>
      </c>
      <c r="Q21" s="163">
        <f t="shared" ref="Q21" si="43">Q19+P20-Q20</f>
        <v>0</v>
      </c>
      <c r="R21" s="163">
        <f t="shared" ref="R21" si="44">R19+Q20-R20</f>
        <v>0</v>
      </c>
      <c r="S21" s="163">
        <f t="shared" ref="S21" si="45">S19+R20-S20</f>
        <v>0</v>
      </c>
      <c r="T21" s="163">
        <f t="shared" ref="T21" si="46">T19+S20-T20</f>
        <v>0</v>
      </c>
      <c r="U21" s="163">
        <f t="shared" ref="U21" si="47">U19+T20-U20</f>
        <v>0</v>
      </c>
      <c r="V21" s="163">
        <f t="shared" ref="V21" si="48">V19+U20-V20</f>
        <v>0</v>
      </c>
      <c r="W21" s="163">
        <f t="shared" ref="W21" si="49">W19+V20-W20</f>
        <v>0</v>
      </c>
      <c r="X21" s="163">
        <f t="shared" ref="X21" si="50">X19+W20-X20</f>
        <v>0</v>
      </c>
      <c r="Y21" s="163">
        <f t="shared" ref="Y21" si="51">Y19+X20-Y20</f>
        <v>0</v>
      </c>
      <c r="Z21" s="163">
        <f t="shared" ref="Z21" si="52">Z19+Y20-Z20</f>
        <v>0</v>
      </c>
      <c r="AA21" s="163">
        <f t="shared" ref="AA21" si="53">AA19+Z20-AA20</f>
        <v>0</v>
      </c>
    </row>
    <row r="22" spans="2:27" x14ac:dyDescent="0.25">
      <c r="B22" s="156" t="s">
        <v>169</v>
      </c>
      <c r="C22" s="160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</row>
    <row r="23" spans="2:27" x14ac:dyDescent="0.25">
      <c r="B23" s="156" t="s">
        <v>170</v>
      </c>
      <c r="C23" s="160">
        <f>'EdeR y F de C'!F42</f>
        <v>0</v>
      </c>
      <c r="D23" s="160">
        <f>'EdeR y F de C'!G42</f>
        <v>17826990</v>
      </c>
      <c r="E23" s="160">
        <f>'EdeR y F de C'!H42</f>
        <v>17304000</v>
      </c>
      <c r="F23" s="160">
        <f>'EdeR y F de C'!I42</f>
        <v>17808000</v>
      </c>
      <c r="G23" s="160">
        <f>'EdeR y F de C'!J42</f>
        <v>18312000</v>
      </c>
      <c r="H23" s="160">
        <f>'EdeR y F de C'!K42</f>
        <v>18816000</v>
      </c>
      <c r="I23" s="160">
        <f>'EdeR y F de C'!L42</f>
        <v>0</v>
      </c>
      <c r="J23" s="160">
        <f>'EdeR y F de C'!M42</f>
        <v>0</v>
      </c>
      <c r="K23" s="160">
        <f>'EdeR y F de C'!N42</f>
        <v>0</v>
      </c>
      <c r="L23" s="160">
        <f>'EdeR y F de C'!O42</f>
        <v>0</v>
      </c>
      <c r="M23" s="160">
        <f>'EdeR y F de C'!P42</f>
        <v>0</v>
      </c>
      <c r="N23" s="160">
        <f>'EdeR y F de C'!Q42</f>
        <v>0</v>
      </c>
      <c r="O23" s="160">
        <f>'EdeR y F de C'!R42</f>
        <v>0</v>
      </c>
      <c r="P23" s="160">
        <f>'EdeR y F de C'!S42</f>
        <v>0</v>
      </c>
      <c r="Q23" s="160">
        <f>'EdeR y F de C'!T42</f>
        <v>0</v>
      </c>
      <c r="R23" s="160">
        <f>'EdeR y F de C'!U42</f>
        <v>0</v>
      </c>
      <c r="S23" s="160">
        <f>'EdeR y F de C'!V42</f>
        <v>0</v>
      </c>
      <c r="T23" s="160">
        <f>'EdeR y F de C'!W42</f>
        <v>0</v>
      </c>
      <c r="U23" s="160">
        <f>'EdeR y F de C'!X42</f>
        <v>0</v>
      </c>
      <c r="V23" s="160">
        <f>'EdeR y F de C'!Y42</f>
        <v>0</v>
      </c>
      <c r="W23" s="160">
        <f>'EdeR y F de C'!Z42</f>
        <v>0</v>
      </c>
      <c r="X23" s="160">
        <f>'EdeR y F de C'!AA42</f>
        <v>0</v>
      </c>
      <c r="Y23" s="160">
        <f>'EdeR y F de C'!AB42</f>
        <v>0</v>
      </c>
      <c r="Z23" s="160">
        <f>'EdeR y F de C'!AC42</f>
        <v>0</v>
      </c>
      <c r="AA23" s="160">
        <f>'EdeR y F de C'!AD42</f>
        <v>0</v>
      </c>
    </row>
    <row r="24" spans="2:27" x14ac:dyDescent="0.25">
      <c r="B24" s="156" t="s">
        <v>171</v>
      </c>
      <c r="C24" s="160">
        <f>'EdeR y F de C'!F41</f>
        <v>0</v>
      </c>
      <c r="D24" s="160">
        <f>'EdeR y F de C'!G41</f>
        <v>0</v>
      </c>
      <c r="E24" s="160">
        <f>'EdeR y F de C'!H41</f>
        <v>0</v>
      </c>
      <c r="F24" s="160">
        <f>'EdeR y F de C'!I41</f>
        <v>0</v>
      </c>
      <c r="G24" s="160">
        <f>'EdeR y F de C'!J41</f>
        <v>0</v>
      </c>
      <c r="H24" s="160">
        <f>'EdeR y F de C'!K41</f>
        <v>0</v>
      </c>
      <c r="I24" s="160">
        <f>'EdeR y F de C'!L41</f>
        <v>0</v>
      </c>
      <c r="J24" s="160">
        <f>'EdeR y F de C'!M41</f>
        <v>0</v>
      </c>
      <c r="K24" s="160">
        <f>'EdeR y F de C'!N41</f>
        <v>0</v>
      </c>
      <c r="L24" s="160">
        <f>'EdeR y F de C'!O41</f>
        <v>0</v>
      </c>
      <c r="M24" s="160">
        <f>'EdeR y F de C'!P41</f>
        <v>0</v>
      </c>
      <c r="N24" s="160">
        <f>'EdeR y F de C'!Q41</f>
        <v>0</v>
      </c>
      <c r="O24" s="160">
        <f>'EdeR y F de C'!R41</f>
        <v>0</v>
      </c>
      <c r="P24" s="160">
        <f>'EdeR y F de C'!S41</f>
        <v>0</v>
      </c>
      <c r="Q24" s="160">
        <f>'EdeR y F de C'!T41</f>
        <v>0</v>
      </c>
      <c r="R24" s="160">
        <f>'EdeR y F de C'!U41</f>
        <v>0</v>
      </c>
      <c r="S24" s="160">
        <f>'EdeR y F de C'!V41</f>
        <v>0</v>
      </c>
      <c r="T24" s="160">
        <f>'EdeR y F de C'!W41</f>
        <v>0</v>
      </c>
      <c r="U24" s="160">
        <f>'EdeR y F de C'!X41</f>
        <v>0</v>
      </c>
      <c r="V24" s="160">
        <f>'EdeR y F de C'!Y41</f>
        <v>0</v>
      </c>
      <c r="W24" s="160">
        <f>'EdeR y F de C'!Z41</f>
        <v>0</v>
      </c>
      <c r="X24" s="160">
        <f>'EdeR y F de C'!AA41</f>
        <v>0</v>
      </c>
      <c r="Y24" s="160">
        <f>'EdeR y F de C'!AB41</f>
        <v>0</v>
      </c>
      <c r="Z24" s="160">
        <f>'EdeR y F de C'!AC41</f>
        <v>0</v>
      </c>
      <c r="AA24" s="160">
        <f>'EdeR y F de C'!AD41</f>
        <v>0</v>
      </c>
    </row>
    <row r="25" spans="2:27" x14ac:dyDescent="0.25">
      <c r="B25" s="156" t="s">
        <v>172</v>
      </c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</row>
    <row r="26" spans="2:27" x14ac:dyDescent="0.25">
      <c r="B26" s="156" t="s">
        <v>173</v>
      </c>
      <c r="C26" s="160">
        <f>'EdeR y F de C'!F61</f>
        <v>0</v>
      </c>
      <c r="D26" s="160">
        <f>'EdeR y F de C'!G61</f>
        <v>0</v>
      </c>
      <c r="E26" s="160">
        <f>'EdeR y F de C'!H61</f>
        <v>0</v>
      </c>
      <c r="F26" s="160">
        <f>'EdeR y F de C'!I61</f>
        <v>0</v>
      </c>
      <c r="G26" s="160">
        <f>'EdeR y F de C'!J61</f>
        <v>0</v>
      </c>
      <c r="H26" s="160">
        <f>'EdeR y F de C'!K61</f>
        <v>0</v>
      </c>
      <c r="I26" s="160">
        <f>'EdeR y F de C'!L61</f>
        <v>0</v>
      </c>
      <c r="J26" s="160">
        <f>'EdeR y F de C'!M61</f>
        <v>0</v>
      </c>
      <c r="K26" s="160">
        <f>'EdeR y F de C'!N61</f>
        <v>0</v>
      </c>
      <c r="L26" s="160">
        <f>'EdeR y F de C'!O61</f>
        <v>0</v>
      </c>
      <c r="M26" s="160">
        <f>'EdeR y F de C'!P61</f>
        <v>0</v>
      </c>
      <c r="N26" s="160">
        <f>'EdeR y F de C'!Q61</f>
        <v>0</v>
      </c>
      <c r="O26" s="160">
        <f>'EdeR y F de C'!R61</f>
        <v>0</v>
      </c>
      <c r="P26" s="160">
        <f>'EdeR y F de C'!S61</f>
        <v>0</v>
      </c>
      <c r="Q26" s="160">
        <f>'EdeR y F de C'!T61</f>
        <v>0</v>
      </c>
      <c r="R26" s="160">
        <f>'EdeR y F de C'!U61</f>
        <v>0</v>
      </c>
      <c r="S26" s="160">
        <f>'EdeR y F de C'!V61</f>
        <v>0</v>
      </c>
      <c r="T26" s="160">
        <f>'EdeR y F de C'!W61</f>
        <v>0</v>
      </c>
      <c r="U26" s="160">
        <f>'EdeR y F de C'!X61</f>
        <v>0</v>
      </c>
      <c r="V26" s="160">
        <f>'EdeR y F de C'!Y61</f>
        <v>0</v>
      </c>
      <c r="W26" s="160">
        <f>'EdeR y F de C'!Z61</f>
        <v>0</v>
      </c>
      <c r="X26" s="160">
        <f>'EdeR y F de C'!AA61</f>
        <v>0</v>
      </c>
      <c r="Y26" s="160">
        <f>'EdeR y F de C'!AB61</f>
        <v>0</v>
      </c>
      <c r="Z26" s="160">
        <f>'EdeR y F de C'!AC61</f>
        <v>0</v>
      </c>
      <c r="AA26" s="160">
        <f>'EdeR y F de C'!AD61</f>
        <v>0</v>
      </c>
    </row>
    <row r="27" spans="2:27" x14ac:dyDescent="0.25">
      <c r="B27" s="156" t="s">
        <v>174</v>
      </c>
      <c r="C27" s="160">
        <f>'EdeR y F de C'!F76</f>
        <v>0</v>
      </c>
      <c r="D27" s="160">
        <f>'EdeR y F de C'!G76</f>
        <v>0</v>
      </c>
      <c r="E27" s="160">
        <f>'EdeR y F de C'!H76</f>
        <v>0</v>
      </c>
      <c r="F27" s="160">
        <f>'EdeR y F de C'!I76</f>
        <v>0</v>
      </c>
      <c r="G27" s="160">
        <f>'EdeR y F de C'!J76</f>
        <v>0</v>
      </c>
      <c r="H27" s="160">
        <f>'EdeR y F de C'!K76</f>
        <v>0</v>
      </c>
      <c r="I27" s="160">
        <f>'EdeR y F de C'!L76</f>
        <v>0</v>
      </c>
      <c r="J27" s="160">
        <f>'EdeR y F de C'!M76</f>
        <v>0</v>
      </c>
      <c r="K27" s="160">
        <f>'EdeR y F de C'!N76</f>
        <v>0</v>
      </c>
      <c r="L27" s="160">
        <f>'EdeR y F de C'!O76</f>
        <v>0</v>
      </c>
      <c r="M27" s="160">
        <f>'EdeR y F de C'!P76</f>
        <v>0</v>
      </c>
      <c r="N27" s="160">
        <f>'EdeR y F de C'!Q76</f>
        <v>0</v>
      </c>
      <c r="O27" s="160">
        <f>'EdeR y F de C'!R76</f>
        <v>0</v>
      </c>
      <c r="P27" s="160">
        <f>'EdeR y F de C'!S76</f>
        <v>0</v>
      </c>
      <c r="Q27" s="160">
        <f>'EdeR y F de C'!T76</f>
        <v>0</v>
      </c>
      <c r="R27" s="160">
        <f>'EdeR y F de C'!U76</f>
        <v>0</v>
      </c>
      <c r="S27" s="160">
        <f>'EdeR y F de C'!V76</f>
        <v>0</v>
      </c>
      <c r="T27" s="160">
        <f>'EdeR y F de C'!W76</f>
        <v>0</v>
      </c>
      <c r="U27" s="160">
        <f>'EdeR y F de C'!X76</f>
        <v>0</v>
      </c>
      <c r="V27" s="160">
        <f>'EdeR y F de C'!Y76</f>
        <v>0</v>
      </c>
      <c r="W27" s="160">
        <f>'EdeR y F de C'!Z76</f>
        <v>0</v>
      </c>
      <c r="X27" s="160">
        <f>'EdeR y F de C'!AA76</f>
        <v>0</v>
      </c>
      <c r="Y27" s="160">
        <f>'EdeR y F de C'!AB76</f>
        <v>0</v>
      </c>
      <c r="Z27" s="160">
        <f>'EdeR y F de C'!AC76</f>
        <v>0</v>
      </c>
      <c r="AA27" s="160">
        <f>'EdeR y F de C'!AD76</f>
        <v>0</v>
      </c>
    </row>
    <row r="28" spans="2:27" x14ac:dyDescent="0.25">
      <c r="B28" s="156" t="s">
        <v>24</v>
      </c>
      <c r="C28" s="160">
        <f>'EdeR y F de C'!F69</f>
        <v>0</v>
      </c>
      <c r="D28" s="160">
        <f>'EdeR y F de C'!G69</f>
        <v>0</v>
      </c>
      <c r="E28" s="160">
        <f>'EdeR y F de C'!H69</f>
        <v>0</v>
      </c>
      <c r="F28" s="160">
        <f>'EdeR y F de C'!I69</f>
        <v>0</v>
      </c>
      <c r="G28" s="160">
        <f>'EdeR y F de C'!J69</f>
        <v>0</v>
      </c>
      <c r="H28" s="160">
        <f>'EdeR y F de C'!K69</f>
        <v>0</v>
      </c>
      <c r="I28" s="160">
        <f>'EdeR y F de C'!L69</f>
        <v>0</v>
      </c>
      <c r="J28" s="160">
        <f>'EdeR y F de C'!M69</f>
        <v>0</v>
      </c>
      <c r="K28" s="160">
        <f>'EdeR y F de C'!N69</f>
        <v>0</v>
      </c>
      <c r="L28" s="160">
        <f>'EdeR y F de C'!O69</f>
        <v>0</v>
      </c>
      <c r="M28" s="160">
        <f>'EdeR y F de C'!P69</f>
        <v>0</v>
      </c>
      <c r="N28" s="160">
        <f>'EdeR y F de C'!Q69</f>
        <v>0</v>
      </c>
      <c r="O28" s="160">
        <f>'EdeR y F de C'!R69</f>
        <v>0</v>
      </c>
      <c r="P28" s="160">
        <f>'EdeR y F de C'!S69</f>
        <v>0</v>
      </c>
      <c r="Q28" s="160">
        <f>'EdeR y F de C'!T69</f>
        <v>0</v>
      </c>
      <c r="R28" s="160">
        <f>'EdeR y F de C'!U69</f>
        <v>0</v>
      </c>
      <c r="S28" s="160">
        <f>'EdeR y F de C'!V69</f>
        <v>0</v>
      </c>
      <c r="T28" s="160">
        <f>'EdeR y F de C'!W69</f>
        <v>0</v>
      </c>
      <c r="U28" s="160">
        <f>'EdeR y F de C'!X69</f>
        <v>0</v>
      </c>
      <c r="V28" s="160">
        <f>'EdeR y F de C'!Y69</f>
        <v>0</v>
      </c>
      <c r="W28" s="160">
        <f>'EdeR y F de C'!Z69</f>
        <v>0</v>
      </c>
      <c r="X28" s="160">
        <f>'EdeR y F de C'!AA69</f>
        <v>0</v>
      </c>
      <c r="Y28" s="160">
        <f>'EdeR y F de C'!AB69</f>
        <v>0</v>
      </c>
      <c r="Z28" s="160">
        <f>'EdeR y F de C'!AC69</f>
        <v>0</v>
      </c>
      <c r="AA28" s="160">
        <f>'EdeR y F de C'!AD69</f>
        <v>0</v>
      </c>
    </row>
    <row r="29" spans="2:27" x14ac:dyDescent="0.25">
      <c r="B29" s="156" t="s">
        <v>175</v>
      </c>
      <c r="C29" s="160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</row>
    <row r="30" spans="2:27" x14ac:dyDescent="0.25">
      <c r="B30" s="3" t="str">
        <f>+'EdeR y F de C'!C78</f>
        <v>Terrenos</v>
      </c>
      <c r="C30" s="163">
        <f>+'EdeR y F de C'!F78</f>
        <v>0</v>
      </c>
      <c r="D30" s="163">
        <f>+'EdeR y F de C'!G78</f>
        <v>0</v>
      </c>
      <c r="E30" s="163">
        <f>+'EdeR y F de C'!H78</f>
        <v>0</v>
      </c>
      <c r="F30" s="163">
        <f>+'EdeR y F de C'!I78</f>
        <v>0</v>
      </c>
      <c r="G30" s="163">
        <f>+'EdeR y F de C'!J78</f>
        <v>0</v>
      </c>
      <c r="H30" s="163">
        <f>+'EdeR y F de C'!K78</f>
        <v>0</v>
      </c>
      <c r="I30" s="163">
        <f>+'EdeR y F de C'!L78</f>
        <v>0</v>
      </c>
      <c r="J30" s="163">
        <f>+'EdeR y F de C'!M78</f>
        <v>0</v>
      </c>
      <c r="K30" s="163">
        <f>+'EdeR y F de C'!N78</f>
        <v>0</v>
      </c>
      <c r="L30" s="163">
        <f>+'EdeR y F de C'!O78</f>
        <v>0</v>
      </c>
      <c r="M30" s="163">
        <f>+'EdeR y F de C'!P78</f>
        <v>0</v>
      </c>
      <c r="N30" s="163">
        <f>+'EdeR y F de C'!Q78</f>
        <v>0</v>
      </c>
      <c r="O30" s="163">
        <f>+'EdeR y F de C'!R78</f>
        <v>0</v>
      </c>
      <c r="P30" s="163">
        <f>+'EdeR y F de C'!S78</f>
        <v>0</v>
      </c>
      <c r="Q30" s="163">
        <f>+'EdeR y F de C'!T78</f>
        <v>0</v>
      </c>
      <c r="R30" s="163">
        <f>+'EdeR y F de C'!U78</f>
        <v>0</v>
      </c>
      <c r="S30" s="163">
        <f>+'EdeR y F de C'!V78</f>
        <v>0</v>
      </c>
      <c r="T30" s="163">
        <f>+'EdeR y F de C'!W78</f>
        <v>0</v>
      </c>
      <c r="U30" s="163">
        <f>+'EdeR y F de C'!X78</f>
        <v>0</v>
      </c>
      <c r="V30" s="163">
        <f>+'EdeR y F de C'!Y78</f>
        <v>0</v>
      </c>
      <c r="W30" s="163">
        <f>+'EdeR y F de C'!Z78</f>
        <v>0</v>
      </c>
      <c r="X30" s="163">
        <f>+'EdeR y F de C'!AA78</f>
        <v>0</v>
      </c>
      <c r="Y30" s="163">
        <f>+'EdeR y F de C'!AB78</f>
        <v>0</v>
      </c>
      <c r="Z30" s="163">
        <f>+'EdeR y F de C'!AC78</f>
        <v>0</v>
      </c>
      <c r="AA30" s="163">
        <f>+'EdeR y F de C'!AD78</f>
        <v>0</v>
      </c>
    </row>
    <row r="31" spans="2:27" x14ac:dyDescent="0.25">
      <c r="B31" s="3" t="str">
        <f>+'EdeR y F de C'!C79</f>
        <v>Adecuación de Infraestructura</v>
      </c>
      <c r="C31" s="163">
        <f>+'EdeR y F de C'!F79</f>
        <v>120417721</v>
      </c>
      <c r="D31" s="163">
        <f>+'EdeR y F de C'!G79</f>
        <v>0</v>
      </c>
      <c r="E31" s="163">
        <f>+'EdeR y F de C'!H79</f>
        <v>0</v>
      </c>
      <c r="F31" s="163">
        <f>+'EdeR y F de C'!I79</f>
        <v>0</v>
      </c>
      <c r="G31" s="163">
        <f>+'EdeR y F de C'!J79</f>
        <v>0</v>
      </c>
      <c r="H31" s="163">
        <f>+'EdeR y F de C'!K79</f>
        <v>0</v>
      </c>
      <c r="I31" s="163">
        <f>+'EdeR y F de C'!L79</f>
        <v>0</v>
      </c>
      <c r="J31" s="163">
        <f>+'EdeR y F de C'!M79</f>
        <v>0</v>
      </c>
      <c r="K31" s="163">
        <f>+'EdeR y F de C'!N79</f>
        <v>0</v>
      </c>
      <c r="L31" s="163">
        <f>+'EdeR y F de C'!O79</f>
        <v>0</v>
      </c>
      <c r="M31" s="163">
        <f>+'EdeR y F de C'!P79</f>
        <v>0</v>
      </c>
      <c r="N31" s="163">
        <f>+'EdeR y F de C'!Q79</f>
        <v>0</v>
      </c>
      <c r="O31" s="163">
        <f>+'EdeR y F de C'!R79</f>
        <v>0</v>
      </c>
      <c r="P31" s="163">
        <f>+'EdeR y F de C'!S79</f>
        <v>0</v>
      </c>
      <c r="Q31" s="163">
        <f>+'EdeR y F de C'!T79</f>
        <v>0</v>
      </c>
      <c r="R31" s="163">
        <f>+'EdeR y F de C'!U79</f>
        <v>0</v>
      </c>
      <c r="S31" s="163">
        <f>+'EdeR y F de C'!V79</f>
        <v>0</v>
      </c>
      <c r="T31" s="163">
        <f>+'EdeR y F de C'!W79</f>
        <v>0</v>
      </c>
      <c r="U31" s="163">
        <f>+'EdeR y F de C'!X79</f>
        <v>0</v>
      </c>
      <c r="V31" s="163">
        <f>+'EdeR y F de C'!Y79</f>
        <v>0</v>
      </c>
      <c r="W31" s="163">
        <f>+'EdeR y F de C'!Z79</f>
        <v>0</v>
      </c>
      <c r="X31" s="163">
        <f>+'EdeR y F de C'!AA79</f>
        <v>0</v>
      </c>
      <c r="Y31" s="163">
        <f>+'EdeR y F de C'!AB79</f>
        <v>0</v>
      </c>
      <c r="Z31" s="163">
        <f>+'EdeR y F de C'!AC79</f>
        <v>0</v>
      </c>
      <c r="AA31" s="163">
        <f>+'EdeR y F de C'!AD79</f>
        <v>0</v>
      </c>
    </row>
    <row r="32" spans="2:27" x14ac:dyDescent="0.25">
      <c r="B32" s="3" t="str">
        <f>+'EdeR y F de C'!C80</f>
        <v xml:space="preserve"> Equipos, Muebles y Enseres</v>
      </c>
      <c r="C32" s="163">
        <f>+'EdeR y F de C'!F80</f>
        <v>53179715</v>
      </c>
      <c r="D32" s="163">
        <f>+'EdeR y F de C'!G80</f>
        <v>0</v>
      </c>
      <c r="E32" s="163">
        <f>+'EdeR y F de C'!H80</f>
        <v>0</v>
      </c>
      <c r="F32" s="163">
        <f>+'EdeR y F de C'!I80</f>
        <v>0</v>
      </c>
      <c r="G32" s="163">
        <f>+'EdeR y F de C'!J80</f>
        <v>0</v>
      </c>
      <c r="H32" s="163">
        <f>+'EdeR y F de C'!K80</f>
        <v>0</v>
      </c>
      <c r="I32" s="163">
        <f>+'EdeR y F de C'!L80</f>
        <v>0</v>
      </c>
      <c r="J32" s="163">
        <f>+'EdeR y F de C'!M80</f>
        <v>0</v>
      </c>
      <c r="K32" s="163">
        <f>+'EdeR y F de C'!N80</f>
        <v>0</v>
      </c>
      <c r="L32" s="163">
        <f>+'EdeR y F de C'!O80</f>
        <v>0</v>
      </c>
      <c r="M32" s="163">
        <f>+'EdeR y F de C'!P80</f>
        <v>0</v>
      </c>
      <c r="N32" s="163">
        <f>+'EdeR y F de C'!Q80</f>
        <v>0</v>
      </c>
      <c r="O32" s="163">
        <f>+'EdeR y F de C'!R80</f>
        <v>0</v>
      </c>
      <c r="P32" s="163">
        <f>+'EdeR y F de C'!S80</f>
        <v>0</v>
      </c>
      <c r="Q32" s="163">
        <f>+'EdeR y F de C'!T80</f>
        <v>0</v>
      </c>
      <c r="R32" s="163">
        <f>+'EdeR y F de C'!U80</f>
        <v>0</v>
      </c>
      <c r="S32" s="163">
        <f>+'EdeR y F de C'!V80</f>
        <v>0</v>
      </c>
      <c r="T32" s="163">
        <f>+'EdeR y F de C'!W80</f>
        <v>0</v>
      </c>
      <c r="U32" s="163">
        <f>+'EdeR y F de C'!X80</f>
        <v>0</v>
      </c>
      <c r="V32" s="163">
        <f>+'EdeR y F de C'!Y80</f>
        <v>0</v>
      </c>
      <c r="W32" s="163">
        <f>+'EdeR y F de C'!Z80</f>
        <v>0</v>
      </c>
      <c r="X32" s="163">
        <f>+'EdeR y F de C'!AA80</f>
        <v>0</v>
      </c>
      <c r="Y32" s="163">
        <f>+'EdeR y F de C'!AB80</f>
        <v>0</v>
      </c>
      <c r="Z32" s="163">
        <f>+'EdeR y F de C'!AC80</f>
        <v>0</v>
      </c>
      <c r="AA32" s="163">
        <f>+'EdeR y F de C'!AD80</f>
        <v>0</v>
      </c>
    </row>
    <row r="33" spans="2:27" x14ac:dyDescent="0.25">
      <c r="B33" s="3" t="str">
        <f>+'EdeR y F de C'!C81</f>
        <v>Empaques y Herramientas</v>
      </c>
      <c r="C33" s="163">
        <f>+'EdeR y F de C'!F81</f>
        <v>0</v>
      </c>
      <c r="D33" s="163">
        <f>+'EdeR y F de C'!G81</f>
        <v>0</v>
      </c>
      <c r="E33" s="163">
        <f>+'EdeR y F de C'!H81</f>
        <v>0</v>
      </c>
      <c r="F33" s="163">
        <f>+'EdeR y F de C'!I81</f>
        <v>0</v>
      </c>
      <c r="G33" s="163">
        <f>+'EdeR y F de C'!J81</f>
        <v>0</v>
      </c>
      <c r="H33" s="163">
        <f>+'EdeR y F de C'!K81</f>
        <v>0</v>
      </c>
      <c r="I33" s="163">
        <f>+'EdeR y F de C'!L81</f>
        <v>0</v>
      </c>
      <c r="J33" s="163">
        <f>+'EdeR y F de C'!M81</f>
        <v>0</v>
      </c>
      <c r="K33" s="163">
        <f>+'EdeR y F de C'!N81</f>
        <v>0</v>
      </c>
      <c r="L33" s="163">
        <f>+'EdeR y F de C'!O81</f>
        <v>0</v>
      </c>
      <c r="M33" s="163">
        <f>+'EdeR y F de C'!P81</f>
        <v>0</v>
      </c>
      <c r="N33" s="163">
        <f>+'EdeR y F de C'!Q81</f>
        <v>0</v>
      </c>
      <c r="O33" s="163">
        <f>+'EdeR y F de C'!R81</f>
        <v>0</v>
      </c>
      <c r="P33" s="163">
        <f>+'EdeR y F de C'!S81</f>
        <v>0</v>
      </c>
      <c r="Q33" s="163">
        <f>+'EdeR y F de C'!T81</f>
        <v>0</v>
      </c>
      <c r="R33" s="163">
        <f>+'EdeR y F de C'!U81</f>
        <v>0</v>
      </c>
      <c r="S33" s="163">
        <f>+'EdeR y F de C'!V81</f>
        <v>0</v>
      </c>
      <c r="T33" s="163">
        <f>+'EdeR y F de C'!W81</f>
        <v>0</v>
      </c>
      <c r="U33" s="163">
        <f>+'EdeR y F de C'!X81</f>
        <v>0</v>
      </c>
      <c r="V33" s="163">
        <f>+'EdeR y F de C'!Y81</f>
        <v>0</v>
      </c>
      <c r="W33" s="163">
        <f>+'EdeR y F de C'!Z81</f>
        <v>0</v>
      </c>
      <c r="X33" s="163">
        <f>+'EdeR y F de C'!AA81</f>
        <v>0</v>
      </c>
      <c r="Y33" s="163">
        <f>+'EdeR y F de C'!AB81</f>
        <v>0</v>
      </c>
      <c r="Z33" s="163">
        <f>+'EdeR y F de C'!AC81</f>
        <v>0</v>
      </c>
      <c r="AA33" s="163">
        <f>+'EdeR y F de C'!AD81</f>
        <v>0</v>
      </c>
    </row>
    <row r="34" spans="2:27" x14ac:dyDescent="0.25">
      <c r="B34" s="3" t="str">
        <f>+'EdeR y F de C'!C82</f>
        <v>Equipos de Computo, Comunicaciones, Redes de Datos</v>
      </c>
      <c r="C34" s="163">
        <f>+'EdeR y F de C'!F82</f>
        <v>14610050</v>
      </c>
      <c r="D34" s="163">
        <f>+'EdeR y F de C'!G82</f>
        <v>0</v>
      </c>
      <c r="E34" s="163">
        <f>+'EdeR y F de C'!H82</f>
        <v>0</v>
      </c>
      <c r="F34" s="163">
        <f>+'EdeR y F de C'!I82</f>
        <v>0</v>
      </c>
      <c r="G34" s="163">
        <f>+'EdeR y F de C'!J82</f>
        <v>0</v>
      </c>
      <c r="H34" s="163">
        <f>+'EdeR y F de C'!K82</f>
        <v>0</v>
      </c>
      <c r="I34" s="163">
        <f>+'EdeR y F de C'!L82</f>
        <v>0</v>
      </c>
      <c r="J34" s="163">
        <f>+'EdeR y F de C'!M82</f>
        <v>0</v>
      </c>
      <c r="K34" s="163">
        <f>+'EdeR y F de C'!N82</f>
        <v>0</v>
      </c>
      <c r="L34" s="163">
        <f>+'EdeR y F de C'!O82</f>
        <v>0</v>
      </c>
      <c r="M34" s="163">
        <f>+'EdeR y F de C'!P82</f>
        <v>0</v>
      </c>
      <c r="N34" s="163">
        <f>+'EdeR y F de C'!Q82</f>
        <v>0</v>
      </c>
      <c r="O34" s="163">
        <f>+'EdeR y F de C'!R82</f>
        <v>0</v>
      </c>
      <c r="P34" s="163">
        <f>+'EdeR y F de C'!S82</f>
        <v>0</v>
      </c>
      <c r="Q34" s="163">
        <f>+'EdeR y F de C'!T82</f>
        <v>0</v>
      </c>
      <c r="R34" s="163">
        <f>+'EdeR y F de C'!U82</f>
        <v>0</v>
      </c>
      <c r="S34" s="163">
        <f>+'EdeR y F de C'!V82</f>
        <v>0</v>
      </c>
      <c r="T34" s="163">
        <f>+'EdeR y F de C'!W82</f>
        <v>0</v>
      </c>
      <c r="U34" s="163">
        <f>+'EdeR y F de C'!X82</f>
        <v>0</v>
      </c>
      <c r="V34" s="163">
        <f>+'EdeR y F de C'!Y82</f>
        <v>0</v>
      </c>
      <c r="W34" s="163">
        <f>+'EdeR y F de C'!Z82</f>
        <v>0</v>
      </c>
      <c r="X34" s="163">
        <f>+'EdeR y F de C'!AA82</f>
        <v>0</v>
      </c>
      <c r="Y34" s="163">
        <f>+'EdeR y F de C'!AB82</f>
        <v>0</v>
      </c>
      <c r="Z34" s="163">
        <f>+'EdeR y F de C'!AC82</f>
        <v>0</v>
      </c>
      <c r="AA34" s="163">
        <f>+'EdeR y F de C'!AD82</f>
        <v>0</v>
      </c>
    </row>
    <row r="35" spans="2:27" x14ac:dyDescent="0.25">
      <c r="B35" s="3" t="str">
        <f>+'EdeR y F de C'!C83</f>
        <v>Licencias</v>
      </c>
      <c r="C35" s="163">
        <f>+'EdeR y F de C'!F83</f>
        <v>0</v>
      </c>
      <c r="D35" s="163">
        <f>+'EdeR y F de C'!G83</f>
        <v>0</v>
      </c>
      <c r="E35" s="163">
        <f>+'EdeR y F de C'!H83</f>
        <v>0</v>
      </c>
      <c r="F35" s="163">
        <f>+'EdeR y F de C'!I83</f>
        <v>0</v>
      </c>
      <c r="G35" s="163">
        <f>+'EdeR y F de C'!J83</f>
        <v>0</v>
      </c>
      <c r="H35" s="163">
        <f>+'EdeR y F de C'!K83</f>
        <v>0</v>
      </c>
      <c r="I35" s="163">
        <f>+'EdeR y F de C'!L83</f>
        <v>0</v>
      </c>
      <c r="J35" s="163">
        <f>+'EdeR y F de C'!M83</f>
        <v>0</v>
      </c>
      <c r="K35" s="163">
        <f>+'EdeR y F de C'!N83</f>
        <v>0</v>
      </c>
      <c r="L35" s="163">
        <f>+'EdeR y F de C'!O83</f>
        <v>0</v>
      </c>
      <c r="M35" s="163">
        <f>+'EdeR y F de C'!P83</f>
        <v>0</v>
      </c>
      <c r="N35" s="163">
        <f>+'EdeR y F de C'!Q83</f>
        <v>0</v>
      </c>
      <c r="O35" s="163">
        <f>+'EdeR y F de C'!R83</f>
        <v>0</v>
      </c>
      <c r="P35" s="163">
        <f>+'EdeR y F de C'!S83</f>
        <v>0</v>
      </c>
      <c r="Q35" s="163">
        <f>+'EdeR y F de C'!T83</f>
        <v>0</v>
      </c>
      <c r="R35" s="163">
        <f>+'EdeR y F de C'!U83</f>
        <v>0</v>
      </c>
      <c r="S35" s="163">
        <f>+'EdeR y F de C'!V83</f>
        <v>0</v>
      </c>
      <c r="T35" s="163">
        <f>+'EdeR y F de C'!W83</f>
        <v>0</v>
      </c>
      <c r="U35" s="163">
        <f>+'EdeR y F de C'!X83</f>
        <v>0</v>
      </c>
      <c r="V35" s="163">
        <f>+'EdeR y F de C'!Y83</f>
        <v>0</v>
      </c>
      <c r="W35" s="163">
        <f>+'EdeR y F de C'!Z83</f>
        <v>0</v>
      </c>
      <c r="X35" s="163">
        <f>+'EdeR y F de C'!AA83</f>
        <v>0</v>
      </c>
      <c r="Y35" s="163">
        <f>+'EdeR y F de C'!AB83</f>
        <v>0</v>
      </c>
      <c r="Z35" s="163">
        <f>+'EdeR y F de C'!AC83</f>
        <v>0</v>
      </c>
      <c r="AA35" s="163">
        <f>+'EdeR y F de C'!AD83</f>
        <v>0</v>
      </c>
    </row>
    <row r="36" spans="2:27" x14ac:dyDescent="0.25">
      <c r="B36" s="3" t="str">
        <f>+'EdeR y F de C'!C84</f>
        <v>Estudios</v>
      </c>
      <c r="C36" s="163">
        <f>+'EdeR y F de C'!F84</f>
        <v>0</v>
      </c>
      <c r="D36" s="163">
        <f>+'EdeR y F de C'!G84</f>
        <v>0</v>
      </c>
      <c r="E36" s="163">
        <f>+'EdeR y F de C'!H84</f>
        <v>0</v>
      </c>
      <c r="F36" s="163">
        <f>+'EdeR y F de C'!I84</f>
        <v>0</v>
      </c>
      <c r="G36" s="163">
        <f>+'EdeR y F de C'!J84</f>
        <v>0</v>
      </c>
      <c r="H36" s="163">
        <f>+'EdeR y F de C'!K84</f>
        <v>0</v>
      </c>
      <c r="I36" s="163">
        <f>+'EdeR y F de C'!L84</f>
        <v>0</v>
      </c>
      <c r="J36" s="163">
        <f>+'EdeR y F de C'!M84</f>
        <v>0</v>
      </c>
      <c r="K36" s="163">
        <f>+'EdeR y F de C'!N84</f>
        <v>0</v>
      </c>
      <c r="L36" s="163">
        <f>+'EdeR y F de C'!O84</f>
        <v>0</v>
      </c>
      <c r="M36" s="163">
        <f>+'EdeR y F de C'!P84</f>
        <v>0</v>
      </c>
      <c r="N36" s="163">
        <f>+'EdeR y F de C'!Q84</f>
        <v>0</v>
      </c>
      <c r="O36" s="163">
        <f>+'EdeR y F de C'!R84</f>
        <v>0</v>
      </c>
      <c r="P36" s="163">
        <f>+'EdeR y F de C'!S84</f>
        <v>0</v>
      </c>
      <c r="Q36" s="163">
        <f>+'EdeR y F de C'!T84</f>
        <v>0</v>
      </c>
      <c r="R36" s="163">
        <f>+'EdeR y F de C'!U84</f>
        <v>0</v>
      </c>
      <c r="S36" s="163">
        <f>+'EdeR y F de C'!V84</f>
        <v>0</v>
      </c>
      <c r="T36" s="163">
        <f>+'EdeR y F de C'!W84</f>
        <v>0</v>
      </c>
      <c r="U36" s="163">
        <f>+'EdeR y F de C'!X84</f>
        <v>0</v>
      </c>
      <c r="V36" s="163">
        <f>+'EdeR y F de C'!Y84</f>
        <v>0</v>
      </c>
      <c r="W36" s="163">
        <f>+'EdeR y F de C'!Z84</f>
        <v>0</v>
      </c>
      <c r="X36" s="163">
        <f>+'EdeR y F de C'!AA84</f>
        <v>0</v>
      </c>
      <c r="Y36" s="163">
        <f>+'EdeR y F de C'!AB84</f>
        <v>0</v>
      </c>
      <c r="Z36" s="163">
        <f>+'EdeR y F de C'!AC84</f>
        <v>0</v>
      </c>
      <c r="AA36" s="163">
        <f>+'EdeR y F de C'!AD84</f>
        <v>0</v>
      </c>
    </row>
    <row r="37" spans="2:27" x14ac:dyDescent="0.25">
      <c r="B37" s="3" t="str">
        <f>+'EdeR y F de C'!C85</f>
        <v>Franquicias</v>
      </c>
      <c r="C37" s="163">
        <f>+'EdeR y F de C'!F85</f>
        <v>0</v>
      </c>
      <c r="D37" s="163">
        <f>+'EdeR y F de C'!G85</f>
        <v>0</v>
      </c>
      <c r="E37" s="163">
        <f>+'EdeR y F de C'!H85</f>
        <v>0</v>
      </c>
      <c r="F37" s="163">
        <f>+'EdeR y F de C'!I85</f>
        <v>0</v>
      </c>
      <c r="G37" s="163">
        <f>+'EdeR y F de C'!J85</f>
        <v>0</v>
      </c>
      <c r="H37" s="163">
        <f>+'EdeR y F de C'!K85</f>
        <v>0</v>
      </c>
      <c r="I37" s="163">
        <f>+'EdeR y F de C'!L85</f>
        <v>0</v>
      </c>
      <c r="J37" s="163">
        <f>+'EdeR y F de C'!M85</f>
        <v>0</v>
      </c>
      <c r="K37" s="163">
        <f>+'EdeR y F de C'!N85</f>
        <v>0</v>
      </c>
      <c r="L37" s="163">
        <f>+'EdeR y F de C'!O85</f>
        <v>0</v>
      </c>
      <c r="M37" s="163">
        <f>+'EdeR y F de C'!P85</f>
        <v>0</v>
      </c>
      <c r="N37" s="163">
        <f>+'EdeR y F de C'!Q85</f>
        <v>0</v>
      </c>
      <c r="O37" s="163">
        <f>+'EdeR y F de C'!R85</f>
        <v>0</v>
      </c>
      <c r="P37" s="163">
        <f>+'EdeR y F de C'!S85</f>
        <v>0</v>
      </c>
      <c r="Q37" s="163">
        <f>+'EdeR y F de C'!T85</f>
        <v>0</v>
      </c>
      <c r="R37" s="163">
        <f>+'EdeR y F de C'!U85</f>
        <v>0</v>
      </c>
      <c r="S37" s="163">
        <f>+'EdeR y F de C'!V85</f>
        <v>0</v>
      </c>
      <c r="T37" s="163">
        <f>+'EdeR y F de C'!W85</f>
        <v>0</v>
      </c>
      <c r="U37" s="163">
        <f>+'EdeR y F de C'!X85</f>
        <v>0</v>
      </c>
      <c r="V37" s="163">
        <f>+'EdeR y F de C'!Y85</f>
        <v>0</v>
      </c>
      <c r="W37" s="163">
        <f>+'EdeR y F de C'!Z85</f>
        <v>0</v>
      </c>
      <c r="X37" s="163">
        <f>+'EdeR y F de C'!AA85</f>
        <v>0</v>
      </c>
      <c r="Y37" s="163">
        <f>+'EdeR y F de C'!AB85</f>
        <v>0</v>
      </c>
      <c r="Z37" s="163">
        <f>+'EdeR y F de C'!AC85</f>
        <v>0</v>
      </c>
      <c r="AA37" s="163">
        <f>+'EdeR y F de C'!AD85</f>
        <v>0</v>
      </c>
    </row>
    <row r="38" spans="2:27" x14ac:dyDescent="0.25">
      <c r="B38" s="158" t="s">
        <v>176</v>
      </c>
      <c r="C38" s="162">
        <f>SUM(C21:C37)</f>
        <v>188207486</v>
      </c>
      <c r="D38" s="162">
        <f t="shared" ref="D38:K38" si="54">SUM(D21:D37)</f>
        <v>198226990</v>
      </c>
      <c r="E38" s="162">
        <f t="shared" si="54"/>
        <v>203116000</v>
      </c>
      <c r="F38" s="162">
        <f t="shared" si="54"/>
        <v>204522000</v>
      </c>
      <c r="G38" s="162">
        <f t="shared" si="54"/>
        <v>205386800</v>
      </c>
      <c r="H38" s="162">
        <f t="shared" si="54"/>
        <v>204808400</v>
      </c>
      <c r="I38" s="162">
        <f t="shared" si="54"/>
        <v>0</v>
      </c>
      <c r="J38" s="162">
        <f t="shared" si="54"/>
        <v>0</v>
      </c>
      <c r="K38" s="162">
        <f t="shared" si="54"/>
        <v>0</v>
      </c>
      <c r="L38" s="162">
        <f t="shared" ref="L38" si="55">SUM(L21:L37)</f>
        <v>0</v>
      </c>
      <c r="M38" s="162">
        <f t="shared" ref="M38" si="56">SUM(M21:M37)</f>
        <v>0</v>
      </c>
      <c r="N38" s="162">
        <f t="shared" ref="N38" si="57">SUM(N21:N37)</f>
        <v>0</v>
      </c>
      <c r="O38" s="162">
        <f t="shared" ref="O38" si="58">SUM(O21:O37)</f>
        <v>0</v>
      </c>
      <c r="P38" s="162">
        <f t="shared" ref="P38" si="59">SUM(P21:P37)</f>
        <v>0</v>
      </c>
      <c r="Q38" s="162">
        <f t="shared" ref="Q38" si="60">SUM(Q21:Q37)</f>
        <v>0</v>
      </c>
      <c r="R38" s="162">
        <f t="shared" ref="R38" si="61">SUM(R21:R37)</f>
        <v>0</v>
      </c>
      <c r="S38" s="162">
        <f t="shared" ref="S38" si="62">SUM(S21:S37)</f>
        <v>0</v>
      </c>
      <c r="T38" s="162">
        <f t="shared" ref="T38" si="63">SUM(T21:T37)</f>
        <v>0</v>
      </c>
      <c r="U38" s="162">
        <f t="shared" ref="U38" si="64">SUM(U21:U37)</f>
        <v>0</v>
      </c>
      <c r="V38" s="162">
        <f t="shared" ref="V38" si="65">SUM(V21:V37)</f>
        <v>0</v>
      </c>
      <c r="W38" s="162">
        <f t="shared" ref="W38" si="66">SUM(W21:W37)</f>
        <v>0</v>
      </c>
      <c r="X38" s="162">
        <f t="shared" ref="X38" si="67">SUM(X21:X37)</f>
        <v>0</v>
      </c>
      <c r="Y38" s="162">
        <f t="shared" ref="Y38" si="68">SUM(Y21:Y37)</f>
        <v>0</v>
      </c>
      <c r="Z38" s="162">
        <f t="shared" ref="Z38" si="69">SUM(Z21:Z37)</f>
        <v>0</v>
      </c>
      <c r="AA38" s="162">
        <f t="shared" ref="AA38" si="70">SUM(AA21:AA37)</f>
        <v>0</v>
      </c>
    </row>
    <row r="39" spans="2:27" x14ac:dyDescent="0.25">
      <c r="B39" s="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</row>
    <row r="40" spans="2:27" x14ac:dyDescent="0.25">
      <c r="B40" s="157" t="s">
        <v>177</v>
      </c>
      <c r="C40" s="162">
        <f t="shared" ref="C40:K40" si="71">C15-C38</f>
        <v>0</v>
      </c>
      <c r="D40" s="162">
        <f t="shared" si="71"/>
        <v>-198226990</v>
      </c>
      <c r="E40" s="162">
        <f t="shared" si="71"/>
        <v>-203116000</v>
      </c>
      <c r="F40" s="162">
        <f t="shared" si="71"/>
        <v>-204522000</v>
      </c>
      <c r="G40" s="162">
        <f t="shared" si="71"/>
        <v>-205386800</v>
      </c>
      <c r="H40" s="162">
        <f t="shared" si="71"/>
        <v>-204808400</v>
      </c>
      <c r="I40" s="162">
        <f t="shared" si="71"/>
        <v>0</v>
      </c>
      <c r="J40" s="162">
        <f t="shared" si="71"/>
        <v>0</v>
      </c>
      <c r="K40" s="162">
        <f t="shared" si="71"/>
        <v>0</v>
      </c>
      <c r="L40" s="162">
        <f t="shared" ref="L40:S40" si="72">L15-L38</f>
        <v>0</v>
      </c>
      <c r="M40" s="162">
        <f t="shared" si="72"/>
        <v>0</v>
      </c>
      <c r="N40" s="162">
        <f t="shared" si="72"/>
        <v>0</v>
      </c>
      <c r="O40" s="162">
        <f t="shared" si="72"/>
        <v>0</v>
      </c>
      <c r="P40" s="162">
        <f t="shared" si="72"/>
        <v>0</v>
      </c>
      <c r="Q40" s="162">
        <f t="shared" si="72"/>
        <v>0</v>
      </c>
      <c r="R40" s="162">
        <f t="shared" si="72"/>
        <v>0</v>
      </c>
      <c r="S40" s="162">
        <f t="shared" si="72"/>
        <v>0</v>
      </c>
      <c r="T40" s="162">
        <f>T15-T38</f>
        <v>0</v>
      </c>
      <c r="U40" s="162">
        <f t="shared" ref="U40:AA40" si="73">U15-U38</f>
        <v>0</v>
      </c>
      <c r="V40" s="162">
        <f t="shared" si="73"/>
        <v>0</v>
      </c>
      <c r="W40" s="162">
        <f t="shared" si="73"/>
        <v>0</v>
      </c>
      <c r="X40" s="162">
        <f t="shared" si="73"/>
        <v>0</v>
      </c>
      <c r="Y40" s="162">
        <f t="shared" si="73"/>
        <v>0</v>
      </c>
      <c r="Z40" s="162">
        <f t="shared" si="73"/>
        <v>0</v>
      </c>
      <c r="AA40" s="162">
        <f t="shared" si="73"/>
        <v>0</v>
      </c>
    </row>
    <row r="41" spans="2:27" x14ac:dyDescent="0.25">
      <c r="B41" s="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</row>
    <row r="42" spans="2:27" x14ac:dyDescent="0.25">
      <c r="B42" s="57" t="s">
        <v>178</v>
      </c>
      <c r="C42" s="164">
        <f>C40</f>
        <v>0</v>
      </c>
      <c r="D42" s="164">
        <f>C42+D40</f>
        <v>-198226990</v>
      </c>
      <c r="E42" s="164">
        <f>D42+E40</f>
        <v>-401342990</v>
      </c>
      <c r="F42" s="164">
        <f t="shared" ref="F42:J42" si="74">E42+F40</f>
        <v>-605864990</v>
      </c>
      <c r="G42" s="164">
        <f t="shared" si="74"/>
        <v>-811251790</v>
      </c>
      <c r="H42" s="164">
        <f t="shared" si="74"/>
        <v>-1016060190</v>
      </c>
      <c r="I42" s="164">
        <f t="shared" si="74"/>
        <v>-1016060190</v>
      </c>
      <c r="J42" s="164">
        <f t="shared" si="74"/>
        <v>-1016060190</v>
      </c>
      <c r="K42" s="164">
        <f>J42+K40</f>
        <v>-1016060190</v>
      </c>
      <c r="L42" s="164">
        <f t="shared" ref="L42:S42" si="75">K42+L40</f>
        <v>-1016060190</v>
      </c>
      <c r="M42" s="164">
        <f t="shared" si="75"/>
        <v>-1016060190</v>
      </c>
      <c r="N42" s="164">
        <f t="shared" si="75"/>
        <v>-1016060190</v>
      </c>
      <c r="O42" s="164">
        <f t="shared" si="75"/>
        <v>-1016060190</v>
      </c>
      <c r="P42" s="164">
        <f t="shared" si="75"/>
        <v>-1016060190</v>
      </c>
      <c r="Q42" s="164">
        <f t="shared" si="75"/>
        <v>-1016060190</v>
      </c>
      <c r="R42" s="164">
        <f t="shared" si="75"/>
        <v>-1016060190</v>
      </c>
      <c r="S42" s="164">
        <f t="shared" si="75"/>
        <v>-1016060190</v>
      </c>
      <c r="T42" s="164">
        <f>S42+T40</f>
        <v>-1016060190</v>
      </c>
      <c r="U42" s="164">
        <f t="shared" ref="U42:AA42" si="76">T42+U40</f>
        <v>-1016060190</v>
      </c>
      <c r="V42" s="164">
        <f t="shared" si="76"/>
        <v>-1016060190</v>
      </c>
      <c r="W42" s="164">
        <f t="shared" si="76"/>
        <v>-1016060190</v>
      </c>
      <c r="X42" s="164">
        <f t="shared" si="76"/>
        <v>-1016060190</v>
      </c>
      <c r="Y42" s="164">
        <f t="shared" si="76"/>
        <v>-1016060190</v>
      </c>
      <c r="Z42" s="164">
        <f t="shared" si="76"/>
        <v>-1016060190</v>
      </c>
      <c r="AA42" s="164">
        <f t="shared" si="76"/>
        <v>-1016060190</v>
      </c>
    </row>
  </sheetData>
  <hyperlinks>
    <hyperlink ref="B2" location="Menu!A1" display="MENU" xr:uid="{0E3216B4-A370-49A2-BC2F-620A42B8EE78}"/>
    <hyperlink ref="D2" location="'Flujo de Efectivo'!B3" display="PESOS" xr:uid="{001E83A9-081F-4F17-90DF-2122548204D9}"/>
  </hyperlink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1:AD181"/>
  <sheetViews>
    <sheetView view="pageBreakPreview" zoomScale="60" zoomScaleNormal="85" workbookViewId="0">
      <pane xSplit="3" ySplit="5" topLeftCell="D6" activePane="bottomRight" state="frozen"/>
      <selection activeCell="E17" sqref="E17"/>
      <selection pane="topRight" activeCell="E17" sqref="E17"/>
      <selection pane="bottomLeft" activeCell="E17" sqref="E17"/>
      <selection pane="bottomRight" activeCell="G87" sqref="G87"/>
    </sheetView>
  </sheetViews>
  <sheetFormatPr baseColWidth="10" defaultRowHeight="15" x14ac:dyDescent="0.25"/>
  <cols>
    <col min="1" max="1" width="9.28515625" bestFit="1" customWidth="1"/>
    <col min="2" max="2" width="11.85546875" bestFit="1" customWidth="1"/>
    <col min="3" max="3" width="40.140625" bestFit="1" customWidth="1"/>
    <col min="4" max="4" width="18.7109375" customWidth="1"/>
    <col min="5" max="5" width="28.42578125" customWidth="1"/>
    <col min="6" max="6" width="26.85546875" customWidth="1"/>
    <col min="7" max="11" width="25" customWidth="1"/>
    <col min="12" max="15" width="20.7109375" hidden="1" customWidth="1"/>
    <col min="16" max="16" width="20.42578125" hidden="1" customWidth="1"/>
    <col min="17" max="17" width="27.42578125" hidden="1" customWidth="1"/>
    <col min="18" max="18" width="20.42578125" hidden="1" customWidth="1"/>
    <col min="19" max="19" width="19.85546875" hidden="1" customWidth="1"/>
    <col min="20" max="20" width="20.140625" hidden="1" customWidth="1"/>
    <col min="21" max="21" width="19.85546875" hidden="1" customWidth="1"/>
    <col min="22" max="22" width="20.42578125" hidden="1" customWidth="1"/>
    <col min="23" max="24" width="20.140625" hidden="1" customWidth="1"/>
    <col min="25" max="25" width="19.85546875" hidden="1" customWidth="1"/>
    <col min="26" max="26" width="20.140625" hidden="1" customWidth="1"/>
    <col min="27" max="27" width="20.42578125" hidden="1" customWidth="1"/>
    <col min="28" max="28" width="20.140625" hidden="1" customWidth="1"/>
    <col min="29" max="29" width="20.42578125" hidden="1" customWidth="1"/>
    <col min="30" max="30" width="20.140625" hidden="1" customWidth="1"/>
  </cols>
  <sheetData>
    <row r="1" spans="1:30" ht="18" x14ac:dyDescent="0.25">
      <c r="A1" s="148" t="s">
        <v>145</v>
      </c>
      <c r="B1" s="151" t="s">
        <v>153</v>
      </c>
      <c r="C1" s="291" t="s">
        <v>149</v>
      </c>
      <c r="D1" s="476" t="str" cm="1">
        <f t="array" ref="D1">+_xlfn.SWITCH(C2,401,"Flujo de caja",402,"Cuota Uniforme")</f>
        <v>Flujo de caja</v>
      </c>
    </row>
    <row r="2" spans="1:30" ht="26.25" x14ac:dyDescent="0.4">
      <c r="C2" s="149">
        <v>401</v>
      </c>
      <c r="D2" s="150" t="str">
        <f>IF(C2=401,'Ppto Financiación'!$B$2,IF($C$2=402,'Ppto Financiación'!$B$3,IF($C$2=403,'Ppto Financiación'!$B$4,IF($C$2=404,'Ppto Financiación'!$B$5,IF($C$2=405,'Ppto Financiación'!$B$6,IF($C$2=406,'Ppto Financiación'!$B$7,IF($C$2=407,'Ppto Financiación'!$B$8,IF($C$2=408,'Ppto Financiación'!$B$9,IF($C$2=409,'Ppto Financiación'!$B$10,IF($C$2=410,'Ppto Financiación'!C95,IF($C$2=411,'Ppto Financiación'!C106,0)))))))))))</f>
        <v>Flujo de caja del proyecto</v>
      </c>
      <c r="E2" s="69"/>
      <c r="F2" s="69"/>
      <c r="G2" s="132"/>
    </row>
    <row r="3" spans="1:30" ht="26.25" x14ac:dyDescent="0.4">
      <c r="C3" s="152">
        <v>301</v>
      </c>
      <c r="D3" s="153" t="str">
        <f>IF(C3=301,"Linea recta",IF(C3=302,"Sistema de Digitos Acumulado",IF(C3=303,"Reducción de Saldos",IF(C3=304,"UnidadesProducidas",0))))</f>
        <v>Linea recta</v>
      </c>
      <c r="E3" s="154"/>
      <c r="G3" s="132"/>
    </row>
    <row r="4" spans="1:30" x14ac:dyDescent="0.25">
      <c r="C4" s="14" t="s">
        <v>36</v>
      </c>
      <c r="D4" s="14"/>
      <c r="E4" s="14" t="s">
        <v>37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21" x14ac:dyDescent="0.35">
      <c r="C5" s="14">
        <v>1</v>
      </c>
      <c r="D5" s="14"/>
      <c r="E5" s="14"/>
      <c r="F5" s="469">
        <v>0</v>
      </c>
      <c r="G5" s="469">
        <v>1</v>
      </c>
      <c r="H5" s="469">
        <v>2</v>
      </c>
      <c r="I5" s="469">
        <v>3</v>
      </c>
      <c r="J5" s="469">
        <v>4</v>
      </c>
      <c r="K5" s="469">
        <v>5</v>
      </c>
      <c r="L5" s="469">
        <v>6</v>
      </c>
      <c r="M5" s="469">
        <v>7</v>
      </c>
      <c r="N5" s="469">
        <v>8</v>
      </c>
      <c r="O5" s="469">
        <v>9</v>
      </c>
      <c r="P5" s="469">
        <v>10</v>
      </c>
      <c r="Q5" s="469">
        <v>11</v>
      </c>
      <c r="R5" s="469">
        <v>12</v>
      </c>
      <c r="S5" s="469">
        <v>13</v>
      </c>
      <c r="T5" s="469">
        <v>14</v>
      </c>
      <c r="U5" s="469">
        <v>15</v>
      </c>
      <c r="V5" s="469">
        <v>16</v>
      </c>
      <c r="W5" s="469">
        <v>17</v>
      </c>
      <c r="X5" s="469">
        <v>18</v>
      </c>
      <c r="Y5" s="469">
        <v>19</v>
      </c>
      <c r="Z5" s="469">
        <v>20</v>
      </c>
      <c r="AA5" s="469">
        <v>21</v>
      </c>
      <c r="AB5" s="469">
        <v>22</v>
      </c>
      <c r="AC5" s="469">
        <v>23</v>
      </c>
      <c r="AD5" s="469">
        <v>24</v>
      </c>
    </row>
    <row r="6" spans="1:30" hidden="1" x14ac:dyDescent="0.25">
      <c r="C6" s="50" t="s">
        <v>39</v>
      </c>
      <c r="D6" s="50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idden="1" x14ac:dyDescent="0.25">
      <c r="C7" s="50" t="s">
        <v>43</v>
      </c>
      <c r="D7" s="50"/>
      <c r="E7" s="3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</row>
    <row r="8" spans="1:30" ht="18" hidden="1" customHeight="1" x14ac:dyDescent="0.35">
      <c r="B8" s="474"/>
      <c r="C8" s="3" t="s">
        <v>364</v>
      </c>
      <c r="D8" s="3"/>
      <c r="E8" s="3"/>
      <c r="F8" s="138"/>
      <c r="G8" s="138">
        <f>+'Ppto Ing'!E8</f>
        <v>1</v>
      </c>
      <c r="H8" s="138">
        <f>+'Ppto Ing'!F8</f>
        <v>1</v>
      </c>
      <c r="I8" s="138">
        <f>+'Ppto Ing'!G8</f>
        <v>1</v>
      </c>
      <c r="J8" s="138">
        <f>+'Ppto Ing'!H8</f>
        <v>1</v>
      </c>
      <c r="K8" s="138">
        <f>+'Ppto Ing'!I8</f>
        <v>1</v>
      </c>
      <c r="L8" s="138">
        <f>+'Ppto Ing'!J8</f>
        <v>0</v>
      </c>
      <c r="M8" s="138">
        <f>+'Ppto Ing'!K8</f>
        <v>0</v>
      </c>
      <c r="N8" s="138">
        <f>+'Ppto Ing'!L8</f>
        <v>0</v>
      </c>
      <c r="O8" s="138">
        <f>+'Ppto Ing'!M8</f>
        <v>0</v>
      </c>
      <c r="P8" s="138">
        <f>+'Ppto Ing'!N8</f>
        <v>0</v>
      </c>
      <c r="Q8" s="138">
        <f>+'Ppto Ing'!O8</f>
        <v>0</v>
      </c>
      <c r="R8" s="138">
        <f>+'Ppto Ing'!P8</f>
        <v>0</v>
      </c>
      <c r="S8" s="138">
        <f>+'Ppto Ing'!Q8</f>
        <v>0</v>
      </c>
      <c r="T8" s="138">
        <f>+'Ppto Ing'!R8</f>
        <v>0</v>
      </c>
      <c r="U8" s="138">
        <f>+'Ppto Ing'!S8</f>
        <v>0</v>
      </c>
      <c r="V8" s="138">
        <f>+'Ppto Ing'!T8</f>
        <v>0</v>
      </c>
      <c r="W8" s="138">
        <f>+'Ppto Ing'!U8</f>
        <v>0</v>
      </c>
      <c r="X8" s="138">
        <f>+'Ppto Ing'!V8</f>
        <v>0</v>
      </c>
      <c r="Y8" s="138">
        <f>+'Ppto Ing'!W8</f>
        <v>0</v>
      </c>
      <c r="Z8" s="138">
        <f>+'Ppto Ing'!X8</f>
        <v>0</v>
      </c>
      <c r="AA8" s="138">
        <f>+'Ppto Ing'!Y8</f>
        <v>0</v>
      </c>
      <c r="AB8" s="138">
        <f>+'Ppto Ing'!Z8</f>
        <v>0</v>
      </c>
      <c r="AC8" s="138">
        <f>+'Ppto Ing'!AA8</f>
        <v>0</v>
      </c>
      <c r="AD8" s="138">
        <f>+'Ppto Ing'!AB8</f>
        <v>0</v>
      </c>
    </row>
    <row r="9" spans="1:30" ht="21" hidden="1" x14ac:dyDescent="0.35">
      <c r="B9" s="132"/>
      <c r="C9" s="3" t="s">
        <v>308</v>
      </c>
      <c r="D9" s="3"/>
      <c r="E9" s="3"/>
      <c r="F9" s="138"/>
      <c r="G9" s="138">
        <f>'Ppto Ing'!E19</f>
        <v>0</v>
      </c>
      <c r="H9" s="138">
        <f>'Ppto Ing'!F19</f>
        <v>0</v>
      </c>
      <c r="I9" s="138">
        <f>'Ppto Ing'!G19</f>
        <v>0</v>
      </c>
      <c r="J9" s="138">
        <f>'Ppto Ing'!H19</f>
        <v>0</v>
      </c>
      <c r="K9" s="138">
        <f>'Ppto Ing'!I19</f>
        <v>0</v>
      </c>
      <c r="L9" s="138">
        <f>'Ppto Ing'!J19</f>
        <v>0</v>
      </c>
      <c r="M9" s="138">
        <f>'Ppto Ing'!K19</f>
        <v>0</v>
      </c>
      <c r="N9" s="138">
        <f>'Ppto Ing'!L19</f>
        <v>0</v>
      </c>
      <c r="O9" s="138">
        <f>'Ppto Ing'!M19</f>
        <v>0</v>
      </c>
      <c r="P9" s="138">
        <f>'Ppto Ing'!N19</f>
        <v>0</v>
      </c>
      <c r="Q9" s="138">
        <f>'Ppto Ing'!O19</f>
        <v>0</v>
      </c>
      <c r="R9" s="138">
        <f>'Ppto Ing'!P19</f>
        <v>0</v>
      </c>
      <c r="S9" s="138">
        <f>'Ppto Ing'!Q19</f>
        <v>0</v>
      </c>
      <c r="T9" s="138">
        <f>'Ppto Ing'!R19</f>
        <v>0</v>
      </c>
      <c r="U9" s="138">
        <f>'Ppto Ing'!S19</f>
        <v>0</v>
      </c>
      <c r="V9" s="138">
        <f>'Ppto Ing'!T19</f>
        <v>0</v>
      </c>
      <c r="W9" s="138">
        <f>'Ppto Ing'!U19</f>
        <v>0</v>
      </c>
      <c r="X9" s="138">
        <f>'Ppto Ing'!V19</f>
        <v>0</v>
      </c>
      <c r="Y9" s="138">
        <f>'Ppto Ing'!W19</f>
        <v>0</v>
      </c>
      <c r="Z9" s="138">
        <f>'Ppto Ing'!X19</f>
        <v>0</v>
      </c>
      <c r="AA9" s="138">
        <f>'Ppto Ing'!Y19</f>
        <v>0</v>
      </c>
      <c r="AB9" s="138">
        <f>'Ppto Ing'!Z19</f>
        <v>0</v>
      </c>
      <c r="AC9" s="138">
        <f>'Ppto Ing'!AA19</f>
        <v>0</v>
      </c>
      <c r="AD9" s="138">
        <f>'Ppto Ing'!AB19</f>
        <v>0</v>
      </c>
    </row>
    <row r="10" spans="1:30" hidden="1" x14ac:dyDescent="0.25">
      <c r="C10" s="3" t="s">
        <v>309</v>
      </c>
      <c r="D10" s="3"/>
      <c r="E10" s="3"/>
      <c r="F10" s="138"/>
      <c r="G10" s="138">
        <f>'Ppto Ing'!E30</f>
        <v>0</v>
      </c>
      <c r="H10" s="138">
        <f>'Ppto Ing'!F30</f>
        <v>0</v>
      </c>
      <c r="I10" s="138">
        <f>'Ppto Ing'!G30</f>
        <v>0</v>
      </c>
      <c r="J10" s="138">
        <f>'Ppto Ing'!H30</f>
        <v>0</v>
      </c>
      <c r="K10" s="138">
        <f>'Ppto Ing'!I30</f>
        <v>0</v>
      </c>
      <c r="L10" s="138">
        <f>'Ppto Ing'!J30</f>
        <v>0</v>
      </c>
      <c r="M10" s="138">
        <f>'Ppto Ing'!K30</f>
        <v>0</v>
      </c>
      <c r="N10" s="138">
        <f>'Ppto Ing'!L30</f>
        <v>0</v>
      </c>
      <c r="O10" s="138">
        <f>'Ppto Ing'!M30</f>
        <v>0</v>
      </c>
      <c r="P10" s="138">
        <f>'Ppto Ing'!N30</f>
        <v>0</v>
      </c>
      <c r="Q10" s="138">
        <f>'Ppto Ing'!O30</f>
        <v>0</v>
      </c>
      <c r="R10" s="138">
        <f>'Ppto Ing'!P30</f>
        <v>0</v>
      </c>
      <c r="S10" s="138">
        <f>'Ppto Ing'!Q30</f>
        <v>0</v>
      </c>
      <c r="T10" s="138">
        <f>'Ppto Ing'!R30</f>
        <v>0</v>
      </c>
      <c r="U10" s="138">
        <f>'Ppto Ing'!S30</f>
        <v>0</v>
      </c>
      <c r="V10" s="138">
        <f>'Ppto Ing'!T30</f>
        <v>0</v>
      </c>
      <c r="W10" s="138">
        <f>'Ppto Ing'!U30</f>
        <v>0</v>
      </c>
      <c r="X10" s="138">
        <f>'Ppto Ing'!V30</f>
        <v>0</v>
      </c>
      <c r="Y10" s="138">
        <f>'Ppto Ing'!W30</f>
        <v>0</v>
      </c>
      <c r="Z10" s="138">
        <f>'Ppto Ing'!X30</f>
        <v>0</v>
      </c>
      <c r="AA10" s="138">
        <f>'Ppto Ing'!Y30</f>
        <v>0</v>
      </c>
      <c r="AB10" s="138">
        <f>'Ppto Ing'!Z30</f>
        <v>0</v>
      </c>
      <c r="AC10" s="138">
        <f>'Ppto Ing'!AA30</f>
        <v>0</v>
      </c>
      <c r="AD10" s="138">
        <f>'Ppto Ing'!AB30</f>
        <v>0</v>
      </c>
    </row>
    <row r="11" spans="1:30" hidden="1" x14ac:dyDescent="0.25">
      <c r="C11" s="3" t="s">
        <v>310</v>
      </c>
      <c r="D11" s="3"/>
      <c r="E11" s="3"/>
      <c r="F11" s="138"/>
      <c r="G11" s="138">
        <f>'Ppto Ing'!E41</f>
        <v>0</v>
      </c>
      <c r="H11" s="138">
        <f>'Ppto Ing'!F41</f>
        <v>0</v>
      </c>
      <c r="I11" s="138">
        <f>'Ppto Ing'!G41</f>
        <v>0</v>
      </c>
      <c r="J11" s="138">
        <f>'Ppto Ing'!H41</f>
        <v>0</v>
      </c>
      <c r="K11" s="138">
        <f>'Ppto Ing'!I41</f>
        <v>0</v>
      </c>
      <c r="L11" s="138">
        <f>'Ppto Ing'!J41</f>
        <v>0</v>
      </c>
      <c r="M11" s="138">
        <f>'Ppto Ing'!K41</f>
        <v>0</v>
      </c>
      <c r="N11" s="138">
        <f>'Ppto Ing'!L41</f>
        <v>0</v>
      </c>
      <c r="O11" s="138">
        <f>'Ppto Ing'!M41</f>
        <v>0</v>
      </c>
      <c r="P11" s="138">
        <f>'Ppto Ing'!N41</f>
        <v>0</v>
      </c>
      <c r="Q11" s="138">
        <f>'Ppto Ing'!O41</f>
        <v>0</v>
      </c>
      <c r="R11" s="138">
        <f>'Ppto Ing'!P41</f>
        <v>0</v>
      </c>
      <c r="S11" s="138">
        <f>'Ppto Ing'!Q41</f>
        <v>0</v>
      </c>
      <c r="T11" s="138">
        <f>'Ppto Ing'!R41</f>
        <v>0</v>
      </c>
      <c r="U11" s="138">
        <f>'Ppto Ing'!S41</f>
        <v>0</v>
      </c>
      <c r="V11" s="138">
        <f>'Ppto Ing'!T41</f>
        <v>0</v>
      </c>
      <c r="W11" s="138">
        <f>'Ppto Ing'!U41</f>
        <v>0</v>
      </c>
      <c r="X11" s="138">
        <f>'Ppto Ing'!V41</f>
        <v>0</v>
      </c>
      <c r="Y11" s="138">
        <f>'Ppto Ing'!W41</f>
        <v>0</v>
      </c>
      <c r="Z11" s="138">
        <f>'Ppto Ing'!X41</f>
        <v>0</v>
      </c>
      <c r="AA11" s="138">
        <f>'Ppto Ing'!Y41</f>
        <v>0</v>
      </c>
      <c r="AB11" s="138">
        <f>'Ppto Ing'!Z41</f>
        <v>0</v>
      </c>
      <c r="AC11" s="138">
        <f>'Ppto Ing'!AA41</f>
        <v>0</v>
      </c>
      <c r="AD11" s="138">
        <f>'Ppto Ing'!AB41</f>
        <v>0</v>
      </c>
    </row>
    <row r="12" spans="1:30" hidden="1" x14ac:dyDescent="0.25">
      <c r="C12" s="3" t="s">
        <v>311</v>
      </c>
      <c r="D12" s="3"/>
      <c r="E12" s="3"/>
      <c r="F12" s="138"/>
      <c r="G12" s="138">
        <f>'Ppto Ing'!E52</f>
        <v>0</v>
      </c>
      <c r="H12" s="138">
        <f>'Ppto Ing'!F52</f>
        <v>0</v>
      </c>
      <c r="I12" s="138">
        <f>'Ppto Ing'!G52</f>
        <v>0</v>
      </c>
      <c r="J12" s="138">
        <f>'Ppto Ing'!H52</f>
        <v>0</v>
      </c>
      <c r="K12" s="138">
        <f>'Ppto Ing'!I52</f>
        <v>0</v>
      </c>
      <c r="L12" s="138">
        <f>'Ppto Ing'!J52</f>
        <v>0</v>
      </c>
      <c r="M12" s="138">
        <f>'Ppto Ing'!K52</f>
        <v>0</v>
      </c>
      <c r="N12" s="138">
        <f>'Ppto Ing'!L52</f>
        <v>0</v>
      </c>
      <c r="O12" s="138">
        <f>'Ppto Ing'!M52</f>
        <v>0</v>
      </c>
      <c r="P12" s="138">
        <f>'Ppto Ing'!N52</f>
        <v>0</v>
      </c>
      <c r="Q12" s="138">
        <f>'Ppto Ing'!O52</f>
        <v>0</v>
      </c>
      <c r="R12" s="138">
        <f>'Ppto Ing'!P52</f>
        <v>0</v>
      </c>
      <c r="S12" s="138">
        <f>'Ppto Ing'!Q52</f>
        <v>0</v>
      </c>
      <c r="T12" s="138">
        <f>'Ppto Ing'!R52</f>
        <v>0</v>
      </c>
      <c r="U12" s="138">
        <f>'Ppto Ing'!S52</f>
        <v>0</v>
      </c>
      <c r="V12" s="138">
        <f>'Ppto Ing'!T52</f>
        <v>0</v>
      </c>
      <c r="W12" s="138">
        <f>'Ppto Ing'!U52</f>
        <v>0</v>
      </c>
      <c r="X12" s="138">
        <f>'Ppto Ing'!V52</f>
        <v>0</v>
      </c>
      <c r="Y12" s="138">
        <f>'Ppto Ing'!W52</f>
        <v>0</v>
      </c>
      <c r="Z12" s="138">
        <f>'Ppto Ing'!X52</f>
        <v>0</v>
      </c>
      <c r="AA12" s="138">
        <f>'Ppto Ing'!Y52</f>
        <v>0</v>
      </c>
      <c r="AB12" s="138">
        <f>'Ppto Ing'!Z52</f>
        <v>0</v>
      </c>
      <c r="AC12" s="138">
        <f>'Ppto Ing'!AA52</f>
        <v>0</v>
      </c>
      <c r="AD12" s="138">
        <f>'Ppto Ing'!AB52</f>
        <v>0</v>
      </c>
    </row>
    <row r="13" spans="1:30" hidden="1" x14ac:dyDescent="0.25">
      <c r="C13" s="473" t="s">
        <v>362</v>
      </c>
      <c r="D13" s="3"/>
      <c r="E13" s="3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</row>
    <row r="14" spans="1:30" ht="21" hidden="1" x14ac:dyDescent="0.35">
      <c r="A14" s="132"/>
      <c r="B14" s="132"/>
      <c r="C14" s="3" t="s">
        <v>365</v>
      </c>
      <c r="D14" s="3"/>
      <c r="E14" s="3"/>
      <c r="F14" s="51"/>
      <c r="G14" s="51">
        <f>'Ppto Ing'!E12</f>
        <v>0</v>
      </c>
      <c r="H14" s="51">
        <f>'Ppto Ing'!F12</f>
        <v>0</v>
      </c>
      <c r="I14" s="51">
        <f>'Ppto Ing'!G12</f>
        <v>0</v>
      </c>
      <c r="J14" s="51">
        <f>'Ppto Ing'!H12</f>
        <v>0</v>
      </c>
      <c r="K14" s="51">
        <f>'Ppto Ing'!I12</f>
        <v>0</v>
      </c>
      <c r="L14" s="51">
        <f>'Ppto Ing'!J12</f>
        <v>0</v>
      </c>
      <c r="M14" s="51">
        <f>'Ppto Ing'!K12</f>
        <v>0</v>
      </c>
      <c r="N14" s="51">
        <f>'Ppto Ing'!L12</f>
        <v>0</v>
      </c>
      <c r="O14" s="51">
        <f>'Ppto Ing'!M12</f>
        <v>0</v>
      </c>
      <c r="P14" s="51">
        <f>'Ppto Ing'!N12</f>
        <v>0</v>
      </c>
      <c r="Q14" s="51">
        <f>'Ppto Ing'!O12</f>
        <v>0</v>
      </c>
      <c r="R14" s="51">
        <f>'Ppto Ing'!P12</f>
        <v>0</v>
      </c>
      <c r="S14" s="51">
        <f>'Ppto Ing'!Q12</f>
        <v>0</v>
      </c>
      <c r="T14" s="51">
        <f>'Ppto Ing'!R12</f>
        <v>0</v>
      </c>
      <c r="U14" s="51">
        <f>'Ppto Ing'!S12</f>
        <v>0</v>
      </c>
      <c r="V14" s="51">
        <f>'Ppto Ing'!T12</f>
        <v>0</v>
      </c>
      <c r="W14" s="51">
        <f>'Ppto Ing'!U12</f>
        <v>0</v>
      </c>
      <c r="X14" s="51">
        <f>'Ppto Ing'!V12</f>
        <v>0</v>
      </c>
      <c r="Y14" s="51">
        <f>'Ppto Ing'!W12</f>
        <v>0</v>
      </c>
      <c r="Z14" s="51">
        <f>'Ppto Ing'!X12</f>
        <v>0</v>
      </c>
      <c r="AA14" s="51">
        <f>'Ppto Ing'!Y12</f>
        <v>0</v>
      </c>
      <c r="AB14" s="51">
        <f>'Ppto Ing'!Z12</f>
        <v>0</v>
      </c>
      <c r="AC14" s="51">
        <f>'Ppto Ing'!AA12</f>
        <v>0</v>
      </c>
      <c r="AD14" s="51">
        <f>'Ppto Ing'!AB12</f>
        <v>0</v>
      </c>
    </row>
    <row r="15" spans="1:30" ht="21" hidden="1" x14ac:dyDescent="0.35">
      <c r="A15" s="132"/>
      <c r="B15" s="132"/>
      <c r="C15" s="3" t="s">
        <v>312</v>
      </c>
      <c r="D15" s="3"/>
      <c r="E15" s="3"/>
      <c r="F15" s="51"/>
      <c r="G15" s="51">
        <f>'Ppto Ing'!E23</f>
        <v>0</v>
      </c>
      <c r="H15" s="51">
        <f>'Ppto Ing'!F23</f>
        <v>0</v>
      </c>
      <c r="I15" s="51">
        <f>'Ppto Ing'!G23</f>
        <v>0</v>
      </c>
      <c r="J15" s="51">
        <f>'Ppto Ing'!H23</f>
        <v>0</v>
      </c>
      <c r="K15" s="51">
        <f>'Ppto Ing'!I23</f>
        <v>0</v>
      </c>
      <c r="L15" s="51">
        <f>'Ppto Ing'!J23</f>
        <v>0</v>
      </c>
      <c r="M15" s="51">
        <f>'Ppto Ing'!K23</f>
        <v>0</v>
      </c>
      <c r="N15" s="51">
        <f>'Ppto Ing'!L23</f>
        <v>0</v>
      </c>
      <c r="O15" s="51">
        <f>'Ppto Ing'!M23</f>
        <v>0</v>
      </c>
      <c r="P15" s="51">
        <f>'Ppto Ing'!N23</f>
        <v>0</v>
      </c>
      <c r="Q15" s="51">
        <f>'Ppto Ing'!O23</f>
        <v>0</v>
      </c>
      <c r="R15" s="51">
        <f>'Ppto Ing'!P23</f>
        <v>0</v>
      </c>
      <c r="S15" s="51">
        <f>'Ppto Ing'!Q23</f>
        <v>0</v>
      </c>
      <c r="T15" s="51">
        <f>'Ppto Ing'!R23</f>
        <v>0</v>
      </c>
      <c r="U15" s="51">
        <f>'Ppto Ing'!S23</f>
        <v>0</v>
      </c>
      <c r="V15" s="51">
        <f>'Ppto Ing'!T23</f>
        <v>0</v>
      </c>
      <c r="W15" s="51">
        <f>'Ppto Ing'!U23</f>
        <v>0</v>
      </c>
      <c r="X15" s="51">
        <f>'Ppto Ing'!V23</f>
        <v>0</v>
      </c>
      <c r="Y15" s="51">
        <f>'Ppto Ing'!W23</f>
        <v>0</v>
      </c>
      <c r="Z15" s="51">
        <f>'Ppto Ing'!X23</f>
        <v>0</v>
      </c>
      <c r="AA15" s="51">
        <f>'Ppto Ing'!Y23</f>
        <v>0</v>
      </c>
      <c r="AB15" s="51">
        <f>'Ppto Ing'!Z23</f>
        <v>0</v>
      </c>
      <c r="AC15" s="51">
        <f>'Ppto Ing'!AA23</f>
        <v>0</v>
      </c>
      <c r="AD15" s="51">
        <f>'Ppto Ing'!AB23</f>
        <v>0</v>
      </c>
    </row>
    <row r="16" spans="1:30" ht="21" hidden="1" x14ac:dyDescent="0.35">
      <c r="A16" s="132"/>
      <c r="B16" s="132"/>
      <c r="C16" s="3" t="s">
        <v>313</v>
      </c>
      <c r="D16" s="3"/>
      <c r="E16" s="3"/>
      <c r="F16" s="51"/>
      <c r="G16" s="51">
        <f>'Ppto Ing'!E34</f>
        <v>0</v>
      </c>
      <c r="H16" s="51">
        <f>'Ppto Ing'!F34</f>
        <v>0</v>
      </c>
      <c r="I16" s="51">
        <f>'Ppto Ing'!G34</f>
        <v>0</v>
      </c>
      <c r="J16" s="51">
        <f>'Ppto Ing'!H34</f>
        <v>0</v>
      </c>
      <c r="K16" s="51">
        <f>'Ppto Ing'!I34</f>
        <v>0</v>
      </c>
      <c r="L16" s="51">
        <f>'Ppto Ing'!J34</f>
        <v>0</v>
      </c>
      <c r="M16" s="51">
        <f>'Ppto Ing'!K34</f>
        <v>0</v>
      </c>
      <c r="N16" s="51">
        <f>'Ppto Ing'!L34</f>
        <v>0</v>
      </c>
      <c r="O16" s="51">
        <f>'Ppto Ing'!M34</f>
        <v>0</v>
      </c>
      <c r="P16" s="51">
        <f>'Ppto Ing'!N34</f>
        <v>0</v>
      </c>
      <c r="Q16" s="51">
        <f>'Ppto Ing'!O34</f>
        <v>0</v>
      </c>
      <c r="R16" s="51">
        <f>'Ppto Ing'!P34</f>
        <v>0</v>
      </c>
      <c r="S16" s="51">
        <f>'Ppto Ing'!Q34</f>
        <v>0</v>
      </c>
      <c r="T16" s="51">
        <f>'Ppto Ing'!R34</f>
        <v>0</v>
      </c>
      <c r="U16" s="51">
        <f>'Ppto Ing'!S34</f>
        <v>0</v>
      </c>
      <c r="V16" s="51">
        <f>'Ppto Ing'!T34</f>
        <v>0</v>
      </c>
      <c r="W16" s="51">
        <f>'Ppto Ing'!U34</f>
        <v>0</v>
      </c>
      <c r="X16" s="51">
        <f>'Ppto Ing'!V34</f>
        <v>0</v>
      </c>
      <c r="Y16" s="51">
        <f>'Ppto Ing'!W34</f>
        <v>0</v>
      </c>
      <c r="Z16" s="51">
        <f>'Ppto Ing'!X34</f>
        <v>0</v>
      </c>
      <c r="AA16" s="51">
        <f>'Ppto Ing'!Y34</f>
        <v>0</v>
      </c>
      <c r="AB16" s="51">
        <f>'Ppto Ing'!Z34</f>
        <v>0</v>
      </c>
      <c r="AC16" s="51">
        <f>'Ppto Ing'!AA34</f>
        <v>0</v>
      </c>
      <c r="AD16" s="51">
        <f>'Ppto Ing'!AB34</f>
        <v>0</v>
      </c>
    </row>
    <row r="17" spans="1:30" ht="21" hidden="1" x14ac:dyDescent="0.35">
      <c r="A17" s="132"/>
      <c r="B17" s="132"/>
      <c r="C17" s="3" t="s">
        <v>314</v>
      </c>
      <c r="D17" s="3"/>
      <c r="E17" s="3"/>
      <c r="F17" s="51"/>
      <c r="G17" s="51">
        <f>'Ppto Ing'!E45</f>
        <v>0</v>
      </c>
      <c r="H17" s="51">
        <f>'Ppto Ing'!F45</f>
        <v>0</v>
      </c>
      <c r="I17" s="51">
        <f>'Ppto Ing'!G45</f>
        <v>0</v>
      </c>
      <c r="J17" s="51">
        <f>'Ppto Ing'!H45</f>
        <v>0</v>
      </c>
      <c r="K17" s="51">
        <f>'Ppto Ing'!I45</f>
        <v>0</v>
      </c>
      <c r="L17" s="51">
        <f>'Ppto Ing'!J45</f>
        <v>0</v>
      </c>
      <c r="M17" s="51">
        <f>'Ppto Ing'!K45</f>
        <v>0</v>
      </c>
      <c r="N17" s="51">
        <f>'Ppto Ing'!L45</f>
        <v>0</v>
      </c>
      <c r="O17" s="51">
        <f>'Ppto Ing'!M45</f>
        <v>0</v>
      </c>
      <c r="P17" s="51">
        <f>'Ppto Ing'!N45</f>
        <v>0</v>
      </c>
      <c r="Q17" s="51">
        <f>'Ppto Ing'!O45</f>
        <v>0</v>
      </c>
      <c r="R17" s="51">
        <f>'Ppto Ing'!P45</f>
        <v>0</v>
      </c>
      <c r="S17" s="51">
        <f>'Ppto Ing'!Q45</f>
        <v>0</v>
      </c>
      <c r="T17" s="51">
        <f>'Ppto Ing'!R45</f>
        <v>0</v>
      </c>
      <c r="U17" s="51">
        <f>'Ppto Ing'!S45</f>
        <v>0</v>
      </c>
      <c r="V17" s="51">
        <f>'Ppto Ing'!T45</f>
        <v>0</v>
      </c>
      <c r="W17" s="51">
        <f>'Ppto Ing'!U45</f>
        <v>0</v>
      </c>
      <c r="X17" s="51">
        <f>'Ppto Ing'!V45</f>
        <v>0</v>
      </c>
      <c r="Y17" s="51">
        <f>'Ppto Ing'!W45</f>
        <v>0</v>
      </c>
      <c r="Z17" s="51">
        <f>'Ppto Ing'!X45</f>
        <v>0</v>
      </c>
      <c r="AA17" s="51">
        <f>'Ppto Ing'!Y45</f>
        <v>0</v>
      </c>
      <c r="AB17" s="51">
        <f>'Ppto Ing'!Z45</f>
        <v>0</v>
      </c>
      <c r="AC17" s="51">
        <f>'Ppto Ing'!AA45</f>
        <v>0</v>
      </c>
      <c r="AD17" s="51">
        <f>'Ppto Ing'!AB45</f>
        <v>0</v>
      </c>
    </row>
    <row r="18" spans="1:30" ht="21" hidden="1" x14ac:dyDescent="0.35">
      <c r="A18" s="132"/>
      <c r="B18" s="132"/>
      <c r="C18" s="3" t="s">
        <v>315</v>
      </c>
      <c r="D18" s="3"/>
      <c r="E18" s="3"/>
      <c r="F18" s="51"/>
      <c r="G18" s="51">
        <f>'Ppto Ing'!E56</f>
        <v>0</v>
      </c>
      <c r="H18" s="51">
        <f>'Ppto Ing'!F56</f>
        <v>0</v>
      </c>
      <c r="I18" s="51">
        <f>'Ppto Ing'!G56</f>
        <v>0</v>
      </c>
      <c r="J18" s="51">
        <f>'Ppto Ing'!H56</f>
        <v>0</v>
      </c>
      <c r="K18" s="51">
        <f>'Ppto Ing'!I56</f>
        <v>0</v>
      </c>
      <c r="L18" s="51">
        <f>'Ppto Ing'!J56</f>
        <v>0</v>
      </c>
      <c r="M18" s="51">
        <f>'Ppto Ing'!K56</f>
        <v>0</v>
      </c>
      <c r="N18" s="51">
        <f>'Ppto Ing'!L56</f>
        <v>0</v>
      </c>
      <c r="O18" s="51">
        <f>'Ppto Ing'!M56</f>
        <v>0</v>
      </c>
      <c r="P18" s="51">
        <f>'Ppto Ing'!N56</f>
        <v>0</v>
      </c>
      <c r="Q18" s="51">
        <f>'Ppto Ing'!O56</f>
        <v>0</v>
      </c>
      <c r="R18" s="51">
        <f>'Ppto Ing'!P56</f>
        <v>0</v>
      </c>
      <c r="S18" s="51">
        <f>'Ppto Ing'!Q56</f>
        <v>0</v>
      </c>
      <c r="T18" s="51">
        <f>'Ppto Ing'!R56</f>
        <v>0</v>
      </c>
      <c r="U18" s="51">
        <f>'Ppto Ing'!S56</f>
        <v>0</v>
      </c>
      <c r="V18" s="51">
        <f>'Ppto Ing'!T56</f>
        <v>0</v>
      </c>
      <c r="W18" s="51">
        <f>'Ppto Ing'!U56</f>
        <v>0</v>
      </c>
      <c r="X18" s="51">
        <f>'Ppto Ing'!V56</f>
        <v>0</v>
      </c>
      <c r="Y18" s="51">
        <f>'Ppto Ing'!W56</f>
        <v>0</v>
      </c>
      <c r="Z18" s="51">
        <f>'Ppto Ing'!X56</f>
        <v>0</v>
      </c>
      <c r="AA18" s="51">
        <f>'Ppto Ing'!Y56</f>
        <v>0</v>
      </c>
      <c r="AB18" s="51">
        <f>'Ppto Ing'!Z56</f>
        <v>0</v>
      </c>
      <c r="AC18" s="51">
        <f>'Ppto Ing'!AA56</f>
        <v>0</v>
      </c>
      <c r="AD18" s="51">
        <f>'Ppto Ing'!AB56</f>
        <v>0</v>
      </c>
    </row>
    <row r="19" spans="1:30" hidden="1" x14ac:dyDescent="0.25">
      <c r="C19" s="3" t="s">
        <v>366</v>
      </c>
      <c r="D19" s="3"/>
      <c r="E19" s="3"/>
      <c r="F19" s="3"/>
      <c r="G19" s="51">
        <f>+'Ppto Ing'!E13</f>
        <v>0</v>
      </c>
      <c r="H19" s="51">
        <f>+'Ppto Ing'!F13</f>
        <v>0</v>
      </c>
      <c r="I19" s="51">
        <f>+'Ppto Ing'!G13</f>
        <v>0</v>
      </c>
      <c r="J19" s="51">
        <f>+'Ppto Ing'!H13</f>
        <v>0</v>
      </c>
      <c r="K19" s="51">
        <f>+'Ppto Ing'!I13</f>
        <v>0</v>
      </c>
      <c r="L19" s="51">
        <f>+'Ppto Ing'!J13</f>
        <v>0</v>
      </c>
      <c r="M19" s="51">
        <f>+'Ppto Ing'!K13</f>
        <v>0</v>
      </c>
      <c r="N19" s="51">
        <f>+'Ppto Ing'!L13</f>
        <v>0</v>
      </c>
      <c r="O19" s="51">
        <f>+'Ppto Ing'!M13</f>
        <v>0</v>
      </c>
      <c r="P19" s="51">
        <f>+'Ppto Ing'!N13</f>
        <v>0</v>
      </c>
      <c r="Q19" s="51">
        <f>+'Ppto Ing'!O13</f>
        <v>0</v>
      </c>
      <c r="R19" s="51">
        <f>+'Ppto Ing'!P13</f>
        <v>0</v>
      </c>
      <c r="S19" s="51">
        <f>+'Ppto Ing'!Q13</f>
        <v>0</v>
      </c>
      <c r="T19" s="51">
        <f>+'Ppto Ing'!R13</f>
        <v>0</v>
      </c>
      <c r="U19" s="51">
        <f>+'Ppto Ing'!S13</f>
        <v>0</v>
      </c>
      <c r="V19" s="51">
        <f>+'Ppto Ing'!T13</f>
        <v>0</v>
      </c>
      <c r="W19" s="51">
        <f>+'Ppto Ing'!U13</f>
        <v>0</v>
      </c>
      <c r="X19" s="51">
        <f>+'Ppto Ing'!V13</f>
        <v>0</v>
      </c>
      <c r="Y19" s="51">
        <f>+'Ppto Ing'!W13</f>
        <v>0</v>
      </c>
      <c r="Z19" s="51">
        <f>+'Ppto Ing'!X13</f>
        <v>0</v>
      </c>
      <c r="AA19" s="51">
        <f>+'Ppto Ing'!Y13</f>
        <v>0</v>
      </c>
      <c r="AB19" s="51">
        <f>+'Ppto Ing'!Z13</f>
        <v>0</v>
      </c>
      <c r="AC19" s="51">
        <f>+'Ppto Ing'!AA13</f>
        <v>0</v>
      </c>
      <c r="AD19" s="51">
        <f>+'Ppto Ing'!AB13</f>
        <v>0</v>
      </c>
    </row>
    <row r="20" spans="1:30" hidden="1" x14ac:dyDescent="0.25">
      <c r="C20" s="3" t="s">
        <v>354</v>
      </c>
      <c r="D20" s="3"/>
      <c r="E20" s="3"/>
      <c r="F20" s="3"/>
      <c r="G20" s="51">
        <f>+'Ppto Ing'!E24</f>
        <v>0</v>
      </c>
      <c r="H20" s="51">
        <f>+'Ppto Ing'!F24</f>
        <v>0</v>
      </c>
      <c r="I20" s="51">
        <f>+'Ppto Ing'!G24</f>
        <v>0</v>
      </c>
      <c r="J20" s="51">
        <f>+'Ppto Ing'!H24</f>
        <v>0</v>
      </c>
      <c r="K20" s="51">
        <f>+'Ppto Ing'!I24</f>
        <v>0</v>
      </c>
      <c r="L20" s="51">
        <f>+'Ppto Ing'!J24</f>
        <v>0</v>
      </c>
      <c r="M20" s="51">
        <f>+'Ppto Ing'!K24</f>
        <v>0</v>
      </c>
      <c r="N20" s="51">
        <f>+'Ppto Ing'!L24</f>
        <v>0</v>
      </c>
      <c r="O20" s="51">
        <f>+'Ppto Ing'!M24</f>
        <v>0</v>
      </c>
      <c r="P20" s="51">
        <f>+'Ppto Ing'!N24</f>
        <v>0</v>
      </c>
      <c r="Q20" s="51">
        <f>+'Ppto Ing'!O24</f>
        <v>0</v>
      </c>
      <c r="R20" s="51">
        <f>+'Ppto Ing'!P24</f>
        <v>0</v>
      </c>
      <c r="S20" s="51">
        <f>+'Ppto Ing'!Q24</f>
        <v>0</v>
      </c>
      <c r="T20" s="51">
        <f>+'Ppto Ing'!R24</f>
        <v>0</v>
      </c>
      <c r="U20" s="51">
        <f>+'Ppto Ing'!S24</f>
        <v>0</v>
      </c>
      <c r="V20" s="51">
        <f>+'Ppto Ing'!T24</f>
        <v>0</v>
      </c>
      <c r="W20" s="51">
        <f>+'Ppto Ing'!U24</f>
        <v>0</v>
      </c>
      <c r="X20" s="51">
        <f>+'Ppto Ing'!V24</f>
        <v>0</v>
      </c>
      <c r="Y20" s="51">
        <f>+'Ppto Ing'!W24</f>
        <v>0</v>
      </c>
      <c r="Z20" s="51">
        <f>+'Ppto Ing'!X24</f>
        <v>0</v>
      </c>
      <c r="AA20" s="51">
        <f>+'Ppto Ing'!Y24</f>
        <v>0</v>
      </c>
      <c r="AB20" s="51">
        <f>+'Ppto Ing'!Z24</f>
        <v>0</v>
      </c>
      <c r="AC20" s="51">
        <f>+'Ppto Ing'!AA24</f>
        <v>0</v>
      </c>
      <c r="AD20" s="51">
        <f>+'Ppto Ing'!AB24</f>
        <v>0</v>
      </c>
    </row>
    <row r="21" spans="1:30" hidden="1" x14ac:dyDescent="0.25">
      <c r="C21" s="3" t="s">
        <v>355</v>
      </c>
      <c r="D21" s="3"/>
      <c r="E21" s="3"/>
      <c r="F21" s="3"/>
      <c r="G21" s="51">
        <f>+'Ppto Ing'!E35</f>
        <v>0</v>
      </c>
      <c r="H21" s="51">
        <f>+'Ppto Ing'!F35</f>
        <v>0</v>
      </c>
      <c r="I21" s="51">
        <f>+'Ppto Ing'!G35</f>
        <v>0</v>
      </c>
      <c r="J21" s="51">
        <f>+'Ppto Ing'!H35</f>
        <v>0</v>
      </c>
      <c r="K21" s="51">
        <f>+'Ppto Ing'!I35</f>
        <v>0</v>
      </c>
      <c r="L21" s="51">
        <f>+'Ppto Ing'!J35</f>
        <v>0</v>
      </c>
      <c r="M21" s="51">
        <f>+'Ppto Ing'!K35</f>
        <v>0</v>
      </c>
      <c r="N21" s="51">
        <f>+'Ppto Ing'!L35</f>
        <v>0</v>
      </c>
      <c r="O21" s="51">
        <f>+'Ppto Ing'!M35</f>
        <v>0</v>
      </c>
      <c r="P21" s="51">
        <f>+'Ppto Ing'!N35</f>
        <v>0</v>
      </c>
      <c r="Q21" s="51">
        <f>+'Ppto Ing'!O35</f>
        <v>0</v>
      </c>
      <c r="R21" s="51">
        <f>+'Ppto Ing'!P35</f>
        <v>0</v>
      </c>
      <c r="S21" s="51">
        <f>+'Ppto Ing'!Q35</f>
        <v>0</v>
      </c>
      <c r="T21" s="51">
        <f>+'Ppto Ing'!R35</f>
        <v>0</v>
      </c>
      <c r="U21" s="51">
        <f>+'Ppto Ing'!S35</f>
        <v>0</v>
      </c>
      <c r="V21" s="51">
        <f>+'Ppto Ing'!T35</f>
        <v>0</v>
      </c>
      <c r="W21" s="51">
        <f>+'Ppto Ing'!U35</f>
        <v>0</v>
      </c>
      <c r="X21" s="51">
        <f>+'Ppto Ing'!V35</f>
        <v>0</v>
      </c>
      <c r="Y21" s="51">
        <f>+'Ppto Ing'!W35</f>
        <v>0</v>
      </c>
      <c r="Z21" s="51">
        <f>+'Ppto Ing'!X35</f>
        <v>0</v>
      </c>
      <c r="AA21" s="51">
        <f>+'Ppto Ing'!Y35</f>
        <v>0</v>
      </c>
      <c r="AB21" s="51">
        <f>+'Ppto Ing'!Z35</f>
        <v>0</v>
      </c>
      <c r="AC21" s="51">
        <f>+'Ppto Ing'!AA35</f>
        <v>0</v>
      </c>
      <c r="AD21" s="51">
        <f>+'Ppto Ing'!AB35</f>
        <v>0</v>
      </c>
    </row>
    <row r="22" spans="1:30" hidden="1" x14ac:dyDescent="0.25">
      <c r="C22" s="3" t="s">
        <v>356</v>
      </c>
      <c r="D22" s="3"/>
      <c r="E22" s="3"/>
      <c r="F22" s="3"/>
      <c r="G22" s="51">
        <f>+'Ppto Ing'!E46</f>
        <v>0</v>
      </c>
      <c r="H22" s="51">
        <f>+'Ppto Ing'!F46</f>
        <v>0</v>
      </c>
      <c r="I22" s="51">
        <f>+'Ppto Ing'!G46</f>
        <v>0</v>
      </c>
      <c r="J22" s="51">
        <f>+'Ppto Ing'!H46</f>
        <v>0</v>
      </c>
      <c r="K22" s="51">
        <f>+'Ppto Ing'!I46</f>
        <v>0</v>
      </c>
      <c r="L22" s="51">
        <f>+'Ppto Ing'!J46</f>
        <v>0</v>
      </c>
      <c r="M22" s="51">
        <f>+'Ppto Ing'!K46</f>
        <v>0</v>
      </c>
      <c r="N22" s="51">
        <f>+'Ppto Ing'!L46</f>
        <v>0</v>
      </c>
      <c r="O22" s="51">
        <f>+'Ppto Ing'!M46</f>
        <v>0</v>
      </c>
      <c r="P22" s="51">
        <f>+'Ppto Ing'!N46</f>
        <v>0</v>
      </c>
      <c r="Q22" s="51">
        <f>+'Ppto Ing'!O46</f>
        <v>0</v>
      </c>
      <c r="R22" s="51">
        <f>+'Ppto Ing'!P46</f>
        <v>0</v>
      </c>
      <c r="S22" s="51">
        <f>+'Ppto Ing'!Q46</f>
        <v>0</v>
      </c>
      <c r="T22" s="51">
        <f>+'Ppto Ing'!R46</f>
        <v>0</v>
      </c>
      <c r="U22" s="51">
        <f>+'Ppto Ing'!S46</f>
        <v>0</v>
      </c>
      <c r="V22" s="51">
        <f>+'Ppto Ing'!T46</f>
        <v>0</v>
      </c>
      <c r="W22" s="51">
        <f>+'Ppto Ing'!U46</f>
        <v>0</v>
      </c>
      <c r="X22" s="51">
        <f>+'Ppto Ing'!V46</f>
        <v>0</v>
      </c>
      <c r="Y22" s="51">
        <f>+'Ppto Ing'!W46</f>
        <v>0</v>
      </c>
      <c r="Z22" s="51">
        <f>+'Ppto Ing'!X46</f>
        <v>0</v>
      </c>
      <c r="AA22" s="51">
        <f>+'Ppto Ing'!Y46</f>
        <v>0</v>
      </c>
      <c r="AB22" s="51">
        <f>+'Ppto Ing'!Z46</f>
        <v>0</v>
      </c>
      <c r="AC22" s="51">
        <f>+'Ppto Ing'!AA46</f>
        <v>0</v>
      </c>
      <c r="AD22" s="51">
        <f>+'Ppto Ing'!AB46</f>
        <v>0</v>
      </c>
    </row>
    <row r="23" spans="1:30" hidden="1" x14ac:dyDescent="0.25">
      <c r="C23" s="3" t="s">
        <v>357</v>
      </c>
      <c r="D23" s="3"/>
      <c r="E23" s="3"/>
      <c r="F23" s="3"/>
      <c r="G23" s="51">
        <f>+'Ppto Ing'!E57</f>
        <v>0</v>
      </c>
      <c r="H23" s="51">
        <f>+'Ppto Ing'!F57</f>
        <v>0</v>
      </c>
      <c r="I23" s="51">
        <f>+'Ppto Ing'!G57</f>
        <v>0</v>
      </c>
      <c r="J23" s="51">
        <f>+'Ppto Ing'!H57</f>
        <v>0</v>
      </c>
      <c r="K23" s="51">
        <f>+'Ppto Ing'!I57</f>
        <v>0</v>
      </c>
      <c r="L23" s="51">
        <f>+'Ppto Ing'!J57</f>
        <v>0</v>
      </c>
      <c r="M23" s="51">
        <f>+'Ppto Ing'!K57</f>
        <v>0</v>
      </c>
      <c r="N23" s="51">
        <f>+'Ppto Ing'!L57</f>
        <v>0</v>
      </c>
      <c r="O23" s="51">
        <f>+'Ppto Ing'!M57</f>
        <v>0</v>
      </c>
      <c r="P23" s="51">
        <f>+'Ppto Ing'!N57</f>
        <v>0</v>
      </c>
      <c r="Q23" s="51">
        <f>+'Ppto Ing'!O57</f>
        <v>0</v>
      </c>
      <c r="R23" s="51">
        <f>+'Ppto Ing'!P57</f>
        <v>0</v>
      </c>
      <c r="S23" s="51">
        <f>+'Ppto Ing'!Q57</f>
        <v>0</v>
      </c>
      <c r="T23" s="51">
        <f>+'Ppto Ing'!R57</f>
        <v>0</v>
      </c>
      <c r="U23" s="51">
        <f>+'Ppto Ing'!S57</f>
        <v>0</v>
      </c>
      <c r="V23" s="51">
        <f>+'Ppto Ing'!T57</f>
        <v>0</v>
      </c>
      <c r="W23" s="51">
        <f>+'Ppto Ing'!U57</f>
        <v>0</v>
      </c>
      <c r="X23" s="51">
        <f>+'Ppto Ing'!V57</f>
        <v>0</v>
      </c>
      <c r="Y23" s="51">
        <f>+'Ppto Ing'!W57</f>
        <v>0</v>
      </c>
      <c r="Z23" s="51">
        <f>+'Ppto Ing'!X57</f>
        <v>0</v>
      </c>
      <c r="AA23" s="51">
        <f>+'Ppto Ing'!Y57</f>
        <v>0</v>
      </c>
      <c r="AB23" s="51">
        <f>+'Ppto Ing'!Z57</f>
        <v>0</v>
      </c>
      <c r="AC23" s="51">
        <f>+'Ppto Ing'!AA57</f>
        <v>0</v>
      </c>
      <c r="AD23" s="51">
        <f>+'Ppto Ing'!AB57</f>
        <v>0</v>
      </c>
    </row>
    <row r="24" spans="1:30" ht="23.25" hidden="1" x14ac:dyDescent="0.35">
      <c r="A24" s="135"/>
      <c r="B24" s="135"/>
      <c r="C24" s="52" t="s">
        <v>44</v>
      </c>
      <c r="D24" s="52"/>
      <c r="E24" s="53"/>
      <c r="F24" s="37"/>
      <c r="G24" s="37">
        <f>SUM(G19:G23)</f>
        <v>0</v>
      </c>
      <c r="H24" s="37">
        <f t="shared" ref="H24:AD24" si="0">SUM(H19:H23)</f>
        <v>0</v>
      </c>
      <c r="I24" s="37">
        <f t="shared" si="0"/>
        <v>0</v>
      </c>
      <c r="J24" s="37">
        <f t="shared" si="0"/>
        <v>0</v>
      </c>
      <c r="K24" s="37">
        <f t="shared" si="0"/>
        <v>0</v>
      </c>
      <c r="L24" s="37">
        <f t="shared" si="0"/>
        <v>0</v>
      </c>
      <c r="M24" s="37">
        <f t="shared" si="0"/>
        <v>0</v>
      </c>
      <c r="N24" s="37">
        <f t="shared" si="0"/>
        <v>0</v>
      </c>
      <c r="O24" s="37">
        <f t="shared" si="0"/>
        <v>0</v>
      </c>
      <c r="P24" s="37">
        <f t="shared" si="0"/>
        <v>0</v>
      </c>
      <c r="Q24" s="37">
        <f t="shared" si="0"/>
        <v>0</v>
      </c>
      <c r="R24" s="37">
        <f t="shared" si="0"/>
        <v>0</v>
      </c>
      <c r="S24" s="37">
        <f t="shared" si="0"/>
        <v>0</v>
      </c>
      <c r="T24" s="37">
        <f t="shared" si="0"/>
        <v>0</v>
      </c>
      <c r="U24" s="37">
        <f t="shared" si="0"/>
        <v>0</v>
      </c>
      <c r="V24" s="37">
        <f t="shared" si="0"/>
        <v>0</v>
      </c>
      <c r="W24" s="37">
        <f t="shared" si="0"/>
        <v>0</v>
      </c>
      <c r="X24" s="37">
        <f t="shared" si="0"/>
        <v>0</v>
      </c>
      <c r="Y24" s="37">
        <f t="shared" si="0"/>
        <v>0</v>
      </c>
      <c r="Z24" s="37">
        <f t="shared" si="0"/>
        <v>0</v>
      </c>
      <c r="AA24" s="37">
        <f t="shared" si="0"/>
        <v>0</v>
      </c>
      <c r="AB24" s="37">
        <f t="shared" si="0"/>
        <v>0</v>
      </c>
      <c r="AC24" s="37">
        <f t="shared" si="0"/>
        <v>0</v>
      </c>
      <c r="AD24" s="37">
        <f t="shared" si="0"/>
        <v>0</v>
      </c>
    </row>
    <row r="25" spans="1:30" hidden="1" x14ac:dyDescent="0.25">
      <c r="C25" s="50" t="s">
        <v>130</v>
      </c>
      <c r="D25" s="50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idden="1" x14ac:dyDescent="0.25">
      <c r="C26" s="3" t="s">
        <v>316</v>
      </c>
      <c r="D26" s="50"/>
      <c r="E26" s="3"/>
      <c r="F26" s="36"/>
      <c r="G26" s="36">
        <f>'Ppto Costos y Gtos'!D8</f>
        <v>0</v>
      </c>
      <c r="H26" s="36">
        <f>'Ppto Costos y Gtos'!E8</f>
        <v>0</v>
      </c>
      <c r="I26" s="36">
        <f>'Ppto Costos y Gtos'!F8</f>
        <v>0</v>
      </c>
      <c r="J26" s="36">
        <f>'Ppto Costos y Gtos'!G8</f>
        <v>0</v>
      </c>
      <c r="K26" s="36">
        <f>'Ppto Costos y Gtos'!H8</f>
        <v>0</v>
      </c>
      <c r="L26" s="36">
        <f>'Ppto Costos y Gtos'!I8</f>
        <v>0</v>
      </c>
      <c r="M26" s="36">
        <f>'Ppto Costos y Gtos'!J8</f>
        <v>0</v>
      </c>
      <c r="N26" s="36">
        <f>'Ppto Costos y Gtos'!K8</f>
        <v>0</v>
      </c>
      <c r="O26" s="36">
        <f>'Ppto Costos y Gtos'!L8</f>
        <v>0</v>
      </c>
      <c r="P26" s="36">
        <f>'Ppto Costos y Gtos'!M8</f>
        <v>0</v>
      </c>
      <c r="Q26" s="36">
        <f>'Ppto Costos y Gtos'!N8</f>
        <v>0</v>
      </c>
      <c r="R26" s="36">
        <f>'Ppto Costos y Gtos'!O8</f>
        <v>0</v>
      </c>
      <c r="S26" s="36">
        <f>'Ppto Costos y Gtos'!P8</f>
        <v>0</v>
      </c>
      <c r="T26" s="36">
        <f>'Ppto Costos y Gtos'!Q8</f>
        <v>0</v>
      </c>
      <c r="U26" s="36">
        <f>'Ppto Costos y Gtos'!R8</f>
        <v>0</v>
      </c>
      <c r="V26" s="36">
        <f>'Ppto Costos y Gtos'!S8</f>
        <v>0</v>
      </c>
      <c r="W26" s="36">
        <f>'Ppto Costos y Gtos'!T8</f>
        <v>0</v>
      </c>
      <c r="X26" s="36">
        <f>'Ppto Costos y Gtos'!U8</f>
        <v>0</v>
      </c>
      <c r="Y26" s="36">
        <f>'Ppto Costos y Gtos'!V8</f>
        <v>0</v>
      </c>
      <c r="Z26" s="36">
        <f>'Ppto Costos y Gtos'!W8</f>
        <v>0</v>
      </c>
      <c r="AA26" s="36">
        <f>'Ppto Costos y Gtos'!X8</f>
        <v>0</v>
      </c>
      <c r="AB26" s="36">
        <f>'Ppto Costos y Gtos'!Y8</f>
        <v>0</v>
      </c>
      <c r="AC26" s="36">
        <f>'Ppto Costos y Gtos'!Z8</f>
        <v>0</v>
      </c>
      <c r="AD26" s="36">
        <f>'Ppto Costos y Gtos'!AA8</f>
        <v>0</v>
      </c>
    </row>
    <row r="27" spans="1:30" hidden="1" x14ac:dyDescent="0.25">
      <c r="C27" s="3" t="s">
        <v>318</v>
      </c>
      <c r="D27" s="50"/>
      <c r="E27" s="3"/>
      <c r="F27" s="36"/>
      <c r="G27" s="36">
        <f>'Ppto Costos y Gtos'!D17</f>
        <v>180400000</v>
      </c>
      <c r="H27" s="36">
        <f>'Ppto Costos y Gtos'!E17</f>
        <v>185812000</v>
      </c>
      <c r="I27" s="36">
        <f>'Ppto Costos y Gtos'!F17</f>
        <v>186714000</v>
      </c>
      <c r="J27" s="36">
        <f>'Ppto Costos y Gtos'!G17</f>
        <v>187074800</v>
      </c>
      <c r="K27" s="36">
        <f>'Ppto Costos y Gtos'!H17</f>
        <v>185992400</v>
      </c>
      <c r="L27" s="36">
        <f>'Ppto Costos y Gtos'!I17</f>
        <v>0</v>
      </c>
      <c r="M27" s="36">
        <f>'Ppto Costos y Gtos'!J17</f>
        <v>0</v>
      </c>
      <c r="N27" s="36">
        <f>'Ppto Costos y Gtos'!K17</f>
        <v>0</v>
      </c>
      <c r="O27" s="36">
        <f>'Ppto Costos y Gtos'!L17</f>
        <v>0</v>
      </c>
      <c r="P27" s="36">
        <f>'Ppto Costos y Gtos'!M17</f>
        <v>0</v>
      </c>
      <c r="Q27" s="36">
        <f>'Ppto Costos y Gtos'!N17</f>
        <v>0</v>
      </c>
      <c r="R27" s="36">
        <f>'Ppto Costos y Gtos'!O17</f>
        <v>0</v>
      </c>
      <c r="S27" s="36">
        <f>'Ppto Costos y Gtos'!P17</f>
        <v>0</v>
      </c>
      <c r="T27" s="36">
        <f>'Ppto Costos y Gtos'!Q17</f>
        <v>0</v>
      </c>
      <c r="U27" s="36">
        <f>'Ppto Costos y Gtos'!R17</f>
        <v>0</v>
      </c>
      <c r="V27" s="36">
        <f>'Ppto Costos y Gtos'!S17</f>
        <v>0</v>
      </c>
      <c r="W27" s="36">
        <f>'Ppto Costos y Gtos'!T17</f>
        <v>0</v>
      </c>
      <c r="X27" s="36">
        <f>'Ppto Costos y Gtos'!U17</f>
        <v>0</v>
      </c>
      <c r="Y27" s="36">
        <f>'Ppto Costos y Gtos'!V17</f>
        <v>0</v>
      </c>
      <c r="Z27" s="36">
        <f>'Ppto Costos y Gtos'!W17</f>
        <v>0</v>
      </c>
      <c r="AA27" s="36">
        <f>'Ppto Costos y Gtos'!X17</f>
        <v>0</v>
      </c>
      <c r="AB27" s="36">
        <f>'Ppto Costos y Gtos'!Y17</f>
        <v>0</v>
      </c>
      <c r="AC27" s="36">
        <f>'Ppto Costos y Gtos'!Z17</f>
        <v>0</v>
      </c>
      <c r="AD27" s="36">
        <f>'Ppto Costos y Gtos'!AA17</f>
        <v>0</v>
      </c>
    </row>
    <row r="28" spans="1:30" hidden="1" x14ac:dyDescent="0.25">
      <c r="C28" s="3" t="s">
        <v>319</v>
      </c>
      <c r="D28" s="50"/>
      <c r="E28" s="3"/>
      <c r="F28" s="36"/>
      <c r="G28" s="36">
        <f>'Ppto Costos y Gtos'!D23</f>
        <v>0</v>
      </c>
      <c r="H28" s="36">
        <f>'Ppto Costos y Gtos'!E23</f>
        <v>0</v>
      </c>
      <c r="I28" s="36">
        <f>'Ppto Costos y Gtos'!F23</f>
        <v>0</v>
      </c>
      <c r="J28" s="36">
        <f>'Ppto Costos y Gtos'!G23</f>
        <v>0</v>
      </c>
      <c r="K28" s="36">
        <f>'Ppto Costos y Gtos'!H23</f>
        <v>0</v>
      </c>
      <c r="L28" s="36">
        <f>'Ppto Costos y Gtos'!I23</f>
        <v>0</v>
      </c>
      <c r="M28" s="36">
        <f>'Ppto Costos y Gtos'!J23</f>
        <v>0</v>
      </c>
      <c r="N28" s="36">
        <f>'Ppto Costos y Gtos'!K23</f>
        <v>0</v>
      </c>
      <c r="O28" s="36">
        <f>'Ppto Costos y Gtos'!L23</f>
        <v>0</v>
      </c>
      <c r="P28" s="36">
        <f>'Ppto Costos y Gtos'!M23</f>
        <v>0</v>
      </c>
      <c r="Q28" s="36">
        <f>'Ppto Costos y Gtos'!N23</f>
        <v>0</v>
      </c>
      <c r="R28" s="36">
        <f>'Ppto Costos y Gtos'!O23</f>
        <v>0</v>
      </c>
      <c r="S28" s="36">
        <f>'Ppto Costos y Gtos'!P23</f>
        <v>0</v>
      </c>
      <c r="T28" s="36">
        <f>'Ppto Costos y Gtos'!Q23</f>
        <v>0</v>
      </c>
      <c r="U28" s="36">
        <f>'Ppto Costos y Gtos'!R23</f>
        <v>0</v>
      </c>
      <c r="V28" s="36">
        <f>'Ppto Costos y Gtos'!S23</f>
        <v>0</v>
      </c>
      <c r="W28" s="36">
        <f>'Ppto Costos y Gtos'!T23</f>
        <v>0</v>
      </c>
      <c r="X28" s="36">
        <f>'Ppto Costos y Gtos'!U23</f>
        <v>0</v>
      </c>
      <c r="Y28" s="36">
        <f>'Ppto Costos y Gtos'!V23</f>
        <v>0</v>
      </c>
      <c r="Z28" s="36">
        <f>'Ppto Costos y Gtos'!W23</f>
        <v>0</v>
      </c>
      <c r="AA28" s="36">
        <f>'Ppto Costos y Gtos'!X23</f>
        <v>0</v>
      </c>
      <c r="AB28" s="36">
        <f>'Ppto Costos y Gtos'!Y23</f>
        <v>0</v>
      </c>
      <c r="AC28" s="36">
        <f>'Ppto Costos y Gtos'!Z23</f>
        <v>0</v>
      </c>
      <c r="AD28" s="36">
        <f>'Ppto Costos y Gtos'!AA23</f>
        <v>0</v>
      </c>
    </row>
    <row r="29" spans="1:30" hidden="1" x14ac:dyDescent="0.25">
      <c r="C29" s="3" t="s">
        <v>317</v>
      </c>
      <c r="D29" s="50"/>
      <c r="E29" s="3"/>
      <c r="F29" s="36"/>
      <c r="G29" s="36">
        <f>'Ppto Costos y Gtos'!D32</f>
        <v>0</v>
      </c>
      <c r="H29" s="36">
        <f>'Ppto Costos y Gtos'!E32</f>
        <v>0</v>
      </c>
      <c r="I29" s="36">
        <f>'Ppto Costos y Gtos'!F32</f>
        <v>0</v>
      </c>
      <c r="J29" s="36">
        <f>'Ppto Costos y Gtos'!G32</f>
        <v>0</v>
      </c>
      <c r="K29" s="36">
        <f>'Ppto Costos y Gtos'!H32</f>
        <v>0</v>
      </c>
      <c r="L29" s="36">
        <f>'Ppto Costos y Gtos'!I32</f>
        <v>0</v>
      </c>
      <c r="M29" s="36">
        <f>'Ppto Costos y Gtos'!J32</f>
        <v>0</v>
      </c>
      <c r="N29" s="36">
        <f>'Ppto Costos y Gtos'!K32</f>
        <v>0</v>
      </c>
      <c r="O29" s="36">
        <f>'Ppto Costos y Gtos'!L32</f>
        <v>0</v>
      </c>
      <c r="P29" s="36">
        <f>'Ppto Costos y Gtos'!M32</f>
        <v>0</v>
      </c>
      <c r="Q29" s="36">
        <f>'Ppto Costos y Gtos'!N32</f>
        <v>0</v>
      </c>
      <c r="R29" s="36">
        <f>'Ppto Costos y Gtos'!O32</f>
        <v>0</v>
      </c>
      <c r="S29" s="36">
        <f>'Ppto Costos y Gtos'!P32</f>
        <v>0</v>
      </c>
      <c r="T29" s="36">
        <f>'Ppto Costos y Gtos'!Q32</f>
        <v>0</v>
      </c>
      <c r="U29" s="36">
        <f>'Ppto Costos y Gtos'!R32</f>
        <v>0</v>
      </c>
      <c r="V29" s="36">
        <f>'Ppto Costos y Gtos'!S32</f>
        <v>0</v>
      </c>
      <c r="W29" s="36">
        <f>'Ppto Costos y Gtos'!T32</f>
        <v>0</v>
      </c>
      <c r="X29" s="36">
        <f>'Ppto Costos y Gtos'!U32</f>
        <v>0</v>
      </c>
      <c r="Y29" s="36">
        <f>'Ppto Costos y Gtos'!V32</f>
        <v>0</v>
      </c>
      <c r="Z29" s="36">
        <f>'Ppto Costos y Gtos'!W32</f>
        <v>0</v>
      </c>
      <c r="AA29" s="36">
        <f>'Ppto Costos y Gtos'!X32</f>
        <v>0</v>
      </c>
      <c r="AB29" s="36">
        <f>'Ppto Costos y Gtos'!Y32</f>
        <v>0</v>
      </c>
      <c r="AC29" s="36">
        <f>'Ppto Costos y Gtos'!Z32</f>
        <v>0</v>
      </c>
      <c r="AD29" s="36">
        <f>'Ppto Costos y Gtos'!AA32</f>
        <v>0</v>
      </c>
    </row>
    <row r="30" spans="1:30" hidden="1" x14ac:dyDescent="0.25">
      <c r="C30" s="3" t="s">
        <v>320</v>
      </c>
      <c r="D30" s="50"/>
      <c r="E30" s="3"/>
      <c r="F30" s="36"/>
      <c r="G30" s="36">
        <f>'Ppto Costos y Gtos'!D38</f>
        <v>0</v>
      </c>
      <c r="H30" s="36">
        <f>'Ppto Costos y Gtos'!E38</f>
        <v>0</v>
      </c>
      <c r="I30" s="36">
        <f>'Ppto Costos y Gtos'!F38</f>
        <v>0</v>
      </c>
      <c r="J30" s="36">
        <f>'Ppto Costos y Gtos'!G38</f>
        <v>0</v>
      </c>
      <c r="K30" s="36">
        <f>'Ppto Costos y Gtos'!H38</f>
        <v>0</v>
      </c>
      <c r="L30" s="36">
        <f>'Ppto Costos y Gtos'!I38</f>
        <v>0</v>
      </c>
      <c r="M30" s="36">
        <f>'Ppto Costos y Gtos'!J38</f>
        <v>0</v>
      </c>
      <c r="N30" s="36">
        <f>'Ppto Costos y Gtos'!K38</f>
        <v>0</v>
      </c>
      <c r="O30" s="36">
        <f>'Ppto Costos y Gtos'!L38</f>
        <v>0</v>
      </c>
      <c r="P30" s="36">
        <f>'Ppto Costos y Gtos'!M38</f>
        <v>0</v>
      </c>
      <c r="Q30" s="36">
        <f>'Ppto Costos y Gtos'!N38</f>
        <v>0</v>
      </c>
      <c r="R30" s="36">
        <f>'Ppto Costos y Gtos'!O38</f>
        <v>0</v>
      </c>
      <c r="S30" s="36">
        <f>'Ppto Costos y Gtos'!P38</f>
        <v>0</v>
      </c>
      <c r="T30" s="36">
        <f>'Ppto Costos y Gtos'!Q38</f>
        <v>0</v>
      </c>
      <c r="U30" s="36">
        <f>'Ppto Costos y Gtos'!R38</f>
        <v>0</v>
      </c>
      <c r="V30" s="36">
        <f>'Ppto Costos y Gtos'!S38</f>
        <v>0</v>
      </c>
      <c r="W30" s="36">
        <f>'Ppto Costos y Gtos'!T38</f>
        <v>0</v>
      </c>
      <c r="X30" s="36">
        <f>'Ppto Costos y Gtos'!U38</f>
        <v>0</v>
      </c>
      <c r="Y30" s="36">
        <f>'Ppto Costos y Gtos'!V38</f>
        <v>0</v>
      </c>
      <c r="Z30" s="36">
        <f>'Ppto Costos y Gtos'!W38</f>
        <v>0</v>
      </c>
      <c r="AA30" s="36">
        <f>'Ppto Costos y Gtos'!X38</f>
        <v>0</v>
      </c>
      <c r="AB30" s="36">
        <f>'Ppto Costos y Gtos'!Y38</f>
        <v>0</v>
      </c>
      <c r="AC30" s="36">
        <f>'Ppto Costos y Gtos'!Z38</f>
        <v>0</v>
      </c>
      <c r="AD30" s="36">
        <f>'Ppto Costos y Gtos'!AA38</f>
        <v>0</v>
      </c>
    </row>
    <row r="31" spans="1:30" hidden="1" x14ac:dyDescent="0.25">
      <c r="C31" s="3" t="s">
        <v>321</v>
      </c>
      <c r="D31" s="50"/>
      <c r="E31" s="3"/>
      <c r="F31" s="36"/>
      <c r="G31" s="36">
        <f>'Ppto Costos y Gtos'!D47</f>
        <v>0</v>
      </c>
      <c r="H31" s="36">
        <f>'Ppto Costos y Gtos'!E47</f>
        <v>0</v>
      </c>
      <c r="I31" s="36">
        <f>'Ppto Costos y Gtos'!F47</f>
        <v>0</v>
      </c>
      <c r="J31" s="36">
        <f>'Ppto Costos y Gtos'!G47</f>
        <v>0</v>
      </c>
      <c r="K31" s="36">
        <f>'Ppto Costos y Gtos'!H47</f>
        <v>0</v>
      </c>
      <c r="L31" s="36">
        <f>'Ppto Costos y Gtos'!I47</f>
        <v>0</v>
      </c>
      <c r="M31" s="36">
        <f>'Ppto Costos y Gtos'!J47</f>
        <v>0</v>
      </c>
      <c r="N31" s="36">
        <f>'Ppto Costos y Gtos'!K47</f>
        <v>0</v>
      </c>
      <c r="O31" s="36">
        <f>'Ppto Costos y Gtos'!L47</f>
        <v>0</v>
      </c>
      <c r="P31" s="36">
        <f>'Ppto Costos y Gtos'!M47</f>
        <v>0</v>
      </c>
      <c r="Q31" s="36">
        <f>'Ppto Costos y Gtos'!N47</f>
        <v>0</v>
      </c>
      <c r="R31" s="36">
        <f>'Ppto Costos y Gtos'!O47</f>
        <v>0</v>
      </c>
      <c r="S31" s="36">
        <f>'Ppto Costos y Gtos'!P47</f>
        <v>0</v>
      </c>
      <c r="T31" s="36">
        <f>'Ppto Costos y Gtos'!Q47</f>
        <v>0</v>
      </c>
      <c r="U31" s="36">
        <f>'Ppto Costos y Gtos'!R47</f>
        <v>0</v>
      </c>
      <c r="V31" s="36">
        <f>'Ppto Costos y Gtos'!S47</f>
        <v>0</v>
      </c>
      <c r="W31" s="36">
        <f>'Ppto Costos y Gtos'!T47</f>
        <v>0</v>
      </c>
      <c r="X31" s="36">
        <f>'Ppto Costos y Gtos'!U47</f>
        <v>0</v>
      </c>
      <c r="Y31" s="36">
        <f>'Ppto Costos y Gtos'!V47</f>
        <v>0</v>
      </c>
      <c r="Z31" s="36">
        <f>'Ppto Costos y Gtos'!W47</f>
        <v>0</v>
      </c>
      <c r="AA31" s="36">
        <f>'Ppto Costos y Gtos'!X47</f>
        <v>0</v>
      </c>
      <c r="AB31" s="36">
        <f>'Ppto Costos y Gtos'!Y47</f>
        <v>0</v>
      </c>
      <c r="AC31" s="36">
        <f>'Ppto Costos y Gtos'!Z47</f>
        <v>0</v>
      </c>
      <c r="AD31" s="36">
        <f>'Ppto Costos y Gtos'!AA47</f>
        <v>0</v>
      </c>
    </row>
    <row r="32" spans="1:30" hidden="1" x14ac:dyDescent="0.25">
      <c r="C32" s="3" t="s">
        <v>322</v>
      </c>
      <c r="D32" s="50"/>
      <c r="E32" s="3"/>
      <c r="F32" s="36"/>
      <c r="G32" s="36">
        <f>'Ppto Costos y Gtos'!D53</f>
        <v>0</v>
      </c>
      <c r="H32" s="36">
        <f>'Ppto Costos y Gtos'!E53</f>
        <v>0</v>
      </c>
      <c r="I32" s="36">
        <f>'Ppto Costos y Gtos'!F53</f>
        <v>0</v>
      </c>
      <c r="J32" s="36">
        <f>'Ppto Costos y Gtos'!G53</f>
        <v>0</v>
      </c>
      <c r="K32" s="36">
        <f>'Ppto Costos y Gtos'!H53</f>
        <v>0</v>
      </c>
      <c r="L32" s="36">
        <f>'Ppto Costos y Gtos'!I53</f>
        <v>0</v>
      </c>
      <c r="M32" s="36">
        <f>'Ppto Costos y Gtos'!J53</f>
        <v>0</v>
      </c>
      <c r="N32" s="36">
        <f>'Ppto Costos y Gtos'!K53</f>
        <v>0</v>
      </c>
      <c r="O32" s="36">
        <f>'Ppto Costos y Gtos'!L53</f>
        <v>0</v>
      </c>
      <c r="P32" s="36">
        <f>'Ppto Costos y Gtos'!M53</f>
        <v>0</v>
      </c>
      <c r="Q32" s="36">
        <f>'Ppto Costos y Gtos'!N53</f>
        <v>0</v>
      </c>
      <c r="R32" s="36">
        <f>'Ppto Costos y Gtos'!O53</f>
        <v>0</v>
      </c>
      <c r="S32" s="36">
        <f>'Ppto Costos y Gtos'!P53</f>
        <v>0</v>
      </c>
      <c r="T32" s="36">
        <f>'Ppto Costos y Gtos'!Q53</f>
        <v>0</v>
      </c>
      <c r="U32" s="36">
        <f>'Ppto Costos y Gtos'!R53</f>
        <v>0</v>
      </c>
      <c r="V32" s="36">
        <f>'Ppto Costos y Gtos'!S53</f>
        <v>0</v>
      </c>
      <c r="W32" s="36">
        <f>'Ppto Costos y Gtos'!T53</f>
        <v>0</v>
      </c>
      <c r="X32" s="36">
        <f>'Ppto Costos y Gtos'!U53</f>
        <v>0</v>
      </c>
      <c r="Y32" s="36">
        <f>'Ppto Costos y Gtos'!V53</f>
        <v>0</v>
      </c>
      <c r="Z32" s="36">
        <f>'Ppto Costos y Gtos'!W53</f>
        <v>0</v>
      </c>
      <c r="AA32" s="36">
        <f>'Ppto Costos y Gtos'!X53</f>
        <v>0</v>
      </c>
      <c r="AB32" s="36">
        <f>'Ppto Costos y Gtos'!Y53</f>
        <v>0</v>
      </c>
      <c r="AC32" s="36">
        <f>'Ppto Costos y Gtos'!Z53</f>
        <v>0</v>
      </c>
      <c r="AD32" s="36">
        <f>'Ppto Costos y Gtos'!AA53</f>
        <v>0</v>
      </c>
    </row>
    <row r="33" spans="1:30" hidden="1" x14ac:dyDescent="0.25">
      <c r="C33" s="3" t="s">
        <v>323</v>
      </c>
      <c r="D33" s="50"/>
      <c r="E33" s="3"/>
      <c r="F33" s="36"/>
      <c r="G33" s="36">
        <f>'Ppto Costos y Gtos'!D62</f>
        <v>0</v>
      </c>
      <c r="H33" s="36">
        <f>'Ppto Costos y Gtos'!E62</f>
        <v>0</v>
      </c>
      <c r="I33" s="36">
        <f>'Ppto Costos y Gtos'!F62</f>
        <v>0</v>
      </c>
      <c r="J33" s="36">
        <f>'Ppto Costos y Gtos'!G62</f>
        <v>0</v>
      </c>
      <c r="K33" s="36">
        <f>'Ppto Costos y Gtos'!H62</f>
        <v>0</v>
      </c>
      <c r="L33" s="36">
        <f>'Ppto Costos y Gtos'!I62</f>
        <v>0</v>
      </c>
      <c r="M33" s="36">
        <f>'Ppto Costos y Gtos'!J62</f>
        <v>0</v>
      </c>
      <c r="N33" s="36">
        <f>'Ppto Costos y Gtos'!K62</f>
        <v>0</v>
      </c>
      <c r="O33" s="36">
        <f>'Ppto Costos y Gtos'!L62</f>
        <v>0</v>
      </c>
      <c r="P33" s="36">
        <f>'Ppto Costos y Gtos'!M62</f>
        <v>0</v>
      </c>
      <c r="Q33" s="36">
        <f>'Ppto Costos y Gtos'!N62</f>
        <v>0</v>
      </c>
      <c r="R33" s="36">
        <f>'Ppto Costos y Gtos'!O62</f>
        <v>0</v>
      </c>
      <c r="S33" s="36">
        <f>'Ppto Costos y Gtos'!P62</f>
        <v>0</v>
      </c>
      <c r="T33" s="36">
        <f>'Ppto Costos y Gtos'!Q62</f>
        <v>0</v>
      </c>
      <c r="U33" s="36">
        <f>'Ppto Costos y Gtos'!R62</f>
        <v>0</v>
      </c>
      <c r="V33" s="36">
        <f>'Ppto Costos y Gtos'!S62</f>
        <v>0</v>
      </c>
      <c r="W33" s="36">
        <f>'Ppto Costos y Gtos'!T62</f>
        <v>0</v>
      </c>
      <c r="X33" s="36">
        <f>'Ppto Costos y Gtos'!U62</f>
        <v>0</v>
      </c>
      <c r="Y33" s="36">
        <f>'Ppto Costos y Gtos'!V62</f>
        <v>0</v>
      </c>
      <c r="Z33" s="36">
        <f>'Ppto Costos y Gtos'!W62</f>
        <v>0</v>
      </c>
      <c r="AA33" s="36">
        <f>'Ppto Costos y Gtos'!X62</f>
        <v>0</v>
      </c>
      <c r="AB33" s="36">
        <f>'Ppto Costos y Gtos'!Y62</f>
        <v>0</v>
      </c>
      <c r="AC33" s="36">
        <f>'Ppto Costos y Gtos'!Z62</f>
        <v>0</v>
      </c>
      <c r="AD33" s="36">
        <f>'Ppto Costos y Gtos'!AA62</f>
        <v>0</v>
      </c>
    </row>
    <row r="34" spans="1:30" hidden="1" x14ac:dyDescent="0.25">
      <c r="C34" s="3" t="s">
        <v>324</v>
      </c>
      <c r="D34" s="50"/>
      <c r="E34" s="3"/>
      <c r="F34" s="36"/>
      <c r="G34" s="36">
        <f>'Ppto Costos y Gtos'!D68</f>
        <v>0</v>
      </c>
      <c r="H34" s="36">
        <f>'Ppto Costos y Gtos'!E68</f>
        <v>0</v>
      </c>
      <c r="I34" s="36">
        <f>'Ppto Costos y Gtos'!F68</f>
        <v>0</v>
      </c>
      <c r="J34" s="36">
        <f>'Ppto Costos y Gtos'!G68</f>
        <v>0</v>
      </c>
      <c r="K34" s="36">
        <f>'Ppto Costos y Gtos'!H68</f>
        <v>0</v>
      </c>
      <c r="L34" s="36">
        <f>'Ppto Costos y Gtos'!I68</f>
        <v>0</v>
      </c>
      <c r="M34" s="36">
        <f>'Ppto Costos y Gtos'!J68</f>
        <v>0</v>
      </c>
      <c r="N34" s="36">
        <f>'Ppto Costos y Gtos'!K68</f>
        <v>0</v>
      </c>
      <c r="O34" s="36">
        <f>'Ppto Costos y Gtos'!L68</f>
        <v>0</v>
      </c>
      <c r="P34" s="36">
        <f>'Ppto Costos y Gtos'!M68</f>
        <v>0</v>
      </c>
      <c r="Q34" s="36">
        <f>'Ppto Costos y Gtos'!N68</f>
        <v>0</v>
      </c>
      <c r="R34" s="36">
        <f>'Ppto Costos y Gtos'!O68</f>
        <v>0</v>
      </c>
      <c r="S34" s="36">
        <f>'Ppto Costos y Gtos'!P68</f>
        <v>0</v>
      </c>
      <c r="T34" s="36">
        <f>'Ppto Costos y Gtos'!Q68</f>
        <v>0</v>
      </c>
      <c r="U34" s="36">
        <f>'Ppto Costos y Gtos'!R68</f>
        <v>0</v>
      </c>
      <c r="V34" s="36">
        <f>'Ppto Costos y Gtos'!S68</f>
        <v>0</v>
      </c>
      <c r="W34" s="36">
        <f>'Ppto Costos y Gtos'!T68</f>
        <v>0</v>
      </c>
      <c r="X34" s="36">
        <f>'Ppto Costos y Gtos'!U68</f>
        <v>0</v>
      </c>
      <c r="Y34" s="36">
        <f>'Ppto Costos y Gtos'!V68</f>
        <v>0</v>
      </c>
      <c r="Z34" s="36">
        <f>'Ppto Costos y Gtos'!W68</f>
        <v>0</v>
      </c>
      <c r="AA34" s="36">
        <f>'Ppto Costos y Gtos'!X68</f>
        <v>0</v>
      </c>
      <c r="AB34" s="36">
        <f>'Ppto Costos y Gtos'!Y68</f>
        <v>0</v>
      </c>
      <c r="AC34" s="36">
        <f>'Ppto Costos y Gtos'!Z68</f>
        <v>0</v>
      </c>
      <c r="AD34" s="36">
        <f>'Ppto Costos y Gtos'!AA68</f>
        <v>0</v>
      </c>
    </row>
    <row r="35" spans="1:30" hidden="1" x14ac:dyDescent="0.25">
      <c r="C35" s="3" t="s">
        <v>325</v>
      </c>
      <c r="D35" s="50"/>
      <c r="E35" s="3"/>
      <c r="F35" s="36"/>
      <c r="G35" s="36">
        <f>'Ppto Costos y Gtos'!D77</f>
        <v>0</v>
      </c>
      <c r="H35" s="36">
        <f>'Ppto Costos y Gtos'!E77</f>
        <v>0</v>
      </c>
      <c r="I35" s="36">
        <f>'Ppto Costos y Gtos'!F77</f>
        <v>0</v>
      </c>
      <c r="J35" s="36">
        <f>'Ppto Costos y Gtos'!G77</f>
        <v>0</v>
      </c>
      <c r="K35" s="36">
        <f>'Ppto Costos y Gtos'!H77</f>
        <v>0</v>
      </c>
      <c r="L35" s="36">
        <f>'Ppto Costos y Gtos'!I77</f>
        <v>0</v>
      </c>
      <c r="M35" s="36">
        <f>'Ppto Costos y Gtos'!J77</f>
        <v>0</v>
      </c>
      <c r="N35" s="36">
        <f>'Ppto Costos y Gtos'!K77</f>
        <v>0</v>
      </c>
      <c r="O35" s="36">
        <f>'Ppto Costos y Gtos'!L77</f>
        <v>0</v>
      </c>
      <c r="P35" s="36">
        <f>'Ppto Costos y Gtos'!M77</f>
        <v>0</v>
      </c>
      <c r="Q35" s="36">
        <f>'Ppto Costos y Gtos'!N77</f>
        <v>0</v>
      </c>
      <c r="R35" s="36">
        <f>'Ppto Costos y Gtos'!O77</f>
        <v>0</v>
      </c>
      <c r="S35" s="36">
        <f>'Ppto Costos y Gtos'!P77</f>
        <v>0</v>
      </c>
      <c r="T35" s="36">
        <f>'Ppto Costos y Gtos'!Q77</f>
        <v>0</v>
      </c>
      <c r="U35" s="36">
        <f>'Ppto Costos y Gtos'!R77</f>
        <v>0</v>
      </c>
      <c r="V35" s="36">
        <f>'Ppto Costos y Gtos'!S77</f>
        <v>0</v>
      </c>
      <c r="W35" s="36">
        <f>'Ppto Costos y Gtos'!T77</f>
        <v>0</v>
      </c>
      <c r="X35" s="36">
        <f>'Ppto Costos y Gtos'!U77</f>
        <v>0</v>
      </c>
      <c r="Y35" s="36">
        <f>'Ppto Costos y Gtos'!V77</f>
        <v>0</v>
      </c>
      <c r="Z35" s="36">
        <f>'Ppto Costos y Gtos'!W77</f>
        <v>0</v>
      </c>
      <c r="AA35" s="36">
        <f>'Ppto Costos y Gtos'!X77</f>
        <v>0</v>
      </c>
      <c r="AB35" s="36">
        <f>'Ppto Costos y Gtos'!Y77</f>
        <v>0</v>
      </c>
      <c r="AC35" s="36">
        <f>'Ppto Costos y Gtos'!Z77</f>
        <v>0</v>
      </c>
      <c r="AD35" s="36">
        <f>'Ppto Costos y Gtos'!AA77</f>
        <v>0</v>
      </c>
    </row>
    <row r="36" spans="1:30" hidden="1" x14ac:dyDescent="0.25">
      <c r="C36" s="3"/>
      <c r="D36" s="50"/>
      <c r="E36" s="3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</row>
    <row r="37" spans="1:30" hidden="1" x14ac:dyDescent="0.25">
      <c r="C37" s="52" t="s">
        <v>134</v>
      </c>
      <c r="D37" s="52"/>
      <c r="E37" s="53"/>
      <c r="F37" s="37"/>
      <c r="G37" s="37">
        <f t="shared" ref="G37:L37" si="1">SUM(G26:G35)</f>
        <v>180400000</v>
      </c>
      <c r="H37" s="37">
        <f t="shared" si="1"/>
        <v>185812000</v>
      </c>
      <c r="I37" s="37">
        <f t="shared" si="1"/>
        <v>186714000</v>
      </c>
      <c r="J37" s="37">
        <f t="shared" si="1"/>
        <v>187074800</v>
      </c>
      <c r="K37" s="37">
        <f t="shared" si="1"/>
        <v>185992400</v>
      </c>
      <c r="L37" s="37">
        <f t="shared" si="1"/>
        <v>0</v>
      </c>
      <c r="M37" s="37">
        <f t="shared" ref="M37:S37" si="2">SUM(M26:M35)</f>
        <v>0</v>
      </c>
      <c r="N37" s="37">
        <f t="shared" si="2"/>
        <v>0</v>
      </c>
      <c r="O37" s="37">
        <f t="shared" si="2"/>
        <v>0</v>
      </c>
      <c r="P37" s="37">
        <f t="shared" si="2"/>
        <v>0</v>
      </c>
      <c r="Q37" s="37">
        <f t="shared" si="2"/>
        <v>0</v>
      </c>
      <c r="R37" s="37">
        <f t="shared" si="2"/>
        <v>0</v>
      </c>
      <c r="S37" s="37">
        <f t="shared" si="2"/>
        <v>0</v>
      </c>
      <c r="T37" s="37">
        <f t="shared" ref="T37:Z37" si="3">SUM(T26:T35)</f>
        <v>0</v>
      </c>
      <c r="U37" s="37">
        <f t="shared" si="3"/>
        <v>0</v>
      </c>
      <c r="V37" s="37">
        <f t="shared" si="3"/>
        <v>0</v>
      </c>
      <c r="W37" s="37">
        <f t="shared" si="3"/>
        <v>0</v>
      </c>
      <c r="X37" s="37">
        <f t="shared" si="3"/>
        <v>0</v>
      </c>
      <c r="Y37" s="37">
        <f t="shared" si="3"/>
        <v>0</v>
      </c>
      <c r="Z37" s="37">
        <f t="shared" si="3"/>
        <v>0</v>
      </c>
      <c r="AA37" s="37">
        <f t="shared" ref="AA37:AD37" si="4">SUM(AA26:AA35)</f>
        <v>0</v>
      </c>
      <c r="AB37" s="37">
        <f t="shared" si="4"/>
        <v>0</v>
      </c>
      <c r="AC37" s="37">
        <f t="shared" si="4"/>
        <v>0</v>
      </c>
      <c r="AD37" s="37">
        <f t="shared" si="4"/>
        <v>0</v>
      </c>
    </row>
    <row r="38" spans="1:30" hidden="1" x14ac:dyDescent="0.25">
      <c r="C38" s="112"/>
      <c r="D38" s="112"/>
      <c r="E38" s="60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</row>
    <row r="39" spans="1:30" hidden="1" x14ac:dyDescent="0.25">
      <c r="C39" s="52" t="s">
        <v>367</v>
      </c>
      <c r="D39" s="52"/>
      <c r="E39" s="53"/>
      <c r="F39" s="37"/>
      <c r="G39" s="37">
        <f>G24-G37</f>
        <v>-180400000</v>
      </c>
      <c r="H39" s="37">
        <f t="shared" ref="H39:AD39" si="5">H24-H37</f>
        <v>-185812000</v>
      </c>
      <c r="I39" s="37">
        <f t="shared" si="5"/>
        <v>-186714000</v>
      </c>
      <c r="J39" s="37">
        <f t="shared" si="5"/>
        <v>-187074800</v>
      </c>
      <c r="K39" s="37">
        <f t="shared" si="5"/>
        <v>-185992400</v>
      </c>
      <c r="L39" s="37">
        <f t="shared" si="5"/>
        <v>0</v>
      </c>
      <c r="M39" s="37">
        <f t="shared" si="5"/>
        <v>0</v>
      </c>
      <c r="N39" s="37">
        <f t="shared" si="5"/>
        <v>0</v>
      </c>
      <c r="O39" s="37">
        <f t="shared" si="5"/>
        <v>0</v>
      </c>
      <c r="P39" s="37">
        <f t="shared" si="5"/>
        <v>0</v>
      </c>
      <c r="Q39" s="37">
        <f t="shared" si="5"/>
        <v>0</v>
      </c>
      <c r="R39" s="37">
        <f t="shared" si="5"/>
        <v>0</v>
      </c>
      <c r="S39" s="37">
        <f t="shared" si="5"/>
        <v>0</v>
      </c>
      <c r="T39" s="37">
        <f t="shared" si="5"/>
        <v>0</v>
      </c>
      <c r="U39" s="37">
        <f t="shared" si="5"/>
        <v>0</v>
      </c>
      <c r="V39" s="37">
        <f t="shared" si="5"/>
        <v>0</v>
      </c>
      <c r="W39" s="37">
        <f t="shared" si="5"/>
        <v>0</v>
      </c>
      <c r="X39" s="37">
        <f t="shared" si="5"/>
        <v>0</v>
      </c>
      <c r="Y39" s="37">
        <f t="shared" si="5"/>
        <v>0</v>
      </c>
      <c r="Z39" s="37">
        <f t="shared" si="5"/>
        <v>0</v>
      </c>
      <c r="AA39" s="37">
        <f t="shared" si="5"/>
        <v>0</v>
      </c>
      <c r="AB39" s="37">
        <f t="shared" si="5"/>
        <v>0</v>
      </c>
      <c r="AC39" s="37">
        <f t="shared" si="5"/>
        <v>0</v>
      </c>
      <c r="AD39" s="37">
        <f t="shared" si="5"/>
        <v>0</v>
      </c>
    </row>
    <row r="40" spans="1:30" hidden="1" x14ac:dyDescent="0.25">
      <c r="C40" s="50" t="s">
        <v>137</v>
      </c>
      <c r="D40" s="112"/>
      <c r="E40" s="60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</row>
    <row r="41" spans="1:30" hidden="1" x14ac:dyDescent="0.25">
      <c r="C41" s="3" t="s">
        <v>11</v>
      </c>
      <c r="D41" s="112"/>
      <c r="E41" s="60"/>
      <c r="F41" s="55"/>
      <c r="G41" s="55">
        <f>'Ppto Costos y Gtos'!D86</f>
        <v>0</v>
      </c>
      <c r="H41" s="55">
        <f>'Ppto Costos y Gtos'!E86</f>
        <v>0</v>
      </c>
      <c r="I41" s="55">
        <f>'Ppto Costos y Gtos'!F86</f>
        <v>0</v>
      </c>
      <c r="J41" s="55">
        <f>'Ppto Costos y Gtos'!G86</f>
        <v>0</v>
      </c>
      <c r="K41" s="55">
        <f>'Ppto Costos y Gtos'!H86</f>
        <v>0</v>
      </c>
      <c r="L41" s="55">
        <f>'Ppto Costos y Gtos'!I86</f>
        <v>0</v>
      </c>
      <c r="M41" s="55">
        <f>'Ppto Costos y Gtos'!J86</f>
        <v>0</v>
      </c>
      <c r="N41" s="55">
        <f>'Ppto Costos y Gtos'!K86</f>
        <v>0</v>
      </c>
      <c r="O41" s="55">
        <f>'Ppto Costos y Gtos'!L86</f>
        <v>0</v>
      </c>
      <c r="P41" s="55">
        <f>'Ppto Costos y Gtos'!M86</f>
        <v>0</v>
      </c>
      <c r="Q41" s="55">
        <f>'Ppto Costos y Gtos'!N86</f>
        <v>0</v>
      </c>
      <c r="R41" s="55">
        <f>'Ppto Costos y Gtos'!O86</f>
        <v>0</v>
      </c>
      <c r="S41" s="55">
        <f>'Ppto Costos y Gtos'!P86</f>
        <v>0</v>
      </c>
      <c r="T41" s="55">
        <f>'Ppto Costos y Gtos'!Q86</f>
        <v>0</v>
      </c>
      <c r="U41" s="55">
        <f>'Ppto Costos y Gtos'!R86</f>
        <v>0</v>
      </c>
      <c r="V41" s="55">
        <f>'Ppto Costos y Gtos'!S86</f>
        <v>0</v>
      </c>
      <c r="W41" s="55">
        <f>'Ppto Costos y Gtos'!T86</f>
        <v>0</v>
      </c>
      <c r="X41" s="55">
        <f>'Ppto Costos y Gtos'!U86</f>
        <v>0</v>
      </c>
      <c r="Y41" s="55">
        <f>'Ppto Costos y Gtos'!V86</f>
        <v>0</v>
      </c>
      <c r="Z41" s="55">
        <f>'Ppto Costos y Gtos'!W86</f>
        <v>0</v>
      </c>
      <c r="AA41" s="55">
        <f>'Ppto Costos y Gtos'!X86</f>
        <v>0</v>
      </c>
      <c r="AB41" s="55">
        <f>'Ppto Costos y Gtos'!Y86</f>
        <v>0</v>
      </c>
      <c r="AC41" s="55">
        <f>'Ppto Costos y Gtos'!Z86</f>
        <v>0</v>
      </c>
      <c r="AD41" s="55">
        <f>'Ppto Costos y Gtos'!AA86</f>
        <v>0</v>
      </c>
    </row>
    <row r="42" spans="1:30" ht="20.45" hidden="1" customHeight="1" x14ac:dyDescent="0.5">
      <c r="A42" s="140"/>
      <c r="B42" s="140"/>
      <c r="C42" s="3" t="s">
        <v>410</v>
      </c>
      <c r="D42" s="112"/>
      <c r="E42" s="60"/>
      <c r="F42" s="55"/>
      <c r="G42" s="55">
        <f>'Ppto Costos y Gtos'!D92</f>
        <v>17826990</v>
      </c>
      <c r="H42" s="55">
        <f>'Ppto Costos y Gtos'!E92</f>
        <v>17304000</v>
      </c>
      <c r="I42" s="55">
        <f>'Ppto Costos y Gtos'!F92</f>
        <v>17808000</v>
      </c>
      <c r="J42" s="55">
        <f>'Ppto Costos y Gtos'!G92</f>
        <v>18312000</v>
      </c>
      <c r="K42" s="55">
        <f>'Ppto Costos y Gtos'!H92</f>
        <v>18816000</v>
      </c>
      <c r="L42" s="55">
        <f>'Ppto Costos y Gtos'!I92</f>
        <v>0</v>
      </c>
      <c r="M42" s="55">
        <f>'Ppto Costos y Gtos'!J92</f>
        <v>0</v>
      </c>
      <c r="N42" s="55">
        <f>'Ppto Costos y Gtos'!K92</f>
        <v>0</v>
      </c>
      <c r="O42" s="55">
        <f>'Ppto Costos y Gtos'!L92</f>
        <v>0</v>
      </c>
      <c r="P42" s="55">
        <f>'Ppto Costos y Gtos'!M92</f>
        <v>0</v>
      </c>
      <c r="Q42" s="55">
        <f>'Ppto Costos y Gtos'!N92</f>
        <v>0</v>
      </c>
      <c r="R42" s="55">
        <f>'Ppto Costos y Gtos'!O92</f>
        <v>0</v>
      </c>
      <c r="S42" s="55">
        <f>'Ppto Costos y Gtos'!P92</f>
        <v>0</v>
      </c>
      <c r="T42" s="55">
        <f>'Ppto Costos y Gtos'!Q92</f>
        <v>0</v>
      </c>
      <c r="U42" s="55">
        <f>'Ppto Costos y Gtos'!R92</f>
        <v>0</v>
      </c>
      <c r="V42" s="55">
        <f>'Ppto Costos y Gtos'!S92</f>
        <v>0</v>
      </c>
      <c r="W42" s="55">
        <f>'Ppto Costos y Gtos'!T92</f>
        <v>0</v>
      </c>
      <c r="X42" s="55">
        <f>'Ppto Costos y Gtos'!U92</f>
        <v>0</v>
      </c>
      <c r="Y42" s="55">
        <f>'Ppto Costos y Gtos'!V92</f>
        <v>0</v>
      </c>
      <c r="Z42" s="55">
        <f>'Ppto Costos y Gtos'!W92</f>
        <v>0</v>
      </c>
      <c r="AA42" s="55">
        <f>'Ppto Costos y Gtos'!X92</f>
        <v>0</v>
      </c>
      <c r="AB42" s="55">
        <f>'Ppto Costos y Gtos'!Y92</f>
        <v>0</v>
      </c>
      <c r="AC42" s="55">
        <f>'Ppto Costos y Gtos'!Z92</f>
        <v>0</v>
      </c>
      <c r="AD42" s="55">
        <f>'Ppto Costos y Gtos'!AA92</f>
        <v>0</v>
      </c>
    </row>
    <row r="43" spans="1:30" hidden="1" x14ac:dyDescent="0.25">
      <c r="C43" s="112"/>
      <c r="D43" s="112"/>
      <c r="E43" s="60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</row>
    <row r="44" spans="1:30" hidden="1" x14ac:dyDescent="0.25">
      <c r="C44" s="52" t="s">
        <v>136</v>
      </c>
      <c r="D44" s="52"/>
      <c r="E44" s="53"/>
      <c r="F44" s="37">
        <f>SUM(F40:F43)</f>
        <v>0</v>
      </c>
      <c r="G44" s="37">
        <f t="shared" ref="G44:K44" si="6">SUM(G40:G43)</f>
        <v>17826990</v>
      </c>
      <c r="H44" s="37">
        <f t="shared" si="6"/>
        <v>17304000</v>
      </c>
      <c r="I44" s="37">
        <f t="shared" si="6"/>
        <v>17808000</v>
      </c>
      <c r="J44" s="37">
        <f t="shared" si="6"/>
        <v>18312000</v>
      </c>
      <c r="K44" s="37">
        <f t="shared" si="6"/>
        <v>18816000</v>
      </c>
      <c r="L44" s="37">
        <f t="shared" ref="L44:R44" si="7">SUM(L40:L43)</f>
        <v>0</v>
      </c>
      <c r="M44" s="37">
        <f t="shared" si="7"/>
        <v>0</v>
      </c>
      <c r="N44" s="37">
        <f t="shared" si="7"/>
        <v>0</v>
      </c>
      <c r="O44" s="37">
        <f t="shared" si="7"/>
        <v>0</v>
      </c>
      <c r="P44" s="37">
        <f t="shared" si="7"/>
        <v>0</v>
      </c>
      <c r="Q44" s="37">
        <f t="shared" si="7"/>
        <v>0</v>
      </c>
      <c r="R44" s="37">
        <f t="shared" si="7"/>
        <v>0</v>
      </c>
      <c r="S44" s="37">
        <f t="shared" ref="S44:Z44" si="8">SUM(S40:S43)</f>
        <v>0</v>
      </c>
      <c r="T44" s="37">
        <f t="shared" si="8"/>
        <v>0</v>
      </c>
      <c r="U44" s="37">
        <f t="shared" si="8"/>
        <v>0</v>
      </c>
      <c r="V44" s="37">
        <f t="shared" si="8"/>
        <v>0</v>
      </c>
      <c r="W44" s="37">
        <f t="shared" si="8"/>
        <v>0</v>
      </c>
      <c r="X44" s="37">
        <f t="shared" si="8"/>
        <v>0</v>
      </c>
      <c r="Y44" s="37">
        <f t="shared" si="8"/>
        <v>0</v>
      </c>
      <c r="Z44" s="37">
        <f t="shared" si="8"/>
        <v>0</v>
      </c>
      <c r="AA44" s="37">
        <f t="shared" ref="AA44:AD44" si="9">SUM(AA40:AA43)</f>
        <v>0</v>
      </c>
      <c r="AB44" s="37">
        <f t="shared" si="9"/>
        <v>0</v>
      </c>
      <c r="AC44" s="37">
        <f t="shared" si="9"/>
        <v>0</v>
      </c>
      <c r="AD44" s="37">
        <f t="shared" si="9"/>
        <v>0</v>
      </c>
    </row>
    <row r="45" spans="1:30" ht="21" hidden="1" x14ac:dyDescent="0.35">
      <c r="A45" s="141"/>
      <c r="B45" s="141"/>
      <c r="C45" s="50"/>
      <c r="D45" s="50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hidden="1" x14ac:dyDescent="0.25">
      <c r="C46" s="52" t="s">
        <v>368</v>
      </c>
      <c r="D46" s="52"/>
      <c r="E46" s="53"/>
      <c r="F46" s="37">
        <f>+F39-F44</f>
        <v>0</v>
      </c>
      <c r="G46" s="37">
        <f t="shared" ref="G46:L46" si="10">+G39-G44</f>
        <v>-198226990</v>
      </c>
      <c r="H46" s="37">
        <f t="shared" si="10"/>
        <v>-203116000</v>
      </c>
      <c r="I46" s="37">
        <f t="shared" si="10"/>
        <v>-204522000</v>
      </c>
      <c r="J46" s="37">
        <f t="shared" si="10"/>
        <v>-205386800</v>
      </c>
      <c r="K46" s="37">
        <f t="shared" si="10"/>
        <v>-204808400</v>
      </c>
      <c r="L46" s="37">
        <f t="shared" si="10"/>
        <v>0</v>
      </c>
      <c r="M46" s="37">
        <f t="shared" ref="M46:S46" si="11">+M39-M44</f>
        <v>0</v>
      </c>
      <c r="N46" s="37">
        <f t="shared" si="11"/>
        <v>0</v>
      </c>
      <c r="O46" s="37">
        <f t="shared" si="11"/>
        <v>0</v>
      </c>
      <c r="P46" s="37">
        <f t="shared" si="11"/>
        <v>0</v>
      </c>
      <c r="Q46" s="37">
        <f t="shared" si="11"/>
        <v>0</v>
      </c>
      <c r="R46" s="37">
        <f t="shared" si="11"/>
        <v>0</v>
      </c>
      <c r="S46" s="37">
        <f t="shared" si="11"/>
        <v>0</v>
      </c>
      <c r="T46" s="37">
        <f t="shared" ref="T46:Z46" si="12">+T39-T44</f>
        <v>0</v>
      </c>
      <c r="U46" s="37">
        <f t="shared" si="12"/>
        <v>0</v>
      </c>
      <c r="V46" s="37">
        <f t="shared" si="12"/>
        <v>0</v>
      </c>
      <c r="W46" s="37">
        <f t="shared" si="12"/>
        <v>0</v>
      </c>
      <c r="X46" s="37">
        <f t="shared" si="12"/>
        <v>0</v>
      </c>
      <c r="Y46" s="37">
        <f t="shared" si="12"/>
        <v>0</v>
      </c>
      <c r="Z46" s="37">
        <f t="shared" si="12"/>
        <v>0</v>
      </c>
      <c r="AA46" s="37">
        <f t="shared" ref="AA46:AD46" si="13">+AA39-AA44</f>
        <v>0</v>
      </c>
      <c r="AB46" s="37">
        <f t="shared" si="13"/>
        <v>0</v>
      </c>
      <c r="AC46" s="37">
        <f t="shared" si="13"/>
        <v>0</v>
      </c>
      <c r="AD46" s="37">
        <f t="shared" si="13"/>
        <v>0</v>
      </c>
    </row>
    <row r="47" spans="1:30" s="47" customFormat="1" hidden="1" x14ac:dyDescent="0.25">
      <c r="C47" s="112"/>
      <c r="D47" s="112"/>
      <c r="E47" s="60"/>
      <c r="F47" s="60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</row>
    <row r="48" spans="1:30" ht="26.25" hidden="1" x14ac:dyDescent="0.4">
      <c r="B48" s="124"/>
      <c r="C48" s="50" t="s">
        <v>358</v>
      </c>
      <c r="D48" s="123" t="str">
        <f>+D3</f>
        <v>Linea recta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3:30" hidden="1" x14ac:dyDescent="0.25">
      <c r="C49" s="54" t="str">
        <f>+Inmuebles</f>
        <v>Adecuación de Infraestructura</v>
      </c>
      <c r="D49" s="54"/>
      <c r="E49" s="3"/>
      <c r="F49" s="54"/>
      <c r="G49" s="55">
        <f>IF($C$3=302,'Ppto Inv_Dep y Amt'!D93)+IF($C$3=301,'Ppto Inv_Dep y Amt'!D123)+IF($C$3=303,'Ppto Inv_Dep y Amt'!D148)+IF($C$3=304,'Ppto Inv_Dep y Amt'!D182)</f>
        <v>0</v>
      </c>
      <c r="H49" s="55">
        <f>IF($C$3=302,'Ppto Inv_Dep y Amt'!E93)+IF($C$3=301,'Ppto Inv_Dep y Amt'!E123)+IF($C$3=303,'Ppto Inv_Dep y Amt'!E148)+IF($C$3=304,'Ppto Inv_Dep y Amt'!E182)</f>
        <v>0</v>
      </c>
      <c r="I49" s="55">
        <f>IF($C$3=302,'Ppto Inv_Dep y Amt'!F93)+IF($C$3=301,'Ppto Inv_Dep y Amt'!F123)+IF($C$3=303,'Ppto Inv_Dep y Amt'!F148)+IF($C$3=304,'Ppto Inv_Dep y Amt'!F182)</f>
        <v>0</v>
      </c>
      <c r="J49" s="55">
        <f>IF($C$3=302,'Ppto Inv_Dep y Amt'!G93)+IF($C$3=301,'Ppto Inv_Dep y Amt'!G123)+IF($C$3=303,'Ppto Inv_Dep y Amt'!G148)+IF($C$3=304,'Ppto Inv_Dep y Amt'!G182)</f>
        <v>0</v>
      </c>
      <c r="K49" s="55">
        <f>IF($C$3=302,'Ppto Inv_Dep y Amt'!H93)+IF($C$3=301,'Ppto Inv_Dep y Amt'!H123)+IF($C$3=303,'Ppto Inv_Dep y Amt'!H148)+IF($C$3=304,'Ppto Inv_Dep y Amt'!H182)</f>
        <v>0</v>
      </c>
      <c r="L49" s="55"/>
      <c r="M49" s="55"/>
      <c r="N49" s="55"/>
      <c r="O49" s="55"/>
      <c r="P49" s="55"/>
      <c r="Q49" s="55"/>
      <c r="R49" s="55"/>
      <c r="S49" s="55"/>
      <c r="T49" s="55"/>
      <c r="U49" s="55">
        <f>IF($C$3=302,'Ppto Inv_Dep y Amt'!R93)+IF($C$3=301,'Ppto Inv_Dep y Amt'!R123)+IF($C$3=303,'Ppto Inv_Dep y Amt'!R177)+IF($C$3=304,'Ppto Inv_Dep y Amt'!R211)</f>
        <v>0</v>
      </c>
      <c r="V49" s="55">
        <f>IF($C$3=302,'Ppto Inv_Dep y Amt'!S93)+IF($C$3=301,'Ppto Inv_Dep y Amt'!S123)+IF($C$3=303,'Ppto Inv_Dep y Amt'!S177)+IF($C$3=304,'Ppto Inv_Dep y Amt'!S211)</f>
        <v>0</v>
      </c>
      <c r="W49" s="55">
        <f>IF($C$3=302,'Ppto Inv_Dep y Amt'!T93)+IF($C$3=301,'Ppto Inv_Dep y Amt'!T123)+IF($C$3=303,'Ppto Inv_Dep y Amt'!T177)+IF($C$3=304,'Ppto Inv_Dep y Amt'!T211)</f>
        <v>0</v>
      </c>
      <c r="X49" s="55">
        <f>IF($C$3=302,'Ppto Inv_Dep y Amt'!U93)+IF($C$3=301,'Ppto Inv_Dep y Amt'!U123)+IF($C$3=303,'Ppto Inv_Dep y Amt'!U177)+IF($C$3=304,'Ppto Inv_Dep y Amt'!U211)</f>
        <v>0</v>
      </c>
      <c r="Y49" s="55">
        <f>IF($C$3=302,'Ppto Inv_Dep y Amt'!V93)+IF($C$3=301,'Ppto Inv_Dep y Amt'!V123)+IF($C$3=303,'Ppto Inv_Dep y Amt'!V177)+IF($C$3=304,'Ppto Inv_Dep y Amt'!V211)</f>
        <v>0</v>
      </c>
      <c r="Z49" s="55">
        <f>IF($C$3=302,'Ppto Inv_Dep y Amt'!W93)+IF($C$3=301,'Ppto Inv_Dep y Amt'!W123)+IF($C$3=303,'Ppto Inv_Dep y Amt'!W177)+IF($C$3=304,'Ppto Inv_Dep y Amt'!W211)</f>
        <v>0</v>
      </c>
      <c r="AA49" s="55">
        <f>IF($C$3=302,'Ppto Inv_Dep y Amt'!X93)+IF($C$3=301,'Ppto Inv_Dep y Amt'!X123)+IF($C$3=303,'Ppto Inv_Dep y Amt'!X177)+IF($C$3=304,'Ppto Inv_Dep y Amt'!X211)</f>
        <v>0</v>
      </c>
      <c r="AB49" s="55">
        <f>IF($C$3=302,'Ppto Inv_Dep y Amt'!Y93)+IF($C$3=301,'Ppto Inv_Dep y Amt'!Y123)+IF($C$3=303,'Ppto Inv_Dep y Amt'!Y177)+IF($C$3=304,'Ppto Inv_Dep y Amt'!Y211)</f>
        <v>0</v>
      </c>
      <c r="AC49" s="55">
        <f>IF($C$3=302,'Ppto Inv_Dep y Amt'!Z93)+IF($C$3=301,'Ppto Inv_Dep y Amt'!Z123)+IF($C$3=303,'Ppto Inv_Dep y Amt'!Z177)+IF($C$3=304,'Ppto Inv_Dep y Amt'!Z211)</f>
        <v>0</v>
      </c>
      <c r="AD49" s="55">
        <f>IF($C$3=302,'Ppto Inv_Dep y Amt'!AA93)+IF($C$3=301,'Ppto Inv_Dep y Amt'!AA123)+IF($C$3=303,'Ppto Inv_Dep y Amt'!AA177)+IF($C$3=304,'Ppto Inv_Dep y Amt'!AA211)</f>
        <v>0</v>
      </c>
    </row>
    <row r="50" spans="3:30" ht="15" hidden="1" customHeight="1" x14ac:dyDescent="0.25">
      <c r="C50" s="467" t="str" cm="1">
        <f t="array" ref="C50:D50">+'Ppto Inv_Dep y Amt'!A22:B22</f>
        <v xml:space="preserve"> Equipos, Muebles y Enseres</v>
      </c>
      <c r="D50" s="467">
        <v>0</v>
      </c>
      <c r="E50" s="467"/>
      <c r="F50" s="467"/>
      <c r="G50" s="468">
        <f>IF($C$3=302,'Ppto Inv_Dep y Amt'!D214)+IF($C$3=301,'Ppto Inv_Dep y Amt'!D245)+IF($C$3=303,'Ppto Inv_Dep y Amt'!D310)</f>
        <v>10635943</v>
      </c>
      <c r="H50" s="468">
        <f>IF($C$3=302,'Ppto Inv_Dep y Amt'!E214)+IF($C$3=301,'Ppto Inv_Dep y Amt'!E245)+IF($C$3=303,'Ppto Inv_Dep y Amt'!E310)</f>
        <v>10635943</v>
      </c>
      <c r="I50" s="468">
        <f>IF($C$3=302,'Ppto Inv_Dep y Amt'!F214)+IF($C$3=301,'Ppto Inv_Dep y Amt'!F245)+IF($C$3=303,'Ppto Inv_Dep y Amt'!F310)</f>
        <v>10635943</v>
      </c>
      <c r="J50" s="468">
        <f>IF($C$3=302,'Ppto Inv_Dep y Amt'!G214)+IF($C$3=301,'Ppto Inv_Dep y Amt'!G245)+IF($C$3=303,'Ppto Inv_Dep y Amt'!G310)</f>
        <v>10635943</v>
      </c>
      <c r="K50" s="468">
        <f>IF($C$3=302,'Ppto Inv_Dep y Amt'!H214)+IF($C$3=301,'Ppto Inv_Dep y Amt'!H245)+IF($C$3=303,'Ppto Inv_Dep y Amt'!H310)</f>
        <v>10635943</v>
      </c>
      <c r="L50" s="466"/>
      <c r="M50" s="466"/>
      <c r="N50" s="466"/>
      <c r="O50" s="466"/>
      <c r="P50" s="466"/>
      <c r="Q50" s="466"/>
      <c r="R50" s="466"/>
      <c r="S50" s="466"/>
      <c r="T50" s="466"/>
      <c r="U50" s="466">
        <f>IF($C$3=302,'Ppto Inv_Dep y Amt'!R244)+IF($C$3=301,'Ppto Inv_Dep y Amt'!R276)+IF($C$3=303,'Ppto Inv_Dep y Amt'!R310)</f>
        <v>0</v>
      </c>
      <c r="V50" s="466">
        <f>IF($C$3=302,'Ppto Inv_Dep y Amt'!S244)+IF($C$3=301,'Ppto Inv_Dep y Amt'!S276)+IF($C$3=303,'Ppto Inv_Dep y Amt'!S310)</f>
        <v>0</v>
      </c>
      <c r="W50" s="466">
        <f>IF($C$3=302,'Ppto Inv_Dep y Amt'!T244)+IF($C$3=301,'Ppto Inv_Dep y Amt'!T276)+IF($C$3=303,'Ppto Inv_Dep y Amt'!T310)</f>
        <v>0</v>
      </c>
      <c r="X50" s="466">
        <f>IF($C$3=302,'Ppto Inv_Dep y Amt'!U244)+IF($C$3=301,'Ppto Inv_Dep y Amt'!U276)+IF($C$3=303,'Ppto Inv_Dep y Amt'!U310)</f>
        <v>0</v>
      </c>
      <c r="Y50" s="466">
        <f>IF($C$3=302,'Ppto Inv_Dep y Amt'!V244)+IF($C$3=301,'Ppto Inv_Dep y Amt'!V276)+IF($C$3=303,'Ppto Inv_Dep y Amt'!V310)</f>
        <v>0</v>
      </c>
      <c r="Z50" s="466">
        <f>IF($C$3=302,'Ppto Inv_Dep y Amt'!W244)+IF($C$3=301,'Ppto Inv_Dep y Amt'!W276)+IF($C$3=303,'Ppto Inv_Dep y Amt'!W310)</f>
        <v>0</v>
      </c>
      <c r="AA50" s="466">
        <f>IF($C$3=302,'Ppto Inv_Dep y Amt'!X244)+IF($C$3=301,'Ppto Inv_Dep y Amt'!X276)+IF($C$3=303,'Ppto Inv_Dep y Amt'!X310)</f>
        <v>0</v>
      </c>
      <c r="AB50" s="466">
        <f>IF($C$3=302,'Ppto Inv_Dep y Amt'!Y244)+IF($C$3=301,'Ppto Inv_Dep y Amt'!Y276)+IF($C$3=303,'Ppto Inv_Dep y Amt'!Y310)</f>
        <v>0</v>
      </c>
      <c r="AC50" s="466">
        <f>IF($C$3=302,'Ppto Inv_Dep y Amt'!Z244)+IF($C$3=301,'Ppto Inv_Dep y Amt'!Z276)+IF($C$3=303,'Ppto Inv_Dep y Amt'!Z310)</f>
        <v>0</v>
      </c>
      <c r="AD50" s="466">
        <f>IF($C$3=302,'Ppto Inv_Dep y Amt'!AA244)+IF($C$3=301,'Ppto Inv_Dep y Amt'!AA276)+IF($C$3=303,'Ppto Inv_Dep y Amt'!AA310)</f>
        <v>0</v>
      </c>
    </row>
    <row r="51" spans="3:30" hidden="1" x14ac:dyDescent="0.25">
      <c r="C51" s="465" t="str" cm="1">
        <f t="array" ref="C51:D51">+'Ppto Inv_Dep y Amt'!A29:B29</f>
        <v>Empaques y Herramientas</v>
      </c>
      <c r="D51" s="465">
        <v>0</v>
      </c>
      <c r="E51" s="465"/>
      <c r="F51" s="465"/>
      <c r="G51" s="466"/>
      <c r="H51" s="466"/>
      <c r="I51" s="466"/>
      <c r="J51" s="466"/>
      <c r="K51" s="466"/>
      <c r="L51" s="466"/>
      <c r="M51" s="466"/>
      <c r="N51" s="466"/>
      <c r="O51" s="466"/>
      <c r="P51" s="466"/>
      <c r="Q51" s="466"/>
      <c r="R51" s="466"/>
      <c r="S51" s="466"/>
      <c r="T51" s="466"/>
      <c r="U51" s="466"/>
      <c r="V51" s="466"/>
      <c r="W51" s="466"/>
      <c r="X51" s="466"/>
      <c r="Y51" s="466"/>
      <c r="Z51" s="466"/>
      <c r="AA51" s="466"/>
      <c r="AB51" s="466"/>
      <c r="AC51" s="466"/>
      <c r="AD51" s="466"/>
    </row>
    <row r="52" spans="3:30" hidden="1" x14ac:dyDescent="0.25">
      <c r="C52" s="492" t="str" cm="1">
        <f t="array" ref="C52:D52">+'Ppto Inv_Dep y Amt'!A36:B36</f>
        <v>Equipos de Computo, Comunicaciones, Redes de Datos</v>
      </c>
      <c r="D52" s="467">
        <v>0</v>
      </c>
      <c r="E52" s="468"/>
      <c r="F52" s="468"/>
      <c r="G52" s="468">
        <f>IF($C$3=302,'Ppto Inv_Dep y Amt'!D214)+IF($C$3=301,'Ppto Inv_Dep y Amt'!D276)+IF($C$3=303,'Ppto Inv_Dep y Amt'!D310)</f>
        <v>2922010</v>
      </c>
      <c r="H52" s="468">
        <f>IF($C$3=302,'Ppto Inv_Dep y Amt'!E214)+IF($C$3=301,'Ppto Inv_Dep y Amt'!E276)+IF($C$3=303,'Ppto Inv_Dep y Amt'!E310)</f>
        <v>2922010</v>
      </c>
      <c r="I52" s="468">
        <f>IF($C$3=302,'Ppto Inv_Dep y Amt'!F214)+IF($C$3=301,'Ppto Inv_Dep y Amt'!F276)+IF($C$3=303,'Ppto Inv_Dep y Amt'!F310)</f>
        <v>2922010</v>
      </c>
      <c r="J52" s="468">
        <f>IF($C$3=302,'Ppto Inv_Dep y Amt'!G214)+IF($C$3=301,'Ppto Inv_Dep y Amt'!G276)+IF($C$3=303,'Ppto Inv_Dep y Amt'!G310)</f>
        <v>2922010</v>
      </c>
      <c r="K52" s="468">
        <f>IF($C$3=302,'Ppto Inv_Dep y Amt'!H214)+IF($C$3=301,'Ppto Inv_Dep y Amt'!H276)+IF($C$3=303,'Ppto Inv_Dep y Amt'!H310)</f>
        <v>2922010</v>
      </c>
      <c r="L52" s="466"/>
      <c r="M52" s="466"/>
      <c r="N52" s="466"/>
      <c r="O52" s="466"/>
      <c r="P52" s="466"/>
      <c r="Q52" s="466"/>
      <c r="R52" s="466"/>
      <c r="S52" s="466"/>
      <c r="T52" s="466"/>
      <c r="U52" s="466"/>
      <c r="V52" s="466"/>
      <c r="W52" s="466"/>
      <c r="X52" s="466"/>
      <c r="Y52" s="466"/>
      <c r="Z52" s="466"/>
      <c r="AA52" s="466"/>
      <c r="AB52" s="466"/>
      <c r="AC52" s="466"/>
      <c r="AD52" s="466"/>
    </row>
    <row r="53" spans="3:30" hidden="1" x14ac:dyDescent="0.25">
      <c r="C53" s="465" t="str" cm="1">
        <f t="array" ref="C53:D53">+'Ppto Inv_Dep y Amt'!A45:B45</f>
        <v>Licencias</v>
      </c>
      <c r="D53" s="465">
        <v>0</v>
      </c>
      <c r="E53" s="465"/>
      <c r="F53" s="465"/>
      <c r="G53" s="465">
        <f>IF($C$3=302,'Ppto Inv_Dep y Amt'!#REF!)+IF($C$3=301,'Ppto Inv_Dep y Amt'!D248)+IF($C$3=303,'Ppto Inv_Dep y Amt'!D313)</f>
        <v>0</v>
      </c>
      <c r="H53" s="466"/>
      <c r="I53" s="466"/>
      <c r="J53" s="466"/>
      <c r="K53" s="466"/>
      <c r="L53" s="466"/>
      <c r="M53" s="466"/>
      <c r="N53" s="466"/>
      <c r="O53" s="466"/>
      <c r="P53" s="466"/>
      <c r="Q53" s="466"/>
      <c r="R53" s="466"/>
      <c r="S53" s="466"/>
      <c r="T53" s="466"/>
      <c r="U53" s="466"/>
      <c r="V53" s="466"/>
      <c r="W53" s="466"/>
      <c r="X53" s="466"/>
      <c r="Y53" s="466"/>
      <c r="Z53" s="466"/>
      <c r="AA53" s="466"/>
      <c r="AB53" s="466"/>
      <c r="AC53" s="466"/>
      <c r="AD53" s="466"/>
    </row>
    <row r="54" spans="3:30" hidden="1" x14ac:dyDescent="0.25">
      <c r="C54" s="465" t="str" cm="1">
        <f t="array" ref="C54:D54">+'Ppto Inv_Dep y Amt'!A51:B51</f>
        <v>Estudios</v>
      </c>
      <c r="D54" s="465">
        <v>0</v>
      </c>
      <c r="E54" s="465"/>
      <c r="F54" s="465"/>
      <c r="G54" s="465">
        <f>IF($C$3=302,'Ppto Inv_Dep y Amt'!D219)+IF($C$3=301,'Ppto Inv_Dep y Amt'!D249)+IF($C$3=303,'Ppto Inv_Dep y Amt'!D314)</f>
        <v>0</v>
      </c>
      <c r="H54" s="466"/>
      <c r="I54" s="466"/>
      <c r="J54" s="466"/>
      <c r="K54" s="466"/>
      <c r="L54" s="466"/>
      <c r="M54" s="466"/>
      <c r="N54" s="466"/>
      <c r="O54" s="466"/>
      <c r="P54" s="466"/>
      <c r="Q54" s="466"/>
      <c r="R54" s="466"/>
      <c r="S54" s="466"/>
      <c r="T54" s="466"/>
      <c r="U54" s="466"/>
      <c r="V54" s="466"/>
      <c r="W54" s="466"/>
      <c r="X54" s="466"/>
      <c r="Y54" s="466"/>
      <c r="Z54" s="466"/>
      <c r="AA54" s="466"/>
      <c r="AB54" s="466"/>
      <c r="AC54" s="466"/>
      <c r="AD54" s="466"/>
    </row>
    <row r="55" spans="3:30" hidden="1" x14ac:dyDescent="0.25">
      <c r="C55" s="465" t="str" cm="1">
        <f t="array" ref="C55:D55">+'Ppto Inv_Dep y Amt'!A57:B57</f>
        <v>Franquicias</v>
      </c>
      <c r="D55" s="465">
        <v>0</v>
      </c>
      <c r="E55" s="465"/>
      <c r="F55" s="465"/>
      <c r="G55" s="465">
        <f>IF($C$3=302,'Ppto Inv_Dep y Amt'!D220)+IF($C$3=301,'Ppto Inv_Dep y Amt'!D250)+IF($C$3=303,'Ppto Inv_Dep y Amt'!D315)</f>
        <v>0</v>
      </c>
      <c r="H55" s="466"/>
      <c r="I55" s="466"/>
      <c r="J55" s="466"/>
      <c r="K55" s="466"/>
      <c r="L55" s="466"/>
      <c r="M55" s="466"/>
      <c r="N55" s="466"/>
      <c r="O55" s="466"/>
      <c r="P55" s="466"/>
      <c r="Q55" s="466"/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/>
      <c r="AD55" s="466"/>
    </row>
    <row r="56" spans="3:30" hidden="1" x14ac:dyDescent="0.25">
      <c r="C56" s="54"/>
      <c r="D56" s="54"/>
      <c r="E56" s="54"/>
      <c r="F56" s="54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</row>
    <row r="57" spans="3:30" hidden="1" x14ac:dyDescent="0.25">
      <c r="C57" s="56" t="s">
        <v>359</v>
      </c>
      <c r="D57" s="56"/>
      <c r="E57" s="57"/>
      <c r="F57" s="57"/>
      <c r="G57" s="37">
        <f t="shared" ref="G57:AD57" si="14">SUM(G49:G56)</f>
        <v>13557953</v>
      </c>
      <c r="H57" s="37">
        <f t="shared" si="14"/>
        <v>13557953</v>
      </c>
      <c r="I57" s="37">
        <f t="shared" si="14"/>
        <v>13557953</v>
      </c>
      <c r="J57" s="37">
        <f t="shared" si="14"/>
        <v>13557953</v>
      </c>
      <c r="K57" s="37">
        <f t="shared" si="14"/>
        <v>13557953</v>
      </c>
      <c r="L57" s="37">
        <f t="shared" si="14"/>
        <v>0</v>
      </c>
      <c r="M57" s="37">
        <f t="shared" si="14"/>
        <v>0</v>
      </c>
      <c r="N57" s="37">
        <f t="shared" si="14"/>
        <v>0</v>
      </c>
      <c r="O57" s="37">
        <f t="shared" si="14"/>
        <v>0</v>
      </c>
      <c r="P57" s="37">
        <f t="shared" si="14"/>
        <v>0</v>
      </c>
      <c r="Q57" s="37">
        <f t="shared" si="14"/>
        <v>0</v>
      </c>
      <c r="R57" s="37">
        <f t="shared" si="14"/>
        <v>0</v>
      </c>
      <c r="S57" s="37">
        <f t="shared" si="14"/>
        <v>0</v>
      </c>
      <c r="T57" s="37">
        <f t="shared" si="14"/>
        <v>0</v>
      </c>
      <c r="U57" s="37">
        <f t="shared" si="14"/>
        <v>0</v>
      </c>
      <c r="V57" s="37">
        <f t="shared" si="14"/>
        <v>0</v>
      </c>
      <c r="W57" s="37">
        <f t="shared" si="14"/>
        <v>0</v>
      </c>
      <c r="X57" s="37">
        <f t="shared" si="14"/>
        <v>0</v>
      </c>
      <c r="Y57" s="37">
        <f t="shared" si="14"/>
        <v>0</v>
      </c>
      <c r="Z57" s="37">
        <f t="shared" si="14"/>
        <v>0</v>
      </c>
      <c r="AA57" s="37">
        <f t="shared" si="14"/>
        <v>0</v>
      </c>
      <c r="AB57" s="37">
        <f t="shared" si="14"/>
        <v>0</v>
      </c>
      <c r="AC57" s="37">
        <f t="shared" si="14"/>
        <v>0</v>
      </c>
      <c r="AD57" s="37">
        <f t="shared" si="14"/>
        <v>0</v>
      </c>
    </row>
    <row r="58" spans="3:30" hidden="1" x14ac:dyDescent="0.25">
      <c r="C58" s="56" t="s">
        <v>360</v>
      </c>
      <c r="D58" s="56"/>
      <c r="E58" s="57"/>
      <c r="F58" s="57"/>
      <c r="G58" s="37">
        <f>G57</f>
        <v>13557953</v>
      </c>
      <c r="H58" s="37">
        <f>G58+H57</f>
        <v>27115906</v>
      </c>
      <c r="I58" s="37">
        <f t="shared" ref="I58:AD58" si="15">H58+I57</f>
        <v>40673859</v>
      </c>
      <c r="J58" s="37">
        <f t="shared" si="15"/>
        <v>54231812</v>
      </c>
      <c r="K58" s="37">
        <f t="shared" si="15"/>
        <v>67789765</v>
      </c>
      <c r="L58" s="37">
        <f t="shared" si="15"/>
        <v>67789765</v>
      </c>
      <c r="M58" s="37">
        <f t="shared" si="15"/>
        <v>67789765</v>
      </c>
      <c r="N58" s="37">
        <f t="shared" si="15"/>
        <v>67789765</v>
      </c>
      <c r="O58" s="37">
        <f t="shared" si="15"/>
        <v>67789765</v>
      </c>
      <c r="P58" s="37">
        <f t="shared" si="15"/>
        <v>67789765</v>
      </c>
      <c r="Q58" s="37">
        <f t="shared" si="15"/>
        <v>67789765</v>
      </c>
      <c r="R58" s="37">
        <f t="shared" si="15"/>
        <v>67789765</v>
      </c>
      <c r="S58" s="37">
        <f t="shared" si="15"/>
        <v>67789765</v>
      </c>
      <c r="T58" s="37">
        <f t="shared" si="15"/>
        <v>67789765</v>
      </c>
      <c r="U58" s="37">
        <f t="shared" si="15"/>
        <v>67789765</v>
      </c>
      <c r="V58" s="37">
        <f t="shared" si="15"/>
        <v>67789765</v>
      </c>
      <c r="W58" s="37">
        <f t="shared" si="15"/>
        <v>67789765</v>
      </c>
      <c r="X58" s="37">
        <f t="shared" si="15"/>
        <v>67789765</v>
      </c>
      <c r="Y58" s="37">
        <f t="shared" si="15"/>
        <v>67789765</v>
      </c>
      <c r="Z58" s="37">
        <f t="shared" si="15"/>
        <v>67789765</v>
      </c>
      <c r="AA58" s="37">
        <f t="shared" si="15"/>
        <v>67789765</v>
      </c>
      <c r="AB58" s="37">
        <f t="shared" si="15"/>
        <v>67789765</v>
      </c>
      <c r="AC58" s="37">
        <f t="shared" si="15"/>
        <v>67789765</v>
      </c>
      <c r="AD58" s="37">
        <f t="shared" si="15"/>
        <v>67789765</v>
      </c>
    </row>
    <row r="59" spans="3:30" s="47" customFormat="1" hidden="1" x14ac:dyDescent="0.25">
      <c r="C59" s="90"/>
      <c r="D59" s="90"/>
      <c r="E59" s="54"/>
      <c r="F59" s="54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</row>
    <row r="60" spans="3:30" hidden="1" x14ac:dyDescent="0.25">
      <c r="C60" s="56" t="s">
        <v>369</v>
      </c>
      <c r="D60" s="56"/>
      <c r="E60" s="57"/>
      <c r="F60" s="37"/>
      <c r="G60" s="37">
        <f>+G46-G57</f>
        <v>-211784943</v>
      </c>
      <c r="H60" s="37">
        <f t="shared" ref="H60:AD60" si="16">+H46-H57</f>
        <v>-216673953</v>
      </c>
      <c r="I60" s="37">
        <f t="shared" si="16"/>
        <v>-218079953</v>
      </c>
      <c r="J60" s="37">
        <f t="shared" si="16"/>
        <v>-218944753</v>
      </c>
      <c r="K60" s="37">
        <f t="shared" si="16"/>
        <v>-218366353</v>
      </c>
      <c r="L60" s="37">
        <f t="shared" si="16"/>
        <v>0</v>
      </c>
      <c r="M60" s="37">
        <f t="shared" si="16"/>
        <v>0</v>
      </c>
      <c r="N60" s="37">
        <f t="shared" si="16"/>
        <v>0</v>
      </c>
      <c r="O60" s="37">
        <f t="shared" si="16"/>
        <v>0</v>
      </c>
      <c r="P60" s="37">
        <f t="shared" si="16"/>
        <v>0</v>
      </c>
      <c r="Q60" s="37">
        <f t="shared" si="16"/>
        <v>0</v>
      </c>
      <c r="R60" s="37">
        <f t="shared" si="16"/>
        <v>0</v>
      </c>
      <c r="S60" s="37">
        <f t="shared" si="16"/>
        <v>0</v>
      </c>
      <c r="T60" s="37">
        <f t="shared" si="16"/>
        <v>0</v>
      </c>
      <c r="U60" s="37">
        <f t="shared" si="16"/>
        <v>0</v>
      </c>
      <c r="V60" s="37">
        <f t="shared" si="16"/>
        <v>0</v>
      </c>
      <c r="W60" s="37">
        <f t="shared" si="16"/>
        <v>0</v>
      </c>
      <c r="X60" s="37">
        <f t="shared" si="16"/>
        <v>0</v>
      </c>
      <c r="Y60" s="37">
        <f t="shared" si="16"/>
        <v>0</v>
      </c>
      <c r="Z60" s="37">
        <f t="shared" si="16"/>
        <v>0</v>
      </c>
      <c r="AA60" s="37">
        <f t="shared" si="16"/>
        <v>0</v>
      </c>
      <c r="AB60" s="37">
        <f t="shared" si="16"/>
        <v>0</v>
      </c>
      <c r="AC60" s="37">
        <f t="shared" si="16"/>
        <v>0</v>
      </c>
      <c r="AD60" s="37">
        <f t="shared" si="16"/>
        <v>0</v>
      </c>
    </row>
    <row r="61" spans="3:30" hidden="1" x14ac:dyDescent="0.25">
      <c r="C61" s="3" t="s">
        <v>55</v>
      </c>
      <c r="D61" s="102" t="str">
        <f>+D2</f>
        <v>Flujo de caja del proyecto</v>
      </c>
      <c r="E61" s="3"/>
      <c r="F61" s="59"/>
      <c r="G61" s="55">
        <f>-IF($C$2=402,-'Ppto Financiación'!E20,IF($C$2=403,-'Ppto Financiación'!E32,IF($C$2=404,-'Ppto Financiación'!E41,IF($C$2=405,-'Ppto Financiación'!E50,IF($C$2=406,-'Ppto Financiación'!E59,IF($C$2=407,-'Ppto Financiación'!E68,IF($C$2=408,-'Ppto Financiación'!E78,IF($C$2=409,-'Ppto Financiación'!E88,IF($C$2=410,-'Ppto Financiación'!E99,IF($C$2=411,-'Ppto Financiación'!E110,0))))))))))</f>
        <v>0</v>
      </c>
      <c r="H61" s="55">
        <f>-IF($C$2=402,-'Ppto Financiación'!F20,IF($C$2=403,-'Ppto Financiación'!F32,IF($C$2=404,-'Ppto Financiación'!F41,IF($C$2=405,-'Ppto Financiación'!F50,IF($C$2=406,-'Ppto Financiación'!F59,IF($C$2=407,-'Ppto Financiación'!F68,IF($C$2=408,-'Ppto Financiación'!F78,IF($C$2=409,-'Ppto Financiación'!F88,IF($C$2=410,-'Ppto Financiación'!F99,IF($C$2=411,-'Ppto Financiación'!F110,0))))))))))</f>
        <v>0</v>
      </c>
      <c r="I61" s="55">
        <f>-IF($C$2=402,-'Ppto Financiación'!G20,IF($C$2=403,-'Ppto Financiación'!G32,IF($C$2=404,-'Ppto Financiación'!G41,IF($C$2=405,-'Ppto Financiación'!G50,IF($C$2=406,-'Ppto Financiación'!G59,IF($C$2=407,-'Ppto Financiación'!G68,IF($C$2=408,-'Ppto Financiación'!G78,IF($C$2=409,-'Ppto Financiación'!G88,IF($C$2=410,-'Ppto Financiación'!G99,IF($C$2=411,-'Ppto Financiación'!G110,0))))))))))</f>
        <v>0</v>
      </c>
      <c r="J61" s="55">
        <f>-IF($C$2=402,-'Ppto Financiación'!H20,IF($C$2=403,-'Ppto Financiación'!H32,IF($C$2=404,-'Ppto Financiación'!H41,IF($C$2=405,-'Ppto Financiación'!H50,IF($C$2=406,-'Ppto Financiación'!H59,IF($C$2=407,-'Ppto Financiación'!H68,IF($C$2=408,-'Ppto Financiación'!H78,IF($C$2=409,-'Ppto Financiación'!H88,IF($C$2=410,-'Ppto Financiación'!H99,IF($C$2=411,-'Ppto Financiación'!H110,0))))))))))</f>
        <v>0</v>
      </c>
      <c r="K61" s="55">
        <f>-IF($C$2=402,-'Ppto Financiación'!I20,IF($C$2=403,-'Ppto Financiación'!I32,IF($C$2=404,-'Ppto Financiación'!I41,IF($C$2=405,-'Ppto Financiación'!I50,IF($C$2=406,-'Ppto Financiación'!I59,IF($C$2=407,-'Ppto Financiación'!I68,IF($C$2=408,-'Ppto Financiación'!I78,IF($C$2=409,-'Ppto Financiación'!I88,IF($C$2=410,-'Ppto Financiación'!I99,IF($C$2=411,-'Ppto Financiación'!I110,0))))))))))</f>
        <v>0</v>
      </c>
      <c r="L61" s="55">
        <f>-IF($C$2=402,-'Ppto Financiación'!J20,IF($C$2=403,-'Ppto Financiación'!J32,IF($C$2=404,-'Ppto Financiación'!J41,IF($C$2=405,-'Ppto Financiación'!J50,IF($C$2=406,-'Ppto Financiación'!J59,IF($C$2=407,-'Ppto Financiación'!J68,IF($C$2=408,-'Ppto Financiación'!J78,IF($C$2=409,-'Ppto Financiación'!J88,IF($C$2=410,-'Ppto Financiación'!J99,IF($C$2=411,-'Ppto Financiación'!J110,0))))))))))</f>
        <v>0</v>
      </c>
      <c r="M61" s="55">
        <f>-IF($C$2=402,-'Ppto Financiación'!K20,IF($C$2=403,-'Ppto Financiación'!K32,IF($C$2=404,-'Ppto Financiación'!K41,IF($C$2=405,-'Ppto Financiación'!K50,IF($C$2=406,-'Ppto Financiación'!K59,IF($C$2=407,-'Ppto Financiación'!K68,IF($C$2=408,-'Ppto Financiación'!K78,IF($C$2=409,-'Ppto Financiación'!K88,IF($C$2=410,-'Ppto Financiación'!K99,IF($C$2=411,-'Ppto Financiación'!K110,0))))))))))</f>
        <v>0</v>
      </c>
      <c r="N61" s="55">
        <f>-IF($C$2=402,-'Ppto Financiación'!L20,IF($C$2=403,-'Ppto Financiación'!L32,IF($C$2=404,-'Ppto Financiación'!L41,IF($C$2=405,-'Ppto Financiación'!L50,IF($C$2=406,-'Ppto Financiación'!L59,IF($C$2=407,-'Ppto Financiación'!L68,IF($C$2=408,-'Ppto Financiación'!L78,IF($C$2=409,-'Ppto Financiación'!L88,IF($C$2=410,-'Ppto Financiación'!L99,IF($C$2=411,-'Ppto Financiación'!L110,0))))))))))</f>
        <v>0</v>
      </c>
      <c r="O61" s="55">
        <f>-IF($C$2=402,-'Ppto Financiación'!M20,IF($C$2=403,-'Ppto Financiación'!M32,IF($C$2=404,-'Ppto Financiación'!M41,IF($C$2=405,-'Ppto Financiación'!M50,IF($C$2=406,-'Ppto Financiación'!M59,IF($C$2=407,-'Ppto Financiación'!M68,IF($C$2=408,-'Ppto Financiación'!M78,IF($C$2=409,-'Ppto Financiación'!M88,IF($C$2=410,-'Ppto Financiación'!M99,IF($C$2=411,-'Ppto Financiación'!M110,0))))))))))</f>
        <v>0</v>
      </c>
      <c r="P61" s="55">
        <f>-IF($C$2=402,-'Ppto Financiación'!N20,IF($C$2=403,-'Ppto Financiación'!N32,IF($C$2=404,-'Ppto Financiación'!N41,IF($C$2=405,-'Ppto Financiación'!N50,IF($C$2=406,-'Ppto Financiación'!N59,IF($C$2=407,-'Ppto Financiación'!N68,IF($C$2=408,-'Ppto Financiación'!N78,IF($C$2=409,-'Ppto Financiación'!N88,IF($C$2=410,-'Ppto Financiación'!N99,IF($C$2=411,-'Ppto Financiación'!N110,0))))))))))</f>
        <v>0</v>
      </c>
      <c r="Q61" s="55">
        <f>-IF($C$2=402,-'Ppto Financiación'!O20,IF($C$2=403,-'Ppto Financiación'!O32,IF($C$2=404,-'Ppto Financiación'!O41,IF($C$2=405,-'Ppto Financiación'!O50,IF($C$2=406,-'Ppto Financiación'!O59,IF($C$2=407,-'Ppto Financiación'!O68,IF($C$2=408,-'Ppto Financiación'!O78,IF($C$2=409,-'Ppto Financiación'!O88,IF($C$2=410,-'Ppto Financiación'!O99,IF($C$2=411,-'Ppto Financiación'!O110,0))))))))))</f>
        <v>0</v>
      </c>
      <c r="R61" s="55">
        <f>-IF($C$2=402,-'Ppto Financiación'!P20,IF($C$2=403,-'Ppto Financiación'!P32,IF($C$2=404,-'Ppto Financiación'!P41,IF($C$2=405,-'Ppto Financiación'!P50,IF($C$2=406,-'Ppto Financiación'!P59,IF($C$2=407,-'Ppto Financiación'!P68,IF($C$2=408,-'Ppto Financiación'!P78,IF($C$2=409,-'Ppto Financiación'!P88,IF($C$2=410,-'Ppto Financiación'!P99,IF($C$2=411,-'Ppto Financiación'!P110,0))))))))))</f>
        <v>0</v>
      </c>
      <c r="S61" s="55">
        <f>-IF($C$2=402,-'Ppto Financiación'!Q20,IF($C$2=403,-'Ppto Financiación'!Q32,IF($C$2=404,-'Ppto Financiación'!Q41,IF($C$2=405,-'Ppto Financiación'!Q50,IF($C$2=406,-'Ppto Financiación'!Q59,IF($C$2=407,-'Ppto Financiación'!Q68,IF($C$2=408,-'Ppto Financiación'!Q78,IF($C$2=409,-'Ppto Financiación'!Q88,IF($C$2=410,-'Ppto Financiación'!Q99,IF($C$2=411,-'Ppto Financiación'!Q110,0))))))))))</f>
        <v>0</v>
      </c>
      <c r="T61" s="55">
        <f>-IF($C$2=402,-'Ppto Financiación'!R20,IF($C$2=403,-'Ppto Financiación'!R32,IF($C$2=404,-'Ppto Financiación'!R41,IF($C$2=405,-'Ppto Financiación'!R50,IF($C$2=406,-'Ppto Financiación'!R59,IF($C$2=407,-'Ppto Financiación'!R68,IF($C$2=408,-'Ppto Financiación'!R78,IF($C$2=409,-'Ppto Financiación'!R88,IF($C$2=410,-'Ppto Financiación'!R99,IF($C$2=411,-'Ppto Financiación'!R110,0))))))))))</f>
        <v>0</v>
      </c>
      <c r="U61" s="55">
        <f>-IF($C$2=402,-'Ppto Financiación'!S20,IF($C$2=403,-'Ppto Financiación'!S32,IF($C$2=404,-'Ppto Financiación'!S41,IF($C$2=405,-'Ppto Financiación'!S50,IF($C$2=406,-'Ppto Financiación'!S59,IF($C$2=407,-'Ppto Financiación'!S68,IF($C$2=408,-'Ppto Financiación'!S78,IF($C$2=409,-'Ppto Financiación'!S88,IF($C$2=410,-'Ppto Financiación'!S99,IF($C$2=411,-'Ppto Financiación'!S110,0))))))))))</f>
        <v>0</v>
      </c>
      <c r="V61" s="55">
        <f>-IF($C$2=402,-'Ppto Financiación'!T20,IF($C$2=403,-'Ppto Financiación'!T32,IF($C$2=404,-'Ppto Financiación'!T41,IF($C$2=405,-'Ppto Financiación'!T50,IF($C$2=406,-'Ppto Financiación'!T59,IF($C$2=407,-'Ppto Financiación'!T68,IF($C$2=408,-'Ppto Financiación'!T78,IF($C$2=409,-'Ppto Financiación'!T88,IF($C$2=410,-'Ppto Financiación'!T99,IF($C$2=411,-'Ppto Financiación'!T110,0))))))))))</f>
        <v>0</v>
      </c>
      <c r="W61" s="55">
        <f>-IF($C$2=402,-'Ppto Financiación'!U20,IF($C$2=403,-'Ppto Financiación'!U32,IF($C$2=404,-'Ppto Financiación'!U41,IF($C$2=405,-'Ppto Financiación'!U50,IF($C$2=406,-'Ppto Financiación'!U59,IF($C$2=407,-'Ppto Financiación'!U68,IF($C$2=408,-'Ppto Financiación'!U78,IF($C$2=409,-'Ppto Financiación'!U88,IF($C$2=410,-'Ppto Financiación'!U99,IF($C$2=411,-'Ppto Financiación'!U110,0))))))))))</f>
        <v>0</v>
      </c>
      <c r="X61" s="55">
        <f>-IF($C$2=402,-'Ppto Financiación'!V20,IF($C$2=403,-'Ppto Financiación'!V32,IF($C$2=404,-'Ppto Financiación'!V41,IF($C$2=405,-'Ppto Financiación'!V50,IF($C$2=406,-'Ppto Financiación'!V59,IF($C$2=407,-'Ppto Financiación'!V68,IF($C$2=408,-'Ppto Financiación'!V78,IF($C$2=409,-'Ppto Financiación'!V88,IF($C$2=410,-'Ppto Financiación'!V99,IF($C$2=411,-'Ppto Financiación'!V110,0))))))))))</f>
        <v>0</v>
      </c>
      <c r="Y61" s="55">
        <f>-IF($C$2=402,-'Ppto Financiación'!W20,IF($C$2=403,-'Ppto Financiación'!W32,IF($C$2=404,-'Ppto Financiación'!W41,IF($C$2=405,-'Ppto Financiación'!W50,IF($C$2=406,-'Ppto Financiación'!W59,IF($C$2=407,-'Ppto Financiación'!W68,IF($C$2=408,-'Ppto Financiación'!W78,IF($C$2=409,-'Ppto Financiación'!W88,IF($C$2=410,-'Ppto Financiación'!W99,IF($C$2=411,-'Ppto Financiación'!W110,0))))))))))</f>
        <v>0</v>
      </c>
      <c r="Z61" s="55">
        <f>-IF($C$2=402,-'Ppto Financiación'!X20,IF($C$2=403,-'Ppto Financiación'!X32,IF($C$2=404,-'Ppto Financiación'!X41,IF($C$2=405,-'Ppto Financiación'!X50,IF($C$2=406,-'Ppto Financiación'!X59,IF($C$2=407,-'Ppto Financiación'!X68,IF($C$2=408,-'Ppto Financiación'!X78,IF($C$2=409,-'Ppto Financiación'!X88,IF($C$2=410,-'Ppto Financiación'!X99,IF($C$2=411,-'Ppto Financiación'!X110,0))))))))))</f>
        <v>0</v>
      </c>
      <c r="AA61" s="55">
        <f>-IF($C$2=402,-'Ppto Financiación'!Y20,IF($C$2=403,-'Ppto Financiación'!Y32,IF($C$2=404,-'Ppto Financiación'!Y41,IF($C$2=405,-'Ppto Financiación'!Y50,IF($C$2=406,-'Ppto Financiación'!Y59,IF($C$2=407,-'Ppto Financiación'!Y68,IF($C$2=408,-'Ppto Financiación'!Y78,IF($C$2=409,-'Ppto Financiación'!Y88,IF($C$2=410,-'Ppto Financiación'!Y99,IF($C$2=411,-'Ppto Financiación'!Y110,0))))))))))</f>
        <v>0</v>
      </c>
      <c r="AB61" s="55">
        <f>-IF($C$2=402,-'Ppto Financiación'!Z20,IF($C$2=403,-'Ppto Financiación'!Z32,IF($C$2=404,-'Ppto Financiación'!Z41,IF($C$2=405,-'Ppto Financiación'!Z50,IF($C$2=406,-'Ppto Financiación'!Z59,IF($C$2=407,-'Ppto Financiación'!Z68,IF($C$2=408,-'Ppto Financiación'!Z78,IF($C$2=409,-'Ppto Financiación'!Z88,IF($C$2=410,-'Ppto Financiación'!Z99,IF($C$2=411,-'Ppto Financiación'!Z110,0))))))))))</f>
        <v>0</v>
      </c>
      <c r="AC61" s="55">
        <f>-IF($C$2=402,-'Ppto Financiación'!AA20,IF($C$2=403,-'Ppto Financiación'!AA32,IF($C$2=404,-'Ppto Financiación'!AA41,IF($C$2=405,-'Ppto Financiación'!AA50,IF($C$2=406,-'Ppto Financiación'!AA59,IF($C$2=407,-'Ppto Financiación'!AA68,IF($C$2=408,-'Ppto Financiación'!AA78,IF($C$2=409,-'Ppto Financiación'!AA88,IF($C$2=410,-'Ppto Financiación'!AA99,IF($C$2=411,-'Ppto Financiación'!AA110,0))))))))))</f>
        <v>0</v>
      </c>
      <c r="AD61" s="55">
        <f>-IF($C$2=402,-'Ppto Financiación'!AB20,IF($C$2=403,-'Ppto Financiación'!AB32,IF($C$2=404,-'Ppto Financiación'!AB41,IF($C$2=405,-'Ppto Financiación'!AB50,IF($C$2=406,-'Ppto Financiación'!AB59,IF($C$2=407,-'Ppto Financiación'!AB68,IF($C$2=408,-'Ppto Financiación'!AB78,IF($C$2=409,-'Ppto Financiación'!AB88,IF($C$2=410,-'Ppto Financiación'!AB99,IF($C$2=411,-'Ppto Financiación'!AB110,0))))))))))</f>
        <v>0</v>
      </c>
    </row>
    <row r="62" spans="3:30" hidden="1" x14ac:dyDescent="0.25">
      <c r="C62" s="3"/>
      <c r="D62" s="102"/>
      <c r="E62" s="3"/>
      <c r="F62" s="59"/>
      <c r="G62" s="55" t="s">
        <v>326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</row>
    <row r="63" spans="3:30" hidden="1" x14ac:dyDescent="0.25">
      <c r="C63" s="3" t="s">
        <v>128</v>
      </c>
      <c r="D63" s="102"/>
      <c r="E63" s="3"/>
      <c r="F63" s="55">
        <f>'Ppto Ing'!D96</f>
        <v>0</v>
      </c>
      <c r="G63" s="55">
        <f>'Ppto Ing'!E96</f>
        <v>0</v>
      </c>
      <c r="H63" s="55">
        <f>'Ppto Ing'!F96</f>
        <v>0</v>
      </c>
      <c r="I63" s="55">
        <f>'Ppto Ing'!G96</f>
        <v>0</v>
      </c>
      <c r="J63" s="55">
        <f>'Ppto Ing'!H96</f>
        <v>0</v>
      </c>
      <c r="K63" s="55">
        <f>'Ppto Ing'!I96</f>
        <v>0</v>
      </c>
      <c r="L63" s="55">
        <f>'Ppto Ing'!J96</f>
        <v>0</v>
      </c>
      <c r="M63" s="55">
        <f>'Ppto Ing'!K96</f>
        <v>0</v>
      </c>
      <c r="N63" s="55">
        <f>'Ppto Ing'!L96</f>
        <v>0</v>
      </c>
      <c r="O63" s="55">
        <f>'Ppto Ing'!M96</f>
        <v>0</v>
      </c>
      <c r="P63" s="55">
        <f>'Ppto Ing'!N96</f>
        <v>0</v>
      </c>
      <c r="Q63" s="55">
        <f>'Ppto Ing'!O96</f>
        <v>0</v>
      </c>
      <c r="R63" s="55">
        <f>'Ppto Ing'!P96</f>
        <v>0</v>
      </c>
      <c r="S63" s="55">
        <f>'Ppto Ing'!Q96</f>
        <v>0</v>
      </c>
      <c r="T63" s="55">
        <f>'Ppto Ing'!R96</f>
        <v>0</v>
      </c>
      <c r="U63" s="55">
        <f>'Ppto Ing'!S96</f>
        <v>0</v>
      </c>
      <c r="V63" s="55">
        <f>'Ppto Ing'!T96</f>
        <v>0</v>
      </c>
      <c r="W63" s="55">
        <f>'Ppto Ing'!U96</f>
        <v>0</v>
      </c>
      <c r="X63" s="55">
        <f>'Ppto Ing'!V96</f>
        <v>0</v>
      </c>
      <c r="Y63" s="55">
        <f>'Ppto Ing'!W96</f>
        <v>0</v>
      </c>
      <c r="Z63" s="55">
        <f>'Ppto Ing'!X96</f>
        <v>0</v>
      </c>
      <c r="AA63" s="55">
        <f>'Ppto Ing'!Y96</f>
        <v>0</v>
      </c>
      <c r="AB63" s="55">
        <f>'Ppto Ing'!Z96</f>
        <v>0</v>
      </c>
      <c r="AC63" s="55">
        <f>'Ppto Ing'!AA96</f>
        <v>0</v>
      </c>
      <c r="AD63" s="55">
        <f>'Ppto Ing'!AB96</f>
        <v>0</v>
      </c>
    </row>
    <row r="64" spans="3:30" hidden="1" x14ac:dyDescent="0.25">
      <c r="C64" s="3" t="s">
        <v>129</v>
      </c>
      <c r="D64" s="102"/>
      <c r="E64" s="3"/>
      <c r="F64" s="59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</row>
    <row r="65" spans="3:30" hidden="1" x14ac:dyDescent="0.25">
      <c r="C65" s="3"/>
      <c r="D65" s="102"/>
      <c r="E65" s="3"/>
      <c r="F65" s="59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</row>
    <row r="66" spans="3:30" hidden="1" x14ac:dyDescent="0.25">
      <c r="C66" s="56" t="s">
        <v>370</v>
      </c>
      <c r="D66" s="56"/>
      <c r="E66" s="57"/>
      <c r="F66" s="37">
        <f>SUM(F61:F65)</f>
        <v>0</v>
      </c>
      <c r="G66" s="37">
        <f>+G60-G61+G63-G64</f>
        <v>-211784943</v>
      </c>
      <c r="H66" s="37">
        <f>+H60-H61+H63-H64</f>
        <v>-216673953</v>
      </c>
      <c r="I66" s="37">
        <f>+I60-I61+I63-I64</f>
        <v>-218079953</v>
      </c>
      <c r="J66" s="37">
        <f>+J60-J61+J63-J64</f>
        <v>-218944753</v>
      </c>
      <c r="K66" s="37">
        <f>+K60-K61+K63-K64</f>
        <v>-218366353</v>
      </c>
      <c r="L66" s="37">
        <f>+L60-L61+L63-L64</f>
        <v>0</v>
      </c>
      <c r="M66" s="37">
        <f>+M60-M61+M63-M64</f>
        <v>0</v>
      </c>
      <c r="N66" s="37">
        <f>+N60-N61+N63-N64</f>
        <v>0</v>
      </c>
      <c r="O66" s="37">
        <f>+O60-O61+O63-O64</f>
        <v>0</v>
      </c>
      <c r="P66" s="37">
        <f>+P60-P61+P63-P64</f>
        <v>0</v>
      </c>
      <c r="Q66" s="37">
        <f>+Q60-Q61+Q63-Q64</f>
        <v>0</v>
      </c>
      <c r="R66" s="37">
        <f>+R60-R61+R63-R64</f>
        <v>0</v>
      </c>
      <c r="S66" s="37">
        <f>+S60-S61+S63-S64</f>
        <v>0</v>
      </c>
      <c r="T66" s="37">
        <f>+T60-T61+T63-T64</f>
        <v>0</v>
      </c>
      <c r="U66" s="37">
        <f>+U60-U61+U63-U64</f>
        <v>0</v>
      </c>
      <c r="V66" s="37">
        <f>+V60-V61+V63-V64</f>
        <v>0</v>
      </c>
      <c r="W66" s="37">
        <f>+W60-W61+W63-W64</f>
        <v>0</v>
      </c>
      <c r="X66" s="37">
        <f>+X60-X61+X63-X64</f>
        <v>0</v>
      </c>
      <c r="Y66" s="37">
        <f>+Y60-Y61+Y63-Y64</f>
        <v>0</v>
      </c>
      <c r="Z66" s="37">
        <f>+Z60-Z61+Z63-Z64</f>
        <v>0</v>
      </c>
      <c r="AA66" s="37">
        <f>+AA60-AA61+AA63-AA64</f>
        <v>0</v>
      </c>
      <c r="AB66" s="37">
        <f>+AB60-AB61+AB63-AB64</f>
        <v>0</v>
      </c>
      <c r="AC66" s="37">
        <f>+AC60-AC61+AC63-AC64</f>
        <v>0</v>
      </c>
      <c r="AD66" s="37">
        <f>+AD60-AD61+AD63-AD64</f>
        <v>0</v>
      </c>
    </row>
    <row r="67" spans="3:30" ht="15" customHeight="1" x14ac:dyDescent="0.25">
      <c r="C67" s="50" t="s">
        <v>24</v>
      </c>
      <c r="D67" s="60"/>
      <c r="E67" s="61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</row>
    <row r="68" spans="3:30" ht="15" hidden="1" customHeight="1" x14ac:dyDescent="0.25">
      <c r="C68" s="60"/>
      <c r="D68" s="60"/>
      <c r="E68" s="61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</row>
    <row r="69" spans="3:30" ht="15" hidden="1" customHeight="1" x14ac:dyDescent="0.25">
      <c r="C69" s="60" t="s">
        <v>139</v>
      </c>
      <c r="D69" s="113"/>
      <c r="E69" s="61"/>
      <c r="F69" s="55"/>
      <c r="G69" s="55">
        <f>IF(G$66&lt;0,0,(G$66*$D69))</f>
        <v>0</v>
      </c>
      <c r="H69" s="55">
        <f t="shared" ref="H69:AD69" si="17">IF(H$66&lt;0,0,(H$66*$D69))</f>
        <v>0</v>
      </c>
      <c r="I69" s="55">
        <f t="shared" si="17"/>
        <v>0</v>
      </c>
      <c r="J69" s="55">
        <f t="shared" si="17"/>
        <v>0</v>
      </c>
      <c r="K69" s="55">
        <f t="shared" si="17"/>
        <v>0</v>
      </c>
      <c r="L69" s="55">
        <f t="shared" si="17"/>
        <v>0</v>
      </c>
      <c r="M69" s="55">
        <f t="shared" si="17"/>
        <v>0</v>
      </c>
      <c r="N69" s="55">
        <f t="shared" si="17"/>
        <v>0</v>
      </c>
      <c r="O69" s="55">
        <f t="shared" si="17"/>
        <v>0</v>
      </c>
      <c r="P69" s="55">
        <f t="shared" si="17"/>
        <v>0</v>
      </c>
      <c r="Q69" s="55">
        <f t="shared" si="17"/>
        <v>0</v>
      </c>
      <c r="R69" s="55">
        <f t="shared" si="17"/>
        <v>0</v>
      </c>
      <c r="S69" s="55">
        <f t="shared" si="17"/>
        <v>0</v>
      </c>
      <c r="T69" s="55">
        <f t="shared" si="17"/>
        <v>0</v>
      </c>
      <c r="U69" s="55">
        <f t="shared" si="17"/>
        <v>0</v>
      </c>
      <c r="V69" s="55">
        <f t="shared" si="17"/>
        <v>0</v>
      </c>
      <c r="W69" s="55">
        <f t="shared" si="17"/>
        <v>0</v>
      </c>
      <c r="X69" s="55">
        <f t="shared" si="17"/>
        <v>0</v>
      </c>
      <c r="Y69" s="55">
        <f t="shared" si="17"/>
        <v>0</v>
      </c>
      <c r="Z69" s="55">
        <f t="shared" si="17"/>
        <v>0</v>
      </c>
      <c r="AA69" s="55">
        <f t="shared" si="17"/>
        <v>0</v>
      </c>
      <c r="AB69" s="55">
        <f t="shared" si="17"/>
        <v>0</v>
      </c>
      <c r="AC69" s="55">
        <f t="shared" si="17"/>
        <v>0</v>
      </c>
      <c r="AD69" s="55">
        <f t="shared" si="17"/>
        <v>0</v>
      </c>
    </row>
    <row r="70" spans="3:30" ht="15" hidden="1" customHeight="1" x14ac:dyDescent="0.25">
      <c r="C70" s="60"/>
      <c r="D70" s="113"/>
      <c r="E70" s="61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</row>
    <row r="71" spans="3:30" ht="15" hidden="1" customHeight="1" x14ac:dyDescent="0.25">
      <c r="C71" s="60"/>
      <c r="D71" s="113"/>
      <c r="E71" s="61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</row>
    <row r="72" spans="3:30" x14ac:dyDescent="0.25">
      <c r="C72" s="52" t="s">
        <v>371</v>
      </c>
      <c r="D72" s="52"/>
      <c r="E72" s="52"/>
      <c r="F72" s="37">
        <f>F66+F69+F70</f>
        <v>0</v>
      </c>
      <c r="G72" s="37">
        <f>G66-G69</f>
        <v>-211784943</v>
      </c>
      <c r="H72" s="37">
        <f t="shared" ref="H72:AD72" si="18">H66-H69</f>
        <v>-216673953</v>
      </c>
      <c r="I72" s="37">
        <f t="shared" si="18"/>
        <v>-218079953</v>
      </c>
      <c r="J72" s="37">
        <f t="shared" si="18"/>
        <v>-218944753</v>
      </c>
      <c r="K72" s="37">
        <f t="shared" si="18"/>
        <v>-218366353</v>
      </c>
      <c r="L72" s="37">
        <f t="shared" si="18"/>
        <v>0</v>
      </c>
      <c r="M72" s="37">
        <f t="shared" si="18"/>
        <v>0</v>
      </c>
      <c r="N72" s="37">
        <f t="shared" si="18"/>
        <v>0</v>
      </c>
      <c r="O72" s="37">
        <f t="shared" si="18"/>
        <v>0</v>
      </c>
      <c r="P72" s="37">
        <f t="shared" si="18"/>
        <v>0</v>
      </c>
      <c r="Q72" s="37">
        <f t="shared" si="18"/>
        <v>0</v>
      </c>
      <c r="R72" s="37">
        <f t="shared" si="18"/>
        <v>0</v>
      </c>
      <c r="S72" s="37">
        <f t="shared" si="18"/>
        <v>0</v>
      </c>
      <c r="T72" s="37">
        <f t="shared" si="18"/>
        <v>0</v>
      </c>
      <c r="U72" s="37">
        <f t="shared" si="18"/>
        <v>0</v>
      </c>
      <c r="V72" s="37">
        <f t="shared" si="18"/>
        <v>0</v>
      </c>
      <c r="W72" s="37">
        <f t="shared" si="18"/>
        <v>0</v>
      </c>
      <c r="X72" s="37">
        <f t="shared" si="18"/>
        <v>0</v>
      </c>
      <c r="Y72" s="37">
        <f t="shared" si="18"/>
        <v>0</v>
      </c>
      <c r="Z72" s="37">
        <f t="shared" si="18"/>
        <v>0</v>
      </c>
      <c r="AA72" s="37">
        <f t="shared" si="18"/>
        <v>0</v>
      </c>
      <c r="AB72" s="37">
        <f t="shared" si="18"/>
        <v>0</v>
      </c>
      <c r="AC72" s="37">
        <f t="shared" si="18"/>
        <v>0</v>
      </c>
      <c r="AD72" s="37">
        <f t="shared" si="18"/>
        <v>0</v>
      </c>
    </row>
    <row r="73" spans="3:30" x14ac:dyDescent="0.25">
      <c r="C73" s="112"/>
      <c r="D73" s="112"/>
      <c r="E73" s="60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</row>
    <row r="74" spans="3:30" x14ac:dyDescent="0.25">
      <c r="C74" s="62" t="s">
        <v>372</v>
      </c>
      <c r="D74" s="62"/>
      <c r="E74" s="60"/>
      <c r="F74" s="55">
        <f>-F57</f>
        <v>0</v>
      </c>
      <c r="G74" s="55">
        <f>G57</f>
        <v>13557953</v>
      </c>
      <c r="H74" s="55">
        <f>H57</f>
        <v>13557953</v>
      </c>
      <c r="I74" s="55">
        <f>I57</f>
        <v>13557953</v>
      </c>
      <c r="J74" s="55">
        <f>J57</f>
        <v>13557953</v>
      </c>
      <c r="K74" s="55">
        <f>K57</f>
        <v>13557953</v>
      </c>
      <c r="L74" s="55">
        <f>L57</f>
        <v>0</v>
      </c>
      <c r="M74" s="55">
        <f>M57</f>
        <v>0</v>
      </c>
      <c r="N74" s="55">
        <f>N57</f>
        <v>0</v>
      </c>
      <c r="O74" s="55">
        <f>O57</f>
        <v>0</v>
      </c>
      <c r="P74" s="55">
        <f>P57</f>
        <v>0</v>
      </c>
      <c r="Q74" s="55">
        <f>Q57</f>
        <v>0</v>
      </c>
      <c r="R74" s="55">
        <f>R57</f>
        <v>0</v>
      </c>
      <c r="S74" s="55">
        <f>S57</f>
        <v>0</v>
      </c>
      <c r="T74" s="55">
        <f>T57</f>
        <v>0</v>
      </c>
      <c r="U74" s="55">
        <f>U57</f>
        <v>0</v>
      </c>
      <c r="V74" s="55">
        <f>V57</f>
        <v>0</v>
      </c>
      <c r="W74" s="55">
        <f>W57</f>
        <v>0</v>
      </c>
      <c r="X74" s="55">
        <f>X57</f>
        <v>0</v>
      </c>
      <c r="Y74" s="55">
        <f>Y57</f>
        <v>0</v>
      </c>
      <c r="Z74" s="55">
        <f>Z57</f>
        <v>0</v>
      </c>
      <c r="AA74" s="55">
        <f>AA57</f>
        <v>0</v>
      </c>
      <c r="AB74" s="55">
        <f>AB57</f>
        <v>0</v>
      </c>
      <c r="AC74" s="55">
        <f>AC57</f>
        <v>0</v>
      </c>
      <c r="AD74" s="55">
        <f>AD57</f>
        <v>0</v>
      </c>
    </row>
    <row r="75" spans="3:30" hidden="1" x14ac:dyDescent="0.25">
      <c r="C75" s="58" t="s">
        <v>57</v>
      </c>
      <c r="D75" s="58"/>
      <c r="E75" s="3"/>
      <c r="F75" s="36">
        <f>IF(C2=401,0,'Ppto Financiación'!D13)</f>
        <v>0</v>
      </c>
      <c r="G75" s="36">
        <f>IF(D2=401,0,'Ppto Financiación'!E13)</f>
        <v>0</v>
      </c>
      <c r="H75" s="36">
        <f>IF(E2=401,0,'Ppto Financiación'!F13)</f>
        <v>0</v>
      </c>
      <c r="I75" s="36">
        <f>IF(F2=401,0,'Ppto Financiación'!G13)</f>
        <v>0</v>
      </c>
      <c r="J75" s="36">
        <f>IF(G2=401,0,'Ppto Financiación'!H13)</f>
        <v>0</v>
      </c>
      <c r="K75" s="36">
        <f>IF(H2=401,0,'Ppto Financiación'!I13)</f>
        <v>0</v>
      </c>
      <c r="L75" s="36">
        <f>IF(I2=401,0,'Ppto Financiación'!J13)</f>
        <v>0</v>
      </c>
      <c r="M75" s="36">
        <f>IF(J2=401,0,'Ppto Financiación'!K13)</f>
        <v>0</v>
      </c>
      <c r="N75" s="36">
        <f>IF(K2=401,0,'Ppto Financiación'!L13)</f>
        <v>0</v>
      </c>
      <c r="O75" s="36">
        <f>IF(L2=401,0,'Ppto Financiación'!M13)</f>
        <v>0</v>
      </c>
      <c r="P75" s="36">
        <f>IF(M2=401,0,'Ppto Financiación'!N13)</f>
        <v>0</v>
      </c>
      <c r="Q75" s="36">
        <f>IF(N2=401,0,'Ppto Financiación'!O13)</f>
        <v>0</v>
      </c>
      <c r="R75" s="36">
        <f>IF(O2=401,0,'Ppto Financiación'!P13)</f>
        <v>0</v>
      </c>
      <c r="S75" s="36">
        <f>IF(P2=401,0,'Ppto Financiación'!Q13)</f>
        <v>0</v>
      </c>
      <c r="T75" s="36">
        <f>IF(Q2=401,0,'Ppto Financiación'!R13)</f>
        <v>0</v>
      </c>
      <c r="U75" s="36">
        <f>IF(R2=401,0,'Ppto Financiación'!S13)</f>
        <v>0</v>
      </c>
      <c r="V75" s="36">
        <f>IF(S2=401,0,'Ppto Financiación'!T13)</f>
        <v>0</v>
      </c>
      <c r="W75" s="36">
        <f>IF(T2=401,0,'Ppto Financiación'!U13)</f>
        <v>0</v>
      </c>
      <c r="X75" s="36">
        <f>IF(U2=401,0,'Ppto Financiación'!V13)</f>
        <v>0</v>
      </c>
      <c r="Y75" s="36">
        <f>IF(V2=401,0,'Ppto Financiación'!W13)</f>
        <v>0</v>
      </c>
      <c r="Z75" s="36">
        <f>IF(W2=401,0,'Ppto Financiación'!X13)</f>
        <v>0</v>
      </c>
      <c r="AA75" s="36">
        <f>IF(X2=401,0,'Ppto Financiación'!Y13)</f>
        <v>0</v>
      </c>
      <c r="AB75" s="36">
        <f>IF(Y2=401,0,'Ppto Financiación'!Z13)</f>
        <v>0</v>
      </c>
      <c r="AC75" s="36">
        <f>IF(Z2=401,0,'Ppto Financiación'!AA13)</f>
        <v>0</v>
      </c>
      <c r="AD75" s="36">
        <f>IF(AA2=401,0,'Ppto Financiación'!AB13)</f>
        <v>0</v>
      </c>
    </row>
    <row r="76" spans="3:30" hidden="1" x14ac:dyDescent="0.25">
      <c r="C76" s="58" t="s">
        <v>60</v>
      </c>
      <c r="D76" s="102" t="str">
        <f>+D2</f>
        <v>Flujo de caja del proyecto</v>
      </c>
      <c r="F76" s="3"/>
      <c r="G76" s="55">
        <f>-(IF($C$2=402,-'Ppto Financiación'!E19,IF($C$2=403,-'Ppto Financiación'!E31,IF($C$2=404,-'Ppto Financiación'!E40,IF($C$2=405,-'Ppto Financiación'!E49,IF($C$2=406,-'Ppto Financiación'!E58,IF($C$2=407,-'Ppto Financiación'!E67,IF($C$2=408,-'Ppto Financiación'!E77,IF($C$2=409,-'Ppto Financiación'!E87,IF($C$2=410,-'Ppto Financiación'!E98-'Ppto Financiación'!E101,IF($C$2=411,-'Ppto Financiación'!E109,0)))))))))))</f>
        <v>0</v>
      </c>
      <c r="H76" s="55">
        <f>-(IF($C$2=402,-'Ppto Financiación'!F19,IF($C$2=403,-'Ppto Financiación'!F31,IF($C$2=404,-'Ppto Financiación'!F40,IF($C$2=405,-'Ppto Financiación'!F49,IF($C$2=406,-'Ppto Financiación'!F58,IF($C$2=407,-'Ppto Financiación'!F67,IF($C$2=408,-'Ppto Financiación'!F77,IF($C$2=409,-'Ppto Financiación'!F87,IF($C$2=410,-'Ppto Financiación'!F98-'Ppto Financiación'!F101,IF($C$2=411,-'Ppto Financiación'!F109,0)))))))))))</f>
        <v>0</v>
      </c>
      <c r="I76" s="55">
        <f>-(IF($C$2=402,-'Ppto Financiación'!G19,IF($C$2=403,-'Ppto Financiación'!G31,IF($C$2=404,-'Ppto Financiación'!G40,IF($C$2=405,-'Ppto Financiación'!G49,IF($C$2=406,-'Ppto Financiación'!G58,IF($C$2=407,-'Ppto Financiación'!G67,IF($C$2=408,-'Ppto Financiación'!G77,IF($C$2=409,-'Ppto Financiación'!G87,IF($C$2=410,-'Ppto Financiación'!G98-'Ppto Financiación'!G101,IF($C$2=411,-'Ppto Financiación'!G109,0)))))))))))</f>
        <v>0</v>
      </c>
      <c r="J76" s="55">
        <f>-(IF($C$2=402,-'Ppto Financiación'!H19,IF($C$2=403,-'Ppto Financiación'!H31,IF($C$2=404,-'Ppto Financiación'!H40,IF($C$2=405,-'Ppto Financiación'!H49,IF($C$2=406,-'Ppto Financiación'!H58,IF($C$2=407,-'Ppto Financiación'!H67,IF($C$2=408,-'Ppto Financiación'!H77,IF($C$2=409,-'Ppto Financiación'!H87,IF($C$2=410,-'Ppto Financiación'!H98-'Ppto Financiación'!H101,IF($C$2=411,-'Ppto Financiación'!H109,0)))))))))))</f>
        <v>0</v>
      </c>
      <c r="K76" s="55">
        <f>-(IF($C$2=402,-'Ppto Financiación'!I19,IF($C$2=403,-'Ppto Financiación'!I31,IF($C$2=404,-'Ppto Financiación'!I40,IF($C$2=405,-'Ppto Financiación'!I49,IF($C$2=406,-'Ppto Financiación'!I58,IF($C$2=407,-'Ppto Financiación'!I67,IF($C$2=408,-'Ppto Financiación'!I77,IF($C$2=409,-'Ppto Financiación'!I87,IF($C$2=410,-'Ppto Financiación'!I98-'Ppto Financiación'!I101,IF($C$2=411,-'Ppto Financiación'!I109,0)))))))))))</f>
        <v>0</v>
      </c>
      <c r="L76" s="55">
        <f>-(IF($C$2=402,-'Ppto Financiación'!J19,IF($C$2=403,-'Ppto Financiación'!J31,IF($C$2=404,-'Ppto Financiación'!J40,IF($C$2=405,-'Ppto Financiación'!J49,IF($C$2=406,-'Ppto Financiación'!J58,IF($C$2=407,-'Ppto Financiación'!J67,IF($C$2=408,-'Ppto Financiación'!J77,IF($C$2=409,-'Ppto Financiación'!J87,IF($C$2=410,-'Ppto Financiación'!J98-'Ppto Financiación'!J101,IF($C$2=411,-'Ppto Financiación'!J109,0)))))))))))</f>
        <v>0</v>
      </c>
      <c r="M76" s="55">
        <f>-(IF($C$2=402,-'Ppto Financiación'!K19,IF($C$2=403,-'Ppto Financiación'!K31,IF($C$2=404,-'Ppto Financiación'!K40,IF($C$2=405,-'Ppto Financiación'!K49,IF($C$2=406,-'Ppto Financiación'!K58,IF($C$2=407,-'Ppto Financiación'!K67,IF($C$2=408,-'Ppto Financiación'!K77,IF($C$2=409,-'Ppto Financiación'!K87,IF($C$2=410,-'Ppto Financiación'!K98-'Ppto Financiación'!K101,IF($C$2=411,-'Ppto Financiación'!K109,0)))))))))))</f>
        <v>0</v>
      </c>
      <c r="N76" s="55">
        <f>-(IF($C$2=402,-'Ppto Financiación'!L19,IF($C$2=403,-'Ppto Financiación'!L31,IF($C$2=404,-'Ppto Financiación'!L40,IF($C$2=405,-'Ppto Financiación'!L49,IF($C$2=406,-'Ppto Financiación'!L58,IF($C$2=407,-'Ppto Financiación'!L67,IF($C$2=408,-'Ppto Financiación'!L77,IF($C$2=409,-'Ppto Financiación'!L87,IF($C$2=410,-'Ppto Financiación'!L98-'Ppto Financiación'!L101,IF($C$2=411,-'Ppto Financiación'!L109,0)))))))))))</f>
        <v>0</v>
      </c>
      <c r="O76" s="55">
        <f>-(IF($C$2=402,-'Ppto Financiación'!M19,IF($C$2=403,-'Ppto Financiación'!M31,IF($C$2=404,-'Ppto Financiación'!M40,IF($C$2=405,-'Ppto Financiación'!M49,IF($C$2=406,-'Ppto Financiación'!M58,IF($C$2=407,-'Ppto Financiación'!M67,IF($C$2=408,-'Ppto Financiación'!M77,IF($C$2=409,-'Ppto Financiación'!M87,IF($C$2=410,-'Ppto Financiación'!M98-'Ppto Financiación'!M101,IF($C$2=411,-'Ppto Financiación'!M109,0)))))))))))</f>
        <v>0</v>
      </c>
      <c r="P76" s="55">
        <f>-(IF($C$2=402,-'Ppto Financiación'!N19,IF($C$2=403,-'Ppto Financiación'!N31,IF($C$2=404,-'Ppto Financiación'!N40,IF($C$2=405,-'Ppto Financiación'!N49,IF($C$2=406,-'Ppto Financiación'!N58,IF($C$2=407,-'Ppto Financiación'!N67,IF($C$2=408,-'Ppto Financiación'!N77,IF($C$2=409,-'Ppto Financiación'!N87,IF($C$2=410,-'Ppto Financiación'!N98-'Ppto Financiación'!N101,IF($C$2=411,-'Ppto Financiación'!N109,0)))))))))))</f>
        <v>0</v>
      </c>
      <c r="Q76" s="55">
        <f>-(IF($C$2=402,-'Ppto Financiación'!O19,IF($C$2=403,-'Ppto Financiación'!O31,IF($C$2=404,-'Ppto Financiación'!O40,IF($C$2=405,-'Ppto Financiación'!O49,IF($C$2=406,-'Ppto Financiación'!O58,IF($C$2=407,-'Ppto Financiación'!O67,IF($C$2=408,-'Ppto Financiación'!O77,IF($C$2=409,-'Ppto Financiación'!O87,IF($C$2=410,-'Ppto Financiación'!O98-'Ppto Financiación'!O101,IF($C$2=411,-'Ppto Financiación'!O109,0)))))))))))</f>
        <v>0</v>
      </c>
      <c r="R76" s="55">
        <f>-(IF($C$2=402,-'Ppto Financiación'!P19,IF($C$2=403,-'Ppto Financiación'!P31,IF($C$2=404,-'Ppto Financiación'!P40,IF($C$2=405,-'Ppto Financiación'!P49,IF($C$2=406,-'Ppto Financiación'!P58,IF($C$2=407,-'Ppto Financiación'!P67,IF($C$2=408,-'Ppto Financiación'!P77,IF($C$2=409,-'Ppto Financiación'!P87,IF($C$2=410,-'Ppto Financiación'!P98-'Ppto Financiación'!P101,IF($C$2=411,-'Ppto Financiación'!P109,0)))))))))))</f>
        <v>0</v>
      </c>
      <c r="S76" s="55">
        <f>-(IF($C$2=402,-'Ppto Financiación'!Q19,IF($C$2=403,-'Ppto Financiación'!Q31,IF($C$2=404,-'Ppto Financiación'!Q40,IF($C$2=405,-'Ppto Financiación'!Q49,IF($C$2=406,-'Ppto Financiación'!Q58,IF($C$2=407,-'Ppto Financiación'!Q67,IF($C$2=408,-'Ppto Financiación'!Q77,IF($C$2=409,-'Ppto Financiación'!Q87,IF($C$2=410,-'Ppto Financiación'!Q98-'Ppto Financiación'!Q101,IF($C$2=411,-'Ppto Financiación'!Q109,0)))))))))))</f>
        <v>0</v>
      </c>
      <c r="T76" s="55">
        <f>-(IF($C$2=402,-'Ppto Financiación'!R19,IF($C$2=403,-'Ppto Financiación'!R31,IF($C$2=404,-'Ppto Financiación'!R40,IF($C$2=405,-'Ppto Financiación'!R49,IF($C$2=406,-'Ppto Financiación'!R58,IF($C$2=407,-'Ppto Financiación'!R67,IF($C$2=408,-'Ppto Financiación'!R77,IF($C$2=409,-'Ppto Financiación'!R87,IF($C$2=410,-'Ppto Financiación'!R98-'Ppto Financiación'!R101,IF($C$2=411,-'Ppto Financiación'!R109,0)))))))))))</f>
        <v>0</v>
      </c>
      <c r="U76" s="55">
        <f>-(IF($C$2=402,-'Ppto Financiación'!S19,IF($C$2=403,-'Ppto Financiación'!S31,IF($C$2=404,-'Ppto Financiación'!S40,IF($C$2=405,-'Ppto Financiación'!S49,IF($C$2=406,-'Ppto Financiación'!S58,IF($C$2=407,-'Ppto Financiación'!S67,IF($C$2=408,-'Ppto Financiación'!S77,IF($C$2=409,-'Ppto Financiación'!S87,IF($C$2=410,-'Ppto Financiación'!S98-'Ppto Financiación'!S101,IF($C$2=411,-'Ppto Financiación'!S109,0)))))))))))</f>
        <v>0</v>
      </c>
      <c r="V76" s="55">
        <f>-(IF($C$2=402,-'Ppto Financiación'!T19,IF($C$2=403,-'Ppto Financiación'!T31,IF($C$2=404,-'Ppto Financiación'!T40,IF($C$2=405,-'Ppto Financiación'!T49,IF($C$2=406,-'Ppto Financiación'!T58,IF($C$2=407,-'Ppto Financiación'!T67,IF($C$2=408,-'Ppto Financiación'!T77,IF($C$2=409,-'Ppto Financiación'!T87,IF($C$2=410,-'Ppto Financiación'!T98-'Ppto Financiación'!T101,IF($C$2=411,-'Ppto Financiación'!T109,0)))))))))))</f>
        <v>0</v>
      </c>
      <c r="W76" s="55">
        <f>-(IF($C$2=402,-'Ppto Financiación'!U19,IF($C$2=403,-'Ppto Financiación'!U31,IF($C$2=404,-'Ppto Financiación'!U40,IF($C$2=405,-'Ppto Financiación'!U49,IF($C$2=406,-'Ppto Financiación'!U58,IF($C$2=407,-'Ppto Financiación'!U67,IF($C$2=408,-'Ppto Financiación'!U77,IF($C$2=409,-'Ppto Financiación'!U87,IF($C$2=410,-'Ppto Financiación'!U98-'Ppto Financiación'!U101,IF($C$2=411,-'Ppto Financiación'!U109,0)))))))))))</f>
        <v>0</v>
      </c>
      <c r="X76" s="55">
        <f>-(IF($C$2=402,-'Ppto Financiación'!V19,IF($C$2=403,-'Ppto Financiación'!V31,IF($C$2=404,-'Ppto Financiación'!V40,IF($C$2=405,-'Ppto Financiación'!V49,IF($C$2=406,-'Ppto Financiación'!V58,IF($C$2=407,-'Ppto Financiación'!V67,IF($C$2=408,-'Ppto Financiación'!V77,IF($C$2=409,-'Ppto Financiación'!V87,IF($C$2=410,-'Ppto Financiación'!V98-'Ppto Financiación'!V101,IF($C$2=411,-'Ppto Financiación'!V109,0)))))))))))</f>
        <v>0</v>
      </c>
      <c r="Y76" s="55">
        <f>-(IF($C$2=402,-'Ppto Financiación'!W19,IF($C$2=403,-'Ppto Financiación'!W31,IF($C$2=404,-'Ppto Financiación'!W40,IF($C$2=405,-'Ppto Financiación'!W49,IF($C$2=406,-'Ppto Financiación'!W58,IF($C$2=407,-'Ppto Financiación'!W67,IF($C$2=408,-'Ppto Financiación'!W77,IF($C$2=409,-'Ppto Financiación'!W87,IF($C$2=410,-'Ppto Financiación'!W98-'Ppto Financiación'!W101,IF($C$2=411,-'Ppto Financiación'!W109,0)))))))))))</f>
        <v>0</v>
      </c>
      <c r="Z76" s="55">
        <f>-(IF($C$2=402,-'Ppto Financiación'!X19,IF($C$2=403,-'Ppto Financiación'!X31,IF($C$2=404,-'Ppto Financiación'!X40,IF($C$2=405,-'Ppto Financiación'!X49,IF($C$2=406,-'Ppto Financiación'!X58,IF($C$2=407,-'Ppto Financiación'!X67,IF($C$2=408,-'Ppto Financiación'!X77,IF($C$2=409,-'Ppto Financiación'!X87,IF($C$2=410,-'Ppto Financiación'!X98-'Ppto Financiación'!X101,IF($C$2=411,-'Ppto Financiación'!X109,0)))))))))))</f>
        <v>0</v>
      </c>
      <c r="AA76" s="55">
        <f>-(IF($C$2=402,-'Ppto Financiación'!Y19,IF($C$2=403,-'Ppto Financiación'!Y31,IF($C$2=404,-'Ppto Financiación'!Y40,IF($C$2=405,-'Ppto Financiación'!Y49,IF($C$2=406,-'Ppto Financiación'!Y58,IF($C$2=407,-'Ppto Financiación'!Y67,IF($C$2=408,-'Ppto Financiación'!Y77,IF($C$2=409,-'Ppto Financiación'!Y87,IF($C$2=410,-'Ppto Financiación'!Y98-'Ppto Financiación'!Y101,IF($C$2=411,-'Ppto Financiación'!Y109,0)))))))))))</f>
        <v>0</v>
      </c>
      <c r="AB76" s="55">
        <f>-(IF($C$2=402,-'Ppto Financiación'!Z19,IF($C$2=403,-'Ppto Financiación'!Z31,IF($C$2=404,-'Ppto Financiación'!Z40,IF($C$2=405,-'Ppto Financiación'!Z49,IF($C$2=406,-'Ppto Financiación'!Z58,IF($C$2=407,-'Ppto Financiación'!Z67,IF($C$2=408,-'Ppto Financiación'!Z77,IF($C$2=409,-'Ppto Financiación'!Z87,IF($C$2=410,-'Ppto Financiación'!Z98-'Ppto Financiación'!Z101,IF($C$2=411,-'Ppto Financiación'!Z109,0)))))))))))</f>
        <v>0</v>
      </c>
      <c r="AC76" s="55">
        <f>-(IF($C$2=402,-'Ppto Financiación'!AA19,IF($C$2=403,-'Ppto Financiación'!AA31,IF($C$2=404,-'Ppto Financiación'!AA40,IF($C$2=405,-'Ppto Financiación'!AA49,IF($C$2=406,-'Ppto Financiación'!AA58,IF($C$2=407,-'Ppto Financiación'!AA67,IF($C$2=408,-'Ppto Financiación'!AA77,IF($C$2=409,-'Ppto Financiación'!AA87,IF($C$2=410,-'Ppto Financiación'!AA98-'Ppto Financiación'!AA101,IF($C$2=411,-'Ppto Financiación'!AA109,0)))))))))))</f>
        <v>0</v>
      </c>
      <c r="AD76" s="55">
        <f>-(IF($C$2=402,-'Ppto Financiación'!AB19,IF($C$2=403,-'Ppto Financiación'!AB31,IF($C$2=404,-'Ppto Financiación'!AB40,IF($C$2=405,-'Ppto Financiación'!AB49,IF($C$2=406,-'Ppto Financiación'!AB58,IF($C$2=407,-'Ppto Financiación'!AB67,IF($C$2=408,-'Ppto Financiación'!AB77,IF($C$2=409,-'Ppto Financiación'!AB87,IF($C$2=410,-'Ppto Financiación'!AB98-'Ppto Financiación'!AB101,IF($C$2=411,-'Ppto Financiación'!AB109,0)))))))))))</f>
        <v>0</v>
      </c>
    </row>
    <row r="77" spans="3:30" hidden="1" x14ac:dyDescent="0.25">
      <c r="C77" s="58" t="s">
        <v>58</v>
      </c>
      <c r="D77" s="58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3:30" hidden="1" x14ac:dyDescent="0.25">
      <c r="C78" s="3" t="str">
        <f>'Ppto Inv_Dep y Amt'!A12</f>
        <v>Terrenos</v>
      </c>
      <c r="D78" s="3"/>
      <c r="E78" s="3"/>
      <c r="F78" s="36">
        <f>'Ppto Inv_Dep y Amt'!C12</f>
        <v>0</v>
      </c>
      <c r="G78" s="36">
        <f>'Ppto Inv_Dep y Amt'!D12</f>
        <v>0</v>
      </c>
      <c r="H78" s="36">
        <f>'Ppto Inv_Dep y Amt'!E12</f>
        <v>0</v>
      </c>
      <c r="I78" s="36">
        <f>'Ppto Inv_Dep y Amt'!F12</f>
        <v>0</v>
      </c>
      <c r="J78" s="36">
        <f>'Ppto Inv_Dep y Amt'!G12</f>
        <v>0</v>
      </c>
      <c r="K78" s="36">
        <f>'Ppto Inv_Dep y Amt'!H12</f>
        <v>0</v>
      </c>
      <c r="L78" s="36">
        <f>'Ppto Inv_Dep y Amt'!I12</f>
        <v>0</v>
      </c>
      <c r="M78" s="36">
        <f>'Ppto Inv_Dep y Amt'!J12</f>
        <v>0</v>
      </c>
      <c r="N78" s="36">
        <f>'Ppto Inv_Dep y Amt'!K12</f>
        <v>0</v>
      </c>
      <c r="O78" s="36">
        <f>'Ppto Inv_Dep y Amt'!L12</f>
        <v>0</v>
      </c>
      <c r="P78" s="36">
        <f>'Ppto Inv_Dep y Amt'!M12</f>
        <v>0</v>
      </c>
      <c r="Q78" s="36">
        <f>'Ppto Inv_Dep y Amt'!N12</f>
        <v>0</v>
      </c>
      <c r="R78" s="36">
        <f>'Ppto Inv_Dep y Amt'!O12</f>
        <v>0</v>
      </c>
      <c r="S78" s="36">
        <f>'Ppto Inv_Dep y Amt'!P12</f>
        <v>0</v>
      </c>
      <c r="T78" s="36">
        <f>'Ppto Inv_Dep y Amt'!Q12</f>
        <v>0</v>
      </c>
      <c r="U78" s="36">
        <f>'Ppto Inv_Dep y Amt'!R12</f>
        <v>0</v>
      </c>
      <c r="V78" s="36">
        <f>'Ppto Inv_Dep y Amt'!S12</f>
        <v>0</v>
      </c>
      <c r="W78" s="36">
        <f>'Ppto Inv_Dep y Amt'!T12</f>
        <v>0</v>
      </c>
      <c r="X78" s="36">
        <f>'Ppto Inv_Dep y Amt'!U12</f>
        <v>0</v>
      </c>
      <c r="Y78" s="36">
        <f>'Ppto Inv_Dep y Amt'!V12</f>
        <v>0</v>
      </c>
      <c r="Z78" s="36">
        <f>'Ppto Inv_Dep y Amt'!W12</f>
        <v>0</v>
      </c>
      <c r="AA78" s="36">
        <f>'Ppto Inv_Dep y Amt'!X12</f>
        <v>0</v>
      </c>
      <c r="AB78" s="36">
        <f>'Ppto Inv_Dep y Amt'!Y12</f>
        <v>0</v>
      </c>
      <c r="AC78" s="36">
        <f>'Ppto Inv_Dep y Amt'!Z12</f>
        <v>0</v>
      </c>
      <c r="AD78" s="36">
        <f>'Ppto Inv_Dep y Amt'!AA12</f>
        <v>0</v>
      </c>
    </row>
    <row r="79" spans="3:30" ht="15" customHeight="1" x14ac:dyDescent="0.25">
      <c r="C79" s="3" t="str">
        <f>+C49</f>
        <v>Adecuación de Infraestructura</v>
      </c>
      <c r="D79" s="3"/>
      <c r="E79" s="3"/>
      <c r="F79" s="36">
        <f>'Ppto Inv_Dep y Amt'!C15</f>
        <v>120417721</v>
      </c>
      <c r="G79" s="36">
        <f>'Ppto Inv_Dep y Amt'!D15</f>
        <v>0</v>
      </c>
      <c r="H79" s="36">
        <f>'Ppto Inv_Dep y Amt'!E15</f>
        <v>0</v>
      </c>
      <c r="I79" s="36">
        <f>'Ppto Inv_Dep y Amt'!F15</f>
        <v>0</v>
      </c>
      <c r="J79" s="36">
        <f>'Ppto Inv_Dep y Amt'!G15</f>
        <v>0</v>
      </c>
      <c r="K79" s="36">
        <f>'Ppto Inv_Dep y Amt'!H15</f>
        <v>0</v>
      </c>
      <c r="L79" s="36">
        <f>'Ppto Inv_Dep y Amt'!I15</f>
        <v>0</v>
      </c>
      <c r="M79" s="36">
        <f>'Ppto Inv_Dep y Amt'!J15</f>
        <v>0</v>
      </c>
      <c r="N79" s="36">
        <f>'Ppto Inv_Dep y Amt'!K15</f>
        <v>0</v>
      </c>
      <c r="O79" s="36">
        <f>'Ppto Inv_Dep y Amt'!L15</f>
        <v>0</v>
      </c>
      <c r="P79" s="36">
        <f>'Ppto Inv_Dep y Amt'!M15</f>
        <v>0</v>
      </c>
      <c r="Q79" s="36">
        <f>'Ppto Inv_Dep y Amt'!N15</f>
        <v>0</v>
      </c>
      <c r="R79" s="36">
        <f>'Ppto Inv_Dep y Amt'!O15</f>
        <v>0</v>
      </c>
      <c r="S79" s="36">
        <f>'Ppto Inv_Dep y Amt'!P15</f>
        <v>0</v>
      </c>
      <c r="T79" s="36">
        <f>'Ppto Inv_Dep y Amt'!Q15</f>
        <v>0</v>
      </c>
      <c r="U79" s="36">
        <f>'Ppto Inv_Dep y Amt'!R15</f>
        <v>0</v>
      </c>
      <c r="V79" s="36">
        <f>'Ppto Inv_Dep y Amt'!S15</f>
        <v>0</v>
      </c>
      <c r="W79" s="36">
        <f>'Ppto Inv_Dep y Amt'!T15</f>
        <v>0</v>
      </c>
      <c r="X79" s="36">
        <f>'Ppto Inv_Dep y Amt'!U15</f>
        <v>0</v>
      </c>
      <c r="Y79" s="36">
        <f>'Ppto Inv_Dep y Amt'!V15</f>
        <v>0</v>
      </c>
      <c r="Z79" s="36">
        <f>'Ppto Inv_Dep y Amt'!W15</f>
        <v>0</v>
      </c>
      <c r="AA79" s="36">
        <f>'Ppto Inv_Dep y Amt'!X15</f>
        <v>0</v>
      </c>
      <c r="AB79" s="36">
        <f>'Ppto Inv_Dep y Amt'!Y15</f>
        <v>0</v>
      </c>
      <c r="AC79" s="36">
        <f>'Ppto Inv_Dep y Amt'!Z15</f>
        <v>0</v>
      </c>
      <c r="AD79" s="36">
        <f>'Ppto Inv_Dep y Amt'!AA15</f>
        <v>0</v>
      </c>
    </row>
    <row r="80" spans="3:30" ht="15" customHeight="1" x14ac:dyDescent="0.25">
      <c r="C80" s="3" t="str">
        <f>+C50</f>
        <v xml:space="preserve"> Equipos, Muebles y Enseres</v>
      </c>
      <c r="D80" s="3"/>
      <c r="E80" s="3"/>
      <c r="F80" s="36">
        <f>'Ppto Inv_Dep y Amt'!C22</f>
        <v>53179715</v>
      </c>
      <c r="G80" s="36">
        <f>'Ppto Inv_Dep y Amt'!D22</f>
        <v>0</v>
      </c>
      <c r="H80" s="36">
        <f>'Ppto Inv_Dep y Amt'!E22</f>
        <v>0</v>
      </c>
      <c r="I80" s="36">
        <f>'Ppto Inv_Dep y Amt'!F22</f>
        <v>0</v>
      </c>
      <c r="J80" s="36">
        <f>'Ppto Inv_Dep y Amt'!G22</f>
        <v>0</v>
      </c>
      <c r="K80" s="36">
        <f>'Ppto Inv_Dep y Amt'!H22</f>
        <v>0</v>
      </c>
      <c r="L80" s="36">
        <f>'Ppto Inv_Dep y Amt'!I22</f>
        <v>0</v>
      </c>
      <c r="M80" s="36">
        <f>'Ppto Inv_Dep y Amt'!J22</f>
        <v>0</v>
      </c>
      <c r="N80" s="36">
        <f>'Ppto Inv_Dep y Amt'!K22</f>
        <v>0</v>
      </c>
      <c r="O80" s="36">
        <f>'Ppto Inv_Dep y Amt'!L22</f>
        <v>0</v>
      </c>
      <c r="P80" s="36">
        <f>'Ppto Inv_Dep y Amt'!M22</f>
        <v>0</v>
      </c>
      <c r="Q80" s="36">
        <f>'Ppto Inv_Dep y Amt'!N22</f>
        <v>0</v>
      </c>
      <c r="R80" s="36">
        <f>'Ppto Inv_Dep y Amt'!O22</f>
        <v>0</v>
      </c>
      <c r="S80" s="36">
        <f>'Ppto Inv_Dep y Amt'!P22</f>
        <v>0</v>
      </c>
      <c r="T80" s="36">
        <f>'Ppto Inv_Dep y Amt'!Q22</f>
        <v>0</v>
      </c>
      <c r="U80" s="36">
        <f>'Ppto Inv_Dep y Amt'!R22</f>
        <v>0</v>
      </c>
      <c r="V80" s="36">
        <f>'Ppto Inv_Dep y Amt'!S22</f>
        <v>0</v>
      </c>
      <c r="W80" s="36">
        <f>'Ppto Inv_Dep y Amt'!T22</f>
        <v>0</v>
      </c>
      <c r="X80" s="36">
        <f>'Ppto Inv_Dep y Amt'!U22</f>
        <v>0</v>
      </c>
      <c r="Y80" s="36">
        <f>'Ppto Inv_Dep y Amt'!V22</f>
        <v>0</v>
      </c>
      <c r="Z80" s="36">
        <f>'Ppto Inv_Dep y Amt'!W22</f>
        <v>0</v>
      </c>
      <c r="AA80" s="36">
        <f>'Ppto Inv_Dep y Amt'!X22</f>
        <v>0</v>
      </c>
      <c r="AB80" s="36">
        <f>'Ppto Inv_Dep y Amt'!Y22</f>
        <v>0</v>
      </c>
      <c r="AC80" s="36">
        <f>'Ppto Inv_Dep y Amt'!Z22</f>
        <v>0</v>
      </c>
      <c r="AD80" s="36">
        <f>'Ppto Inv_Dep y Amt'!AA22</f>
        <v>0</v>
      </c>
    </row>
    <row r="81" spans="3:30" ht="15" customHeight="1" x14ac:dyDescent="0.25">
      <c r="C81" s="3" t="str">
        <f>+C51</f>
        <v>Empaques y Herramientas</v>
      </c>
      <c r="D81" s="3"/>
      <c r="E81" s="3"/>
      <c r="F81" s="36">
        <f>'Ppto Inv_Dep y Amt'!C29</f>
        <v>0</v>
      </c>
      <c r="G81" s="36">
        <f>'Ppto Inv_Dep y Amt'!D29</f>
        <v>0</v>
      </c>
      <c r="H81" s="36">
        <f>'Ppto Inv_Dep y Amt'!E29</f>
        <v>0</v>
      </c>
      <c r="I81" s="36">
        <f>'Ppto Inv_Dep y Amt'!F29</f>
        <v>0</v>
      </c>
      <c r="J81" s="36">
        <f>'Ppto Inv_Dep y Amt'!G29</f>
        <v>0</v>
      </c>
      <c r="K81" s="36">
        <f>'Ppto Inv_Dep y Amt'!H29</f>
        <v>0</v>
      </c>
      <c r="L81" s="36">
        <f>'Ppto Inv_Dep y Amt'!I29</f>
        <v>0</v>
      </c>
      <c r="M81" s="36">
        <f>'Ppto Inv_Dep y Amt'!J29</f>
        <v>0</v>
      </c>
      <c r="N81" s="36">
        <f>'Ppto Inv_Dep y Amt'!K29</f>
        <v>0</v>
      </c>
      <c r="O81" s="36">
        <f>'Ppto Inv_Dep y Amt'!L29</f>
        <v>0</v>
      </c>
      <c r="P81" s="36">
        <f>'Ppto Inv_Dep y Amt'!M29</f>
        <v>0</v>
      </c>
      <c r="Q81" s="36">
        <f>'Ppto Inv_Dep y Amt'!N29</f>
        <v>0</v>
      </c>
      <c r="R81" s="36">
        <f>'Ppto Inv_Dep y Amt'!O29</f>
        <v>0</v>
      </c>
      <c r="S81" s="36">
        <f>'Ppto Inv_Dep y Amt'!P29</f>
        <v>0</v>
      </c>
      <c r="T81" s="36">
        <f>'Ppto Inv_Dep y Amt'!Q29</f>
        <v>0</v>
      </c>
      <c r="U81" s="36">
        <f>'Ppto Inv_Dep y Amt'!R29</f>
        <v>0</v>
      </c>
      <c r="V81" s="36">
        <f>'Ppto Inv_Dep y Amt'!S29</f>
        <v>0</v>
      </c>
      <c r="W81" s="36">
        <f>'Ppto Inv_Dep y Amt'!T29</f>
        <v>0</v>
      </c>
      <c r="X81" s="36">
        <f>'Ppto Inv_Dep y Amt'!U29</f>
        <v>0</v>
      </c>
      <c r="Y81" s="36">
        <f>'Ppto Inv_Dep y Amt'!V29</f>
        <v>0</v>
      </c>
      <c r="Z81" s="36">
        <f>'Ppto Inv_Dep y Amt'!W29</f>
        <v>0</v>
      </c>
      <c r="AA81" s="36">
        <f>'Ppto Inv_Dep y Amt'!X29</f>
        <v>0</v>
      </c>
      <c r="AB81" s="36">
        <f>'Ppto Inv_Dep y Amt'!Y29</f>
        <v>0</v>
      </c>
      <c r="AC81" s="36">
        <f>'Ppto Inv_Dep y Amt'!Z29</f>
        <v>0</v>
      </c>
      <c r="AD81" s="36">
        <f>'Ppto Inv_Dep y Amt'!AA29</f>
        <v>0</v>
      </c>
    </row>
    <row r="82" spans="3:30" ht="15" customHeight="1" x14ac:dyDescent="0.25">
      <c r="C82" s="3" t="str">
        <f>+C52</f>
        <v>Equipos de Computo, Comunicaciones, Redes de Datos</v>
      </c>
      <c r="D82" s="3"/>
      <c r="E82" s="3"/>
      <c r="F82" s="36">
        <f>'Ppto Inv_Dep y Amt'!C36</f>
        <v>14610050</v>
      </c>
      <c r="G82" s="36">
        <f>'Ppto Inv_Dep y Amt'!D36</f>
        <v>0</v>
      </c>
      <c r="H82" s="36">
        <f>'Ppto Inv_Dep y Amt'!E36</f>
        <v>0</v>
      </c>
      <c r="I82" s="36">
        <f>'Ppto Inv_Dep y Amt'!F36</f>
        <v>0</v>
      </c>
      <c r="J82" s="36">
        <f>'Ppto Inv_Dep y Amt'!G36</f>
        <v>0</v>
      </c>
      <c r="K82" s="36">
        <f>'Ppto Inv_Dep y Amt'!H36</f>
        <v>0</v>
      </c>
      <c r="L82" s="36">
        <f>'Ppto Inv_Dep y Amt'!I36</f>
        <v>0</v>
      </c>
      <c r="M82" s="36">
        <f>'Ppto Inv_Dep y Amt'!J36</f>
        <v>0</v>
      </c>
      <c r="N82" s="36">
        <f>'Ppto Inv_Dep y Amt'!K36</f>
        <v>0</v>
      </c>
      <c r="O82" s="36">
        <f>'Ppto Inv_Dep y Amt'!L36</f>
        <v>0</v>
      </c>
      <c r="P82" s="36">
        <f>'Ppto Inv_Dep y Amt'!M36</f>
        <v>0</v>
      </c>
      <c r="Q82" s="36">
        <f>'Ppto Inv_Dep y Amt'!N36</f>
        <v>0</v>
      </c>
      <c r="R82" s="36">
        <f>'Ppto Inv_Dep y Amt'!O36</f>
        <v>0</v>
      </c>
      <c r="S82" s="36">
        <f>'Ppto Inv_Dep y Amt'!P36</f>
        <v>0</v>
      </c>
      <c r="T82" s="36">
        <f>'Ppto Inv_Dep y Amt'!Q36</f>
        <v>0</v>
      </c>
      <c r="U82" s="36">
        <f>'Ppto Inv_Dep y Amt'!R36</f>
        <v>0</v>
      </c>
      <c r="V82" s="36">
        <f>'Ppto Inv_Dep y Amt'!S36</f>
        <v>0</v>
      </c>
      <c r="W82" s="36">
        <f>'Ppto Inv_Dep y Amt'!T36</f>
        <v>0</v>
      </c>
      <c r="X82" s="36">
        <f>'Ppto Inv_Dep y Amt'!U36</f>
        <v>0</v>
      </c>
      <c r="Y82" s="36">
        <f>'Ppto Inv_Dep y Amt'!V36</f>
        <v>0</v>
      </c>
      <c r="Z82" s="36">
        <f>'Ppto Inv_Dep y Amt'!W36</f>
        <v>0</v>
      </c>
      <c r="AA82" s="36">
        <f>'Ppto Inv_Dep y Amt'!X36</f>
        <v>0</v>
      </c>
      <c r="AB82" s="36">
        <f>'Ppto Inv_Dep y Amt'!Y36</f>
        <v>0</v>
      </c>
      <c r="AC82" s="36">
        <f>'Ppto Inv_Dep y Amt'!Z36</f>
        <v>0</v>
      </c>
      <c r="AD82" s="36">
        <f>'Ppto Inv_Dep y Amt'!AA36</f>
        <v>0</v>
      </c>
    </row>
    <row r="83" spans="3:30" ht="15" hidden="1" customHeight="1" x14ac:dyDescent="0.25">
      <c r="C83" s="3" t="str">
        <f>+C53</f>
        <v>Licencias</v>
      </c>
      <c r="D83" s="3"/>
      <c r="E83" s="3"/>
      <c r="F83" s="36">
        <f>'Ppto Inv_Dep y Amt'!C45</f>
        <v>0</v>
      </c>
      <c r="G83" s="36">
        <f>'Ppto Inv_Dep y Amt'!D45</f>
        <v>0</v>
      </c>
      <c r="H83" s="36">
        <f>'Ppto Inv_Dep y Amt'!E45</f>
        <v>0</v>
      </c>
      <c r="I83" s="36">
        <f>'Ppto Inv_Dep y Amt'!F45</f>
        <v>0</v>
      </c>
      <c r="J83" s="36">
        <f>'Ppto Inv_Dep y Amt'!G45</f>
        <v>0</v>
      </c>
      <c r="K83" s="36">
        <f>'Ppto Inv_Dep y Amt'!H45</f>
        <v>0</v>
      </c>
      <c r="L83" s="36">
        <f>'Ppto Inv_Dep y Amt'!I45</f>
        <v>0</v>
      </c>
      <c r="M83" s="36">
        <f>'Ppto Inv_Dep y Amt'!J45</f>
        <v>0</v>
      </c>
      <c r="N83" s="36">
        <f>'Ppto Inv_Dep y Amt'!K45</f>
        <v>0</v>
      </c>
      <c r="O83" s="36">
        <f>'Ppto Inv_Dep y Amt'!L45</f>
        <v>0</v>
      </c>
      <c r="P83" s="36">
        <f>'Ppto Inv_Dep y Amt'!M45</f>
        <v>0</v>
      </c>
      <c r="Q83" s="36">
        <f>'Ppto Inv_Dep y Amt'!N45</f>
        <v>0</v>
      </c>
      <c r="R83" s="36">
        <f>'Ppto Inv_Dep y Amt'!O45</f>
        <v>0</v>
      </c>
      <c r="S83" s="36">
        <f>'Ppto Inv_Dep y Amt'!P45</f>
        <v>0</v>
      </c>
      <c r="T83" s="36">
        <f>'Ppto Inv_Dep y Amt'!Q45</f>
        <v>0</v>
      </c>
      <c r="U83" s="36">
        <f>'Ppto Inv_Dep y Amt'!R45</f>
        <v>0</v>
      </c>
      <c r="V83" s="36">
        <f>'Ppto Inv_Dep y Amt'!S45</f>
        <v>0</v>
      </c>
      <c r="W83" s="36">
        <f>'Ppto Inv_Dep y Amt'!T45</f>
        <v>0</v>
      </c>
      <c r="X83" s="36">
        <f>'Ppto Inv_Dep y Amt'!U45</f>
        <v>0</v>
      </c>
      <c r="Y83" s="36">
        <f>'Ppto Inv_Dep y Amt'!V45</f>
        <v>0</v>
      </c>
      <c r="Z83" s="36">
        <f>'Ppto Inv_Dep y Amt'!W45</f>
        <v>0</v>
      </c>
      <c r="AA83" s="36">
        <f>'Ppto Inv_Dep y Amt'!X45</f>
        <v>0</v>
      </c>
      <c r="AB83" s="36">
        <f>'Ppto Inv_Dep y Amt'!Y45</f>
        <v>0</v>
      </c>
      <c r="AC83" s="36">
        <f>'Ppto Inv_Dep y Amt'!Z45</f>
        <v>0</v>
      </c>
      <c r="AD83" s="36">
        <f>'Ppto Inv_Dep y Amt'!AA45</f>
        <v>0</v>
      </c>
    </row>
    <row r="84" spans="3:30" ht="15" hidden="1" customHeight="1" x14ac:dyDescent="0.25">
      <c r="C84" s="3" t="str">
        <f>+C54</f>
        <v>Estudios</v>
      </c>
      <c r="D84" s="3"/>
      <c r="E84" s="3"/>
      <c r="F84" s="36">
        <f>'Ppto Inv_Dep y Amt'!C51</f>
        <v>0</v>
      </c>
      <c r="G84" s="36">
        <f>'Ppto Inv_Dep y Amt'!D51</f>
        <v>0</v>
      </c>
      <c r="H84" s="36">
        <f>'Ppto Inv_Dep y Amt'!E51</f>
        <v>0</v>
      </c>
      <c r="I84" s="36">
        <f>'Ppto Inv_Dep y Amt'!F51</f>
        <v>0</v>
      </c>
      <c r="J84" s="36">
        <f>'Ppto Inv_Dep y Amt'!G51</f>
        <v>0</v>
      </c>
      <c r="K84" s="36">
        <f>'Ppto Inv_Dep y Amt'!H51</f>
        <v>0</v>
      </c>
      <c r="L84" s="36">
        <f>'Ppto Inv_Dep y Amt'!I51</f>
        <v>0</v>
      </c>
      <c r="M84" s="36">
        <f>'Ppto Inv_Dep y Amt'!J51</f>
        <v>0</v>
      </c>
      <c r="N84" s="36">
        <f>'Ppto Inv_Dep y Amt'!K51</f>
        <v>0</v>
      </c>
      <c r="O84" s="36">
        <f>'Ppto Inv_Dep y Amt'!L51</f>
        <v>0</v>
      </c>
      <c r="P84" s="36">
        <f>'Ppto Inv_Dep y Amt'!M51</f>
        <v>0</v>
      </c>
      <c r="Q84" s="36">
        <f>'Ppto Inv_Dep y Amt'!N51</f>
        <v>0</v>
      </c>
      <c r="R84" s="36">
        <f>'Ppto Inv_Dep y Amt'!O51</f>
        <v>0</v>
      </c>
      <c r="S84" s="36">
        <f>'Ppto Inv_Dep y Amt'!P51</f>
        <v>0</v>
      </c>
      <c r="T84" s="36">
        <f>'Ppto Inv_Dep y Amt'!Q51</f>
        <v>0</v>
      </c>
      <c r="U84" s="36">
        <f>'Ppto Inv_Dep y Amt'!R51</f>
        <v>0</v>
      </c>
      <c r="V84" s="36">
        <f>'Ppto Inv_Dep y Amt'!S51</f>
        <v>0</v>
      </c>
      <c r="W84" s="36">
        <f>'Ppto Inv_Dep y Amt'!T51</f>
        <v>0</v>
      </c>
      <c r="X84" s="36">
        <f>'Ppto Inv_Dep y Amt'!U51</f>
        <v>0</v>
      </c>
      <c r="Y84" s="36">
        <f>'Ppto Inv_Dep y Amt'!V51</f>
        <v>0</v>
      </c>
      <c r="Z84" s="36">
        <f>'Ppto Inv_Dep y Amt'!W51</f>
        <v>0</v>
      </c>
      <c r="AA84" s="36">
        <f>'Ppto Inv_Dep y Amt'!X51</f>
        <v>0</v>
      </c>
      <c r="AB84" s="36">
        <f>'Ppto Inv_Dep y Amt'!Y51</f>
        <v>0</v>
      </c>
      <c r="AC84" s="36">
        <f>'Ppto Inv_Dep y Amt'!Z51</f>
        <v>0</v>
      </c>
      <c r="AD84" s="36">
        <f>'Ppto Inv_Dep y Amt'!AA51</f>
        <v>0</v>
      </c>
    </row>
    <row r="85" spans="3:30" ht="15" hidden="1" customHeight="1" x14ac:dyDescent="0.25">
      <c r="C85" s="3" t="str">
        <f>+C55</f>
        <v>Franquicias</v>
      </c>
      <c r="D85" s="3"/>
      <c r="E85" s="3"/>
      <c r="F85" s="36">
        <f>'Ppto Inv_Dep y Amt'!C57</f>
        <v>0</v>
      </c>
      <c r="G85" s="36">
        <f>'Ppto Inv_Dep y Amt'!D57</f>
        <v>0</v>
      </c>
      <c r="H85" s="36">
        <f>'Ppto Inv_Dep y Amt'!E57</f>
        <v>0</v>
      </c>
      <c r="I85" s="36">
        <f>'Ppto Inv_Dep y Amt'!F57</f>
        <v>0</v>
      </c>
      <c r="J85" s="36">
        <f>'Ppto Inv_Dep y Amt'!G57</f>
        <v>0</v>
      </c>
      <c r="K85" s="36">
        <f>'Ppto Inv_Dep y Amt'!H57</f>
        <v>0</v>
      </c>
      <c r="L85" s="36">
        <f>'Ppto Inv_Dep y Amt'!I57</f>
        <v>0</v>
      </c>
      <c r="M85" s="36">
        <f>'Ppto Inv_Dep y Amt'!J57</f>
        <v>0</v>
      </c>
      <c r="N85" s="36">
        <f>'Ppto Inv_Dep y Amt'!K57</f>
        <v>0</v>
      </c>
      <c r="O85" s="36">
        <f>'Ppto Inv_Dep y Amt'!L57</f>
        <v>0</v>
      </c>
      <c r="P85" s="36">
        <f>'Ppto Inv_Dep y Amt'!M57</f>
        <v>0</v>
      </c>
      <c r="Q85" s="36">
        <f>'Ppto Inv_Dep y Amt'!N57</f>
        <v>0</v>
      </c>
      <c r="R85" s="36">
        <f>'Ppto Inv_Dep y Amt'!O57</f>
        <v>0</v>
      </c>
      <c r="S85" s="36">
        <f>'Ppto Inv_Dep y Amt'!P57</f>
        <v>0</v>
      </c>
      <c r="T85" s="36">
        <f>'Ppto Inv_Dep y Amt'!Q57</f>
        <v>0</v>
      </c>
      <c r="U85" s="36">
        <f>'Ppto Inv_Dep y Amt'!R57</f>
        <v>0</v>
      </c>
      <c r="V85" s="36">
        <f>'Ppto Inv_Dep y Amt'!S57</f>
        <v>0</v>
      </c>
      <c r="W85" s="36">
        <f>'Ppto Inv_Dep y Amt'!T57</f>
        <v>0</v>
      </c>
      <c r="X85" s="36">
        <f>'Ppto Inv_Dep y Amt'!U57</f>
        <v>0</v>
      </c>
      <c r="Y85" s="36">
        <f>'Ppto Inv_Dep y Amt'!V57</f>
        <v>0</v>
      </c>
      <c r="Z85" s="36">
        <f>'Ppto Inv_Dep y Amt'!W57</f>
        <v>0</v>
      </c>
      <c r="AA85" s="36">
        <f>'Ppto Inv_Dep y Amt'!X57</f>
        <v>0</v>
      </c>
      <c r="AB85" s="36">
        <f>'Ppto Inv_Dep y Amt'!Y57</f>
        <v>0</v>
      </c>
      <c r="AC85" s="36">
        <f>'Ppto Inv_Dep y Amt'!Z57</f>
        <v>0</v>
      </c>
      <c r="AD85" s="36">
        <f>'Ppto Inv_Dep y Amt'!AA57</f>
        <v>0</v>
      </c>
    </row>
    <row r="86" spans="3:30" hidden="1" x14ac:dyDescent="0.25">
      <c r="C86" s="3"/>
      <c r="D86" s="3"/>
      <c r="E86" s="3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</row>
    <row r="87" spans="3:30" x14ac:dyDescent="0.25">
      <c r="C87" s="465" t="s">
        <v>150</v>
      </c>
      <c r="D87" s="465"/>
      <c r="E87" s="465"/>
      <c r="F87" s="466"/>
      <c r="G87" s="466">
        <f>-'Capital de Trabajo'!D5</f>
        <v>-132000000</v>
      </c>
      <c r="H87" s="466">
        <f>-'Capital de Trabajo'!E5</f>
        <v>-136620000</v>
      </c>
      <c r="I87" s="466">
        <f>-'Capital de Trabajo'!F5</f>
        <v>-141401700</v>
      </c>
      <c r="J87" s="466">
        <f>-'Capital de Trabajo'!G5</f>
        <v>-146350759.5</v>
      </c>
      <c r="K87" s="466">
        <f>-'Capital de Trabajo'!H5</f>
        <v>-151473036.08250001</v>
      </c>
      <c r="L87" s="466"/>
      <c r="M87" s="466"/>
      <c r="N87" s="466"/>
      <c r="O87" s="466"/>
      <c r="P87" s="466"/>
      <c r="Q87" s="466"/>
      <c r="R87" s="466"/>
      <c r="S87" s="466"/>
      <c r="T87" s="466"/>
      <c r="U87" s="466"/>
      <c r="V87" s="466"/>
      <c r="W87" s="466"/>
      <c r="X87" s="466"/>
      <c r="Y87" s="466"/>
      <c r="Z87" s="466"/>
      <c r="AA87" s="466"/>
      <c r="AB87" s="466"/>
      <c r="AC87" s="466"/>
      <c r="AD87" s="466"/>
    </row>
    <row r="88" spans="3:30" x14ac:dyDescent="0.25">
      <c r="C88" s="465" t="s">
        <v>151</v>
      </c>
      <c r="D88" s="465"/>
      <c r="E88" s="465"/>
      <c r="F88" s="466"/>
      <c r="G88" s="466"/>
      <c r="H88" s="466"/>
      <c r="I88" s="466"/>
      <c r="J88" s="466"/>
      <c r="K88" s="466"/>
      <c r="L88" s="466"/>
      <c r="M88" s="466"/>
      <c r="N88" s="466"/>
      <c r="O88" s="466"/>
      <c r="P88" s="466"/>
      <c r="Q88" s="466"/>
      <c r="R88" s="466"/>
      <c r="S88" s="466"/>
      <c r="T88" s="466"/>
      <c r="U88" s="466"/>
      <c r="V88" s="466"/>
      <c r="W88" s="466"/>
      <c r="X88" s="466"/>
      <c r="Y88" s="466"/>
      <c r="Z88" s="466"/>
      <c r="AA88" s="466"/>
      <c r="AB88" s="466"/>
      <c r="AC88" s="466"/>
      <c r="AD88" s="466"/>
    </row>
    <row r="89" spans="3:30" x14ac:dyDescent="0.25">
      <c r="C89" s="52" t="s">
        <v>59</v>
      </c>
      <c r="D89" s="52"/>
      <c r="E89" s="52"/>
      <c r="F89" s="37">
        <f>SUM(F78:F88)</f>
        <v>188207486</v>
      </c>
      <c r="G89" s="37">
        <f>SUM(G78:G88)</f>
        <v>-132000000</v>
      </c>
      <c r="H89" s="37">
        <f t="shared" ref="H89:K89" si="19">SUM(H78:H88)</f>
        <v>-136620000</v>
      </c>
      <c r="I89" s="37">
        <f t="shared" si="19"/>
        <v>-141401700</v>
      </c>
      <c r="J89" s="37">
        <f t="shared" si="19"/>
        <v>-146350759.5</v>
      </c>
      <c r="K89" s="37">
        <f t="shared" si="19"/>
        <v>-151473036.08250001</v>
      </c>
      <c r="L89" s="37">
        <f>SUM(L78:L88)</f>
        <v>0</v>
      </c>
      <c r="M89" s="37">
        <f t="shared" ref="M89:R89" si="20">SUM(M78:M88)</f>
        <v>0</v>
      </c>
      <c r="N89" s="37">
        <f t="shared" si="20"/>
        <v>0</v>
      </c>
      <c r="O89" s="37">
        <f t="shared" si="20"/>
        <v>0</v>
      </c>
      <c r="P89" s="37">
        <f t="shared" si="20"/>
        <v>0</v>
      </c>
      <c r="Q89" s="37">
        <f t="shared" si="20"/>
        <v>0</v>
      </c>
      <c r="R89" s="37">
        <f t="shared" si="20"/>
        <v>0</v>
      </c>
      <c r="S89" s="37">
        <f>SUM(S78:S88)</f>
        <v>0</v>
      </c>
      <c r="T89" s="37">
        <f t="shared" ref="T89" si="21">SUM(T78:T88)</f>
        <v>0</v>
      </c>
      <c r="U89" s="37">
        <f t="shared" ref="U89" si="22">SUM(U78:U88)</f>
        <v>0</v>
      </c>
      <c r="V89" s="37">
        <f t="shared" ref="V89" si="23">SUM(V78:V88)</f>
        <v>0</v>
      </c>
      <c r="W89" s="37">
        <f t="shared" ref="W89" si="24">SUM(W78:W88)</f>
        <v>0</v>
      </c>
      <c r="X89" s="37">
        <f t="shared" ref="X89" si="25">SUM(X78:X88)</f>
        <v>0</v>
      </c>
      <c r="Y89" s="37">
        <f>SUM(Y78:Y88)</f>
        <v>0</v>
      </c>
      <c r="Z89" s="37">
        <f t="shared" ref="Z89" si="26">SUM(Z78:Z88)</f>
        <v>0</v>
      </c>
      <c r="AA89" s="37">
        <f t="shared" ref="AA89" si="27">SUM(AA78:AA88)</f>
        <v>0</v>
      </c>
      <c r="AB89" s="37">
        <f t="shared" ref="AB89" si="28">SUM(AB78:AB88)</f>
        <v>0</v>
      </c>
      <c r="AC89" s="37">
        <f t="shared" ref="AC89" si="29">SUM(AC78:AC88)</f>
        <v>0</v>
      </c>
      <c r="AD89" s="37">
        <f t="shared" ref="AD89" si="30">SUM(AD78:AD88)</f>
        <v>0</v>
      </c>
    </row>
    <row r="90" spans="3:30" x14ac:dyDescent="0.25">
      <c r="C90" s="3" t="s">
        <v>115</v>
      </c>
      <c r="D90" s="98" t="str">
        <f>IF(C2=401,"DEL PROYECTO","DEL INVERSIONISTA")</f>
        <v>DEL PROYECTO</v>
      </c>
      <c r="E90" s="3"/>
      <c r="F90" s="37">
        <f>+F72+F74+F75-F76-F89</f>
        <v>-188207486</v>
      </c>
      <c r="G90" s="37">
        <f>+G72+G74+G75-G76-G89</f>
        <v>-66226990</v>
      </c>
      <c r="H90" s="37">
        <f t="shared" ref="H90:AD90" si="31">+H72+H74+H75-H76-H89</f>
        <v>-66496000</v>
      </c>
      <c r="I90" s="37">
        <f t="shared" si="31"/>
        <v>-63120300</v>
      </c>
      <c r="J90" s="37">
        <f t="shared" si="31"/>
        <v>-59036040.5</v>
      </c>
      <c r="K90" s="37">
        <f t="shared" si="31"/>
        <v>-53335363.917499989</v>
      </c>
      <c r="L90" s="37">
        <f t="shared" si="31"/>
        <v>0</v>
      </c>
      <c r="M90" s="37">
        <f t="shared" si="31"/>
        <v>0</v>
      </c>
      <c r="N90" s="37">
        <f t="shared" si="31"/>
        <v>0</v>
      </c>
      <c r="O90" s="37">
        <f t="shared" si="31"/>
        <v>0</v>
      </c>
      <c r="P90" s="37">
        <f t="shared" si="31"/>
        <v>0</v>
      </c>
      <c r="Q90" s="37">
        <f t="shared" si="31"/>
        <v>0</v>
      </c>
      <c r="R90" s="37">
        <f t="shared" si="31"/>
        <v>0</v>
      </c>
      <c r="S90" s="37">
        <f t="shared" si="31"/>
        <v>0</v>
      </c>
      <c r="T90" s="37">
        <f t="shared" si="31"/>
        <v>0</v>
      </c>
      <c r="U90" s="37">
        <f t="shared" si="31"/>
        <v>0</v>
      </c>
      <c r="V90" s="37">
        <f t="shared" si="31"/>
        <v>0</v>
      </c>
      <c r="W90" s="37">
        <f t="shared" si="31"/>
        <v>0</v>
      </c>
      <c r="X90" s="37">
        <f t="shared" si="31"/>
        <v>0</v>
      </c>
      <c r="Y90" s="37">
        <f t="shared" si="31"/>
        <v>0</v>
      </c>
      <c r="Z90" s="37">
        <f t="shared" si="31"/>
        <v>0</v>
      </c>
      <c r="AA90" s="37">
        <f t="shared" si="31"/>
        <v>0</v>
      </c>
      <c r="AB90" s="37">
        <f t="shared" si="31"/>
        <v>0</v>
      </c>
      <c r="AC90" s="37">
        <f t="shared" si="31"/>
        <v>0</v>
      </c>
      <c r="AD90" s="37">
        <f t="shared" si="31"/>
        <v>0</v>
      </c>
    </row>
    <row r="91" spans="3:30" x14ac:dyDescent="0.25">
      <c r="C91" s="3" t="s">
        <v>61</v>
      </c>
      <c r="D91" s="3"/>
      <c r="E91" s="22">
        <v>0.1</v>
      </c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3:30" x14ac:dyDescent="0.25">
      <c r="C92" s="3" t="s">
        <v>103</v>
      </c>
      <c r="D92" s="3"/>
      <c r="E92" s="22">
        <v>0.1</v>
      </c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3:30" x14ac:dyDescent="0.25">
      <c r="C93" s="3" t="s">
        <v>62</v>
      </c>
      <c r="D93" s="3"/>
      <c r="E93" s="91" t="e">
        <f>+IRR(F90:K90)</f>
        <v>#NUM!</v>
      </c>
      <c r="F93" s="25" t="s">
        <v>361</v>
      </c>
      <c r="G93" s="495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3:30" ht="26.25" x14ac:dyDescent="0.4">
      <c r="C94" s="101" t="str">
        <f>IF(E91=E92,"TER","TIRM")</f>
        <v>TER</v>
      </c>
      <c r="D94" s="3"/>
      <c r="E94" s="91">
        <f>MIRR(F90:K90,TIO,TRINV)</f>
        <v>-1</v>
      </c>
      <c r="F94" s="470" t="str">
        <f>+F93</f>
        <v>5 años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3:30" x14ac:dyDescent="0.25">
      <c r="C95" s="3" t="s">
        <v>63</v>
      </c>
      <c r="D95" s="3"/>
      <c r="E95" s="63">
        <f>NPV(TIO,G90:K90)+FC_0</f>
        <v>-424231902.81610167</v>
      </c>
      <c r="F95" s="470" t="str">
        <f t="shared" ref="F95:F96" si="32">+F94</f>
        <v>5 años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3:30" ht="15" customHeight="1" x14ac:dyDescent="0.25">
      <c r="C96" s="3" t="str">
        <f>IF(E96&lt;0,"CAUE","BAUE")</f>
        <v>CAUE</v>
      </c>
      <c r="D96" s="3"/>
      <c r="E96" s="63">
        <f>PMT(TIO,K5,-VPN)</f>
        <v>-111911307.23564887</v>
      </c>
      <c r="F96" s="470" t="str">
        <f t="shared" si="32"/>
        <v>5 años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3:30" ht="15" customHeight="1" x14ac:dyDescent="0.25">
      <c r="C97" s="3" t="s">
        <v>45</v>
      </c>
      <c r="D97" s="136">
        <f>-NPV(TIO,G97:L97)-F97</f>
        <v>424231902.81610167</v>
      </c>
      <c r="E97" s="63"/>
      <c r="F97" s="37">
        <f>+IF(FC_0&lt;0,FC_0,0)</f>
        <v>-188207486</v>
      </c>
      <c r="G97" s="37">
        <f>+IF(FC_1&lt;0,FC_1,0)</f>
        <v>-66226990</v>
      </c>
      <c r="H97" s="37">
        <f>+IF(FC_2&lt;0,FC_2,0)</f>
        <v>-66496000</v>
      </c>
      <c r="I97" s="37">
        <f>+IF(FC_3&lt;0,FC_3,0)</f>
        <v>-63120300</v>
      </c>
      <c r="J97" s="37">
        <f>+IF(FC_4&lt;0,FC_4,0)</f>
        <v>-59036040.5</v>
      </c>
      <c r="K97" s="37">
        <f>+IF(FC_5&lt;0,FC_5,0)</f>
        <v>-53335363.917499989</v>
      </c>
      <c r="L97" s="37">
        <f t="shared" ref="L97:AD97" si="33">+IF(FC_6&lt;0,FC_6,0)</f>
        <v>0</v>
      </c>
      <c r="M97" s="37">
        <f t="shared" si="33"/>
        <v>0</v>
      </c>
      <c r="N97" s="37">
        <f t="shared" si="33"/>
        <v>0</v>
      </c>
      <c r="O97" s="37">
        <f t="shared" si="33"/>
        <v>0</v>
      </c>
      <c r="P97" s="37">
        <f t="shared" si="33"/>
        <v>0</v>
      </c>
      <c r="Q97" s="37">
        <f t="shared" si="33"/>
        <v>0</v>
      </c>
      <c r="R97" s="37">
        <f t="shared" si="33"/>
        <v>0</v>
      </c>
      <c r="S97" s="37">
        <f t="shared" si="33"/>
        <v>0</v>
      </c>
      <c r="T97" s="37">
        <f t="shared" si="33"/>
        <v>0</v>
      </c>
      <c r="U97" s="37">
        <f t="shared" si="33"/>
        <v>0</v>
      </c>
      <c r="V97" s="37">
        <f t="shared" si="33"/>
        <v>0</v>
      </c>
      <c r="W97" s="37">
        <f t="shared" si="33"/>
        <v>0</v>
      </c>
      <c r="X97" s="37">
        <f t="shared" si="33"/>
        <v>0</v>
      </c>
      <c r="Y97" s="37">
        <f t="shared" si="33"/>
        <v>0</v>
      </c>
      <c r="Z97" s="37">
        <f t="shared" si="33"/>
        <v>0</v>
      </c>
      <c r="AA97" s="37">
        <f t="shared" si="33"/>
        <v>0</v>
      </c>
      <c r="AB97" s="37">
        <f t="shared" si="33"/>
        <v>0</v>
      </c>
      <c r="AC97" s="37">
        <f t="shared" si="33"/>
        <v>0</v>
      </c>
      <c r="AD97" s="37">
        <f t="shared" si="33"/>
        <v>0</v>
      </c>
    </row>
    <row r="98" spans="3:30" ht="15" customHeight="1" x14ac:dyDescent="0.25">
      <c r="C98" s="3" t="s">
        <v>39</v>
      </c>
      <c r="D98" s="136">
        <f>NPV(TIO,G98:L98)+F98</f>
        <v>0</v>
      </c>
      <c r="E98" s="63"/>
      <c r="F98" s="37">
        <f>+IF(FC_0&gt;0,FC_0,0)</f>
        <v>0</v>
      </c>
      <c r="G98" s="37">
        <f>+IF(FC_1&gt;0,FC_1,0)</f>
        <v>0</v>
      </c>
      <c r="H98" s="37">
        <f>+IF(FC_2&gt;0,FC_2,0)</f>
        <v>0</v>
      </c>
      <c r="I98" s="37">
        <f>+IF(FC_3&gt;0,FC_3,0)</f>
        <v>0</v>
      </c>
      <c r="J98" s="37">
        <f>+IF(FC_4&gt;0,FC_4,0)</f>
        <v>0</v>
      </c>
      <c r="K98" s="37">
        <f>+IF(FC_5&gt;0,FC_5,0)</f>
        <v>0</v>
      </c>
      <c r="L98" s="37">
        <f t="shared" ref="L98:AD98" si="34">+IF(FC_6&gt;0,FC_6,0)</f>
        <v>0</v>
      </c>
      <c r="M98" s="37">
        <f t="shared" si="34"/>
        <v>0</v>
      </c>
      <c r="N98" s="37">
        <f t="shared" si="34"/>
        <v>0</v>
      </c>
      <c r="O98" s="37">
        <f t="shared" si="34"/>
        <v>0</v>
      </c>
      <c r="P98" s="37">
        <f t="shared" si="34"/>
        <v>0</v>
      </c>
      <c r="Q98" s="37">
        <f t="shared" si="34"/>
        <v>0</v>
      </c>
      <c r="R98" s="37">
        <f t="shared" si="34"/>
        <v>0</v>
      </c>
      <c r="S98" s="37">
        <f t="shared" si="34"/>
        <v>0</v>
      </c>
      <c r="T98" s="37">
        <f t="shared" si="34"/>
        <v>0</v>
      </c>
      <c r="U98" s="37">
        <f t="shared" si="34"/>
        <v>0</v>
      </c>
      <c r="V98" s="37">
        <f t="shared" si="34"/>
        <v>0</v>
      </c>
      <c r="W98" s="37">
        <f t="shared" si="34"/>
        <v>0</v>
      </c>
      <c r="X98" s="37">
        <f t="shared" si="34"/>
        <v>0</v>
      </c>
      <c r="Y98" s="37">
        <f t="shared" si="34"/>
        <v>0</v>
      </c>
      <c r="Z98" s="37">
        <f t="shared" si="34"/>
        <v>0</v>
      </c>
      <c r="AA98" s="37">
        <f t="shared" si="34"/>
        <v>0</v>
      </c>
      <c r="AB98" s="37">
        <f t="shared" si="34"/>
        <v>0</v>
      </c>
      <c r="AC98" s="37">
        <f t="shared" si="34"/>
        <v>0</v>
      </c>
      <c r="AD98" s="37">
        <f t="shared" si="34"/>
        <v>0</v>
      </c>
    </row>
    <row r="99" spans="3:30" x14ac:dyDescent="0.25">
      <c r="C99" s="3" t="s">
        <v>64</v>
      </c>
      <c r="E99" s="137">
        <f>+D98/D97</f>
        <v>0</v>
      </c>
      <c r="F99" s="470" t="str">
        <f>+F93</f>
        <v>5 años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3:30" x14ac:dyDescent="0.25">
      <c r="C100" s="3" t="s">
        <v>63</v>
      </c>
      <c r="D100" s="3"/>
      <c r="E100" s="37">
        <f>+D97-D98</f>
        <v>424231902.81610167</v>
      </c>
    </row>
    <row r="102" spans="3:30" ht="35.25" customHeight="1" x14ac:dyDescent="0.25">
      <c r="E102" s="65" t="s">
        <v>87</v>
      </c>
      <c r="F102" s="64">
        <f>FC_0</f>
        <v>-188207486</v>
      </c>
      <c r="G102" s="64">
        <f>NPV(E91,FC_1)+FC_0</f>
        <v>-248413840.54545453</v>
      </c>
      <c r="H102" s="64">
        <f>NPV(E91,$G$90:H90)+FC_0</f>
        <v>-303369212.44628096</v>
      </c>
      <c r="I102" s="64">
        <f>NPV(E91,$G$90:I90)+FC_0</f>
        <v>-350792428.07362884</v>
      </c>
      <c r="J102" s="64">
        <f>NPV(E91,$G$90:J90)+FC_0</f>
        <v>-391114838.08660603</v>
      </c>
      <c r="K102" s="64">
        <f>NPV(E91,$G$90:K90)+FC_0</f>
        <v>-424231902.81610167</v>
      </c>
      <c r="L102" s="64">
        <f>NPV(TIO,$G$90:L90)+FC_0</f>
        <v>-424231902.81610167</v>
      </c>
      <c r="M102" s="64">
        <f>NPV(TIO,$G$90:M90)+FC_0</f>
        <v>-424231902.81610167</v>
      </c>
      <c r="N102" s="64">
        <f>NPV(TIO,$G$90:N90)+FC_0</f>
        <v>-424231902.81610167</v>
      </c>
      <c r="O102" s="64">
        <f>NPV(TIO,$G$90:O90)+FC_0</f>
        <v>-424231902.81610167</v>
      </c>
      <c r="P102" s="64">
        <f>NPV(TIO,$G$90:P90)+FC_0</f>
        <v>-424231902.81610167</v>
      </c>
      <c r="Q102" s="64">
        <f>NPV(TIO,$G$90:Q90)+FC_0</f>
        <v>-424231902.81610167</v>
      </c>
      <c r="R102" s="64">
        <f>NPV(TIO,$G$90:R90)+FC_0</f>
        <v>-424231902.81610167</v>
      </c>
      <c r="S102" s="64">
        <f>NPV(TIO,$G$90:S90)+FC_0</f>
        <v>-424231902.81610167</v>
      </c>
      <c r="T102" s="64">
        <f>NPV(TIO,$G$90:T90)+FC_0</f>
        <v>-424231902.81610167</v>
      </c>
      <c r="U102" s="64">
        <f>NPV(TIO,$G$90:U90)+FC_0</f>
        <v>-424231902.81610167</v>
      </c>
      <c r="V102" s="64">
        <f>NPV(TIO,$G$90:V90)+FC_0</f>
        <v>-424231902.81610167</v>
      </c>
      <c r="W102" s="64">
        <f>NPV(TIO,$G$90:W90)+FC_0</f>
        <v>-424231902.81610167</v>
      </c>
      <c r="X102" s="64">
        <f>NPV(TIO,$G$90:X90)+FC_0</f>
        <v>-424231902.81610167</v>
      </c>
      <c r="Y102" s="64">
        <f>NPV(TIO,$G$90:Y90)+FC_0</f>
        <v>-424231902.81610167</v>
      </c>
      <c r="Z102" s="64">
        <f>NPV(TIO,$G$90:Z90)+FC_0</f>
        <v>-424231902.81610167</v>
      </c>
      <c r="AA102" s="64">
        <f>NPV(TIO,$G$90:AA90)+FC_0</f>
        <v>-424231902.81610167</v>
      </c>
      <c r="AB102" s="64">
        <f>NPV(TIO,$G$90:AB90)+FC_0</f>
        <v>-424231902.81610167</v>
      </c>
      <c r="AC102" s="64">
        <f>NPV(TIO,$G$90:AC90)+FC_0</f>
        <v>-424231902.81610167</v>
      </c>
      <c r="AD102" s="64">
        <f>NPV(TIO,$G$90:AD90)+FC_0</f>
        <v>-424231902.81610167</v>
      </c>
    </row>
    <row r="103" spans="3:30" ht="15" customHeight="1" x14ac:dyDescent="0.25">
      <c r="E103" s="126"/>
      <c r="F103" s="127"/>
      <c r="G103" s="127"/>
      <c r="H103" s="127"/>
      <c r="I103" s="127"/>
      <c r="J103" s="127"/>
      <c r="K103" s="127"/>
    </row>
    <row r="104" spans="3:30" ht="28.5" x14ac:dyDescent="0.45">
      <c r="E104" s="471" t="s">
        <v>246</v>
      </c>
    </row>
    <row r="105" spans="3:30" ht="15" customHeight="1" x14ac:dyDescent="0.25">
      <c r="E105" s="1" t="s">
        <v>127</v>
      </c>
      <c r="F105" s="472" t="s">
        <v>363</v>
      </c>
      <c r="G105" s="41">
        <v>1000000</v>
      </c>
      <c r="H105" s="41">
        <v>1000000</v>
      </c>
      <c r="I105" s="41">
        <v>1000000</v>
      </c>
      <c r="J105" s="41">
        <v>1000000</v>
      </c>
      <c r="K105" s="41">
        <v>1000000</v>
      </c>
      <c r="L105" s="41">
        <v>1000000</v>
      </c>
      <c r="M105" s="41">
        <v>1000000</v>
      </c>
      <c r="N105" s="41">
        <v>1000000</v>
      </c>
      <c r="O105" s="41">
        <v>1000000</v>
      </c>
    </row>
    <row r="106" spans="3:30" x14ac:dyDescent="0.25">
      <c r="E106" s="63">
        <f>+VPN</f>
        <v>-424231902.81610167</v>
      </c>
      <c r="F106" s="41">
        <v>20000000</v>
      </c>
      <c r="G106" s="44">
        <f>F106+G105</f>
        <v>21000000</v>
      </c>
      <c r="H106" s="44">
        <f t="shared" ref="H106:O106" si="35">G106+H105</f>
        <v>22000000</v>
      </c>
      <c r="I106" s="44">
        <f t="shared" si="35"/>
        <v>23000000</v>
      </c>
      <c r="J106" s="44">
        <f t="shared" si="35"/>
        <v>24000000</v>
      </c>
      <c r="K106" s="44">
        <f t="shared" si="35"/>
        <v>25000000</v>
      </c>
      <c r="L106" s="44">
        <f t="shared" si="35"/>
        <v>26000000</v>
      </c>
      <c r="M106" s="44">
        <f t="shared" si="35"/>
        <v>27000000</v>
      </c>
      <c r="N106" s="44">
        <f t="shared" si="35"/>
        <v>28000000</v>
      </c>
      <c r="O106" s="44">
        <f t="shared" si="35"/>
        <v>29000000</v>
      </c>
    </row>
    <row r="107" spans="3:30" x14ac:dyDescent="0.25">
      <c r="D107" s="22">
        <v>0.01</v>
      </c>
      <c r="E107" s="22">
        <v>0.01</v>
      </c>
      <c r="F107" s="40">
        <f t="dataTable" ref="F107:O130" dt2D="1" dtr="1" r1="G24" r2="E91"/>
        <v>-467905733.68541467</v>
      </c>
      <c r="G107" s="40">
        <v>-466915634.67551368</v>
      </c>
      <c r="H107" s="40">
        <v>-465925535.6656127</v>
      </c>
      <c r="I107" s="40">
        <v>-464935436.65571171</v>
      </c>
      <c r="J107" s="40">
        <v>-463945337.64581072</v>
      </c>
      <c r="K107" s="40">
        <v>-462955238.63590974</v>
      </c>
      <c r="L107" s="40">
        <v>-461965139.62600875</v>
      </c>
      <c r="M107" s="40">
        <v>-460975040.61610776</v>
      </c>
      <c r="N107" s="40">
        <v>-459984941.60620677</v>
      </c>
      <c r="O107" s="40">
        <v>-458994842.59630573</v>
      </c>
    </row>
    <row r="108" spans="3:30" x14ac:dyDescent="0.25">
      <c r="E108" s="142">
        <f>+E107+$D$107</f>
        <v>0.02</v>
      </c>
      <c r="F108" s="40">
        <v>-459769270.50209504</v>
      </c>
      <c r="G108" s="40">
        <v>-458788878.34523231</v>
      </c>
      <c r="H108" s="40">
        <v>-457808486.18836957</v>
      </c>
      <c r="I108" s="40">
        <v>-456828094.03150678</v>
      </c>
      <c r="J108" s="40">
        <v>-455847701.87464404</v>
      </c>
      <c r="K108" s="40">
        <v>-454867309.71778131</v>
      </c>
      <c r="L108" s="40">
        <v>-453886917.56091857</v>
      </c>
      <c r="M108" s="40">
        <v>-452906525.40405583</v>
      </c>
      <c r="N108" s="40">
        <v>-451926133.2471931</v>
      </c>
      <c r="O108" s="40">
        <v>-450945741.09033036</v>
      </c>
    </row>
    <row r="109" spans="3:30" x14ac:dyDescent="0.25">
      <c r="E109" s="142">
        <f t="shared" ref="E109:E130" si="36">+E108+$D$107</f>
        <v>0.03</v>
      </c>
      <c r="F109" s="40">
        <v>-451991243.24819911</v>
      </c>
      <c r="G109" s="40">
        <v>-451020369.46179134</v>
      </c>
      <c r="H109" s="40">
        <v>-450049495.67538357</v>
      </c>
      <c r="I109" s="40">
        <v>-449078621.8889758</v>
      </c>
      <c r="J109" s="40">
        <v>-448107748.10256803</v>
      </c>
      <c r="K109" s="40">
        <v>-447136874.31616026</v>
      </c>
      <c r="L109" s="40">
        <v>-446166000.52975249</v>
      </c>
      <c r="M109" s="40">
        <v>-445195126.74334472</v>
      </c>
      <c r="N109" s="40">
        <v>-444224252.95693696</v>
      </c>
      <c r="O109" s="40">
        <v>-443253379.17052919</v>
      </c>
    </row>
    <row r="110" spans="3:30" x14ac:dyDescent="0.25">
      <c r="E110" s="142">
        <f t="shared" si="36"/>
        <v>0.04</v>
      </c>
      <c r="F110" s="40">
        <v>-444551557.83906651</v>
      </c>
      <c r="G110" s="40">
        <v>-443590019.37752807</v>
      </c>
      <c r="H110" s="40">
        <v>-442628480.91598958</v>
      </c>
      <c r="I110" s="40">
        <v>-441666942.45445108</v>
      </c>
      <c r="J110" s="40">
        <v>-440705403.99291265</v>
      </c>
      <c r="K110" s="40">
        <v>-439743865.53137422</v>
      </c>
      <c r="L110" s="40">
        <v>-438782327.06983572</v>
      </c>
      <c r="M110" s="40">
        <v>-437820788.60829723</v>
      </c>
      <c r="N110" s="40">
        <v>-436859250.14675879</v>
      </c>
      <c r="O110" s="40">
        <v>-435897711.68522036</v>
      </c>
    </row>
    <row r="111" spans="3:30" x14ac:dyDescent="0.25">
      <c r="E111" s="142">
        <f t="shared" si="36"/>
        <v>0.05</v>
      </c>
      <c r="F111" s="40">
        <v>-437431461.18078029</v>
      </c>
      <c r="G111" s="40">
        <v>-436479080.22839928</v>
      </c>
      <c r="H111" s="40">
        <v>-435526699.27601838</v>
      </c>
      <c r="I111" s="40">
        <v>-434574318.32363737</v>
      </c>
      <c r="J111" s="40">
        <v>-433621937.37125647</v>
      </c>
      <c r="K111" s="40">
        <v>-432669556.41887546</v>
      </c>
      <c r="L111" s="40">
        <v>-431717175.46649456</v>
      </c>
      <c r="M111" s="40">
        <v>-430764794.51411355</v>
      </c>
      <c r="N111" s="40">
        <v>-429812413.56173265</v>
      </c>
      <c r="O111" s="40">
        <v>-428860032.60935169</v>
      </c>
    </row>
    <row r="112" spans="3:30" x14ac:dyDescent="0.25">
      <c r="E112" s="142">
        <f t="shared" si="36"/>
        <v>6.0000000000000005E-2</v>
      </c>
      <c r="F112" s="40">
        <v>-430613438.4033494</v>
      </c>
      <c r="G112" s="40">
        <v>-429670042.17693424</v>
      </c>
      <c r="H112" s="40">
        <v>-428726645.9505192</v>
      </c>
      <c r="I112" s="40">
        <v>-427783249.72410411</v>
      </c>
      <c r="J112" s="40">
        <v>-426839853.49768901</v>
      </c>
      <c r="K112" s="40">
        <v>-425896457.27127391</v>
      </c>
      <c r="L112" s="40">
        <v>-424953061.04485881</v>
      </c>
      <c r="M112" s="40">
        <v>-424009664.81844372</v>
      </c>
      <c r="N112" s="40">
        <v>-423066268.59202862</v>
      </c>
      <c r="O112" s="40">
        <v>-422122872.36561352</v>
      </c>
    </row>
    <row r="113" spans="5:15" x14ac:dyDescent="0.25">
      <c r="E113" s="142">
        <f t="shared" si="36"/>
        <v>7.0000000000000007E-2</v>
      </c>
      <c r="F113" s="40">
        <v>-424081118.93309569</v>
      </c>
      <c r="G113" s="40">
        <v>-423146539.49384332</v>
      </c>
      <c r="H113" s="40">
        <v>-422211960.054591</v>
      </c>
      <c r="I113" s="40">
        <v>-421277380.61533868</v>
      </c>
      <c r="J113" s="40">
        <v>-420342801.17608631</v>
      </c>
      <c r="K113" s="40">
        <v>-419408221.73683399</v>
      </c>
      <c r="L113" s="40">
        <v>-418473642.29758167</v>
      </c>
      <c r="M113" s="40">
        <v>-417539062.8583293</v>
      </c>
      <c r="N113" s="40">
        <v>-416604483.41907698</v>
      </c>
      <c r="O113" s="40">
        <v>-415669903.97982466</v>
      </c>
    </row>
    <row r="114" spans="5:15" x14ac:dyDescent="0.25">
      <c r="E114" s="142">
        <f t="shared" si="36"/>
        <v>0.08</v>
      </c>
      <c r="F114" s="40">
        <v>-417819190.5645026</v>
      </c>
      <c r="G114" s="40">
        <v>-416893264.63857669</v>
      </c>
      <c r="H114" s="40">
        <v>-415967338.71265078</v>
      </c>
      <c r="I114" s="40">
        <v>-415041412.78672481</v>
      </c>
      <c r="J114" s="40">
        <v>-414115486.8607989</v>
      </c>
      <c r="K114" s="40">
        <v>-413189560.93487298</v>
      </c>
      <c r="L114" s="40">
        <v>-412263635.00894701</v>
      </c>
      <c r="M114" s="40">
        <v>-411337709.0830211</v>
      </c>
      <c r="N114" s="40">
        <v>-410411783.15709519</v>
      </c>
      <c r="O114" s="40">
        <v>-409485857.23116922</v>
      </c>
    </row>
    <row r="115" spans="5:15" x14ac:dyDescent="0.25">
      <c r="E115" s="142">
        <f t="shared" si="36"/>
        <v>0.09</v>
      </c>
      <c r="F115" s="40">
        <v>-411813320.7788524</v>
      </c>
      <c r="G115" s="40">
        <v>-410895889.58619189</v>
      </c>
      <c r="H115" s="40">
        <v>-409978458.39353132</v>
      </c>
      <c r="I115" s="40">
        <v>-409061027.20087075</v>
      </c>
      <c r="J115" s="40">
        <v>-408143596.00821018</v>
      </c>
      <c r="K115" s="40">
        <v>-407226164.81554961</v>
      </c>
      <c r="L115" s="40">
        <v>-406308733.6228891</v>
      </c>
      <c r="M115" s="40">
        <v>-405391302.43022859</v>
      </c>
      <c r="N115" s="40">
        <v>-404473871.23756802</v>
      </c>
      <c r="O115" s="40">
        <v>-403556440.04490745</v>
      </c>
    </row>
    <row r="116" spans="5:15" x14ac:dyDescent="0.25">
      <c r="E116" s="142">
        <f t="shared" si="36"/>
        <v>9.9999999999999992E-2</v>
      </c>
      <c r="F116" s="40">
        <v>-406050084.63428348</v>
      </c>
      <c r="G116" s="40">
        <v>-405140993.72519255</v>
      </c>
      <c r="H116" s="40">
        <v>-404231902.81610167</v>
      </c>
      <c r="I116" s="40">
        <v>-403322811.90701073</v>
      </c>
      <c r="J116" s="40">
        <v>-402413720.9979198</v>
      </c>
      <c r="K116" s="40">
        <v>-401504630.08882892</v>
      </c>
      <c r="L116" s="40">
        <v>-400595539.17973804</v>
      </c>
      <c r="M116" s="40">
        <v>-399686448.27064711</v>
      </c>
      <c r="N116" s="40">
        <v>-398777357.36155617</v>
      </c>
      <c r="O116" s="40">
        <v>-397868266.4524653</v>
      </c>
    </row>
    <row r="117" spans="5:15" x14ac:dyDescent="0.25">
      <c r="E117" s="142">
        <f t="shared" si="36"/>
        <v>0.10999999999999999</v>
      </c>
      <c r="F117" s="40">
        <v>-400516898.62061965</v>
      </c>
      <c r="G117" s="40">
        <v>-399615997.71971869</v>
      </c>
      <c r="H117" s="40">
        <v>-398715096.81881785</v>
      </c>
      <c r="I117" s="40">
        <v>-397814195.91791689</v>
      </c>
      <c r="J117" s="40">
        <v>-396913295.01701605</v>
      </c>
      <c r="K117" s="40">
        <v>-396012394.11611509</v>
      </c>
      <c r="L117" s="40">
        <v>-395111493.21521425</v>
      </c>
      <c r="M117" s="40">
        <v>-394210592.31431329</v>
      </c>
      <c r="N117" s="40">
        <v>-393309691.41341245</v>
      </c>
      <c r="O117" s="40">
        <v>-392408790.51251149</v>
      </c>
    </row>
    <row r="118" spans="5:15" x14ac:dyDescent="0.25">
      <c r="E118" s="142">
        <f t="shared" si="36"/>
        <v>0.11999999999999998</v>
      </c>
      <c r="F118" s="40">
        <v>-395201959.93347931</v>
      </c>
      <c r="G118" s="40">
        <v>-394309102.79062217</v>
      </c>
      <c r="H118" s="40">
        <v>-393416245.64776504</v>
      </c>
      <c r="I118" s="40">
        <v>-392523388.50490785</v>
      </c>
      <c r="J118" s="40">
        <v>-391630531.36205077</v>
      </c>
      <c r="K118" s="40">
        <v>-390737674.21919358</v>
      </c>
      <c r="L118" s="40">
        <v>-389844817.0763365</v>
      </c>
      <c r="M118" s="40">
        <v>-388951959.93347931</v>
      </c>
      <c r="N118" s="40">
        <v>-388059102.79062217</v>
      </c>
      <c r="O118" s="40">
        <v>-387166245.64776504</v>
      </c>
    </row>
    <row r="119" spans="5:15" x14ac:dyDescent="0.25">
      <c r="E119" s="142">
        <f t="shared" si="36"/>
        <v>0.12999999999999998</v>
      </c>
      <c r="F119" s="40">
        <v>-390094190.67666316</v>
      </c>
      <c r="G119" s="40">
        <v>-389209234.92445076</v>
      </c>
      <c r="H119" s="40">
        <v>-388324279.17223835</v>
      </c>
      <c r="I119" s="40">
        <v>-387439323.42002594</v>
      </c>
      <c r="J119" s="40">
        <v>-386554367.66781354</v>
      </c>
      <c r="K119" s="40">
        <v>-385669411.91560119</v>
      </c>
      <c r="L119" s="40">
        <v>-384784456.16338879</v>
      </c>
      <c r="M119" s="40">
        <v>-383899500.41117644</v>
      </c>
      <c r="N119" s="40">
        <v>-383014544.65896404</v>
      </c>
      <c r="O119" s="40">
        <v>-382129588.90675163</v>
      </c>
    </row>
    <row r="120" spans="5:15" x14ac:dyDescent="0.25">
      <c r="E120" s="142">
        <f t="shared" si="36"/>
        <v>0.13999999999999999</v>
      </c>
      <c r="F120" s="40">
        <v>-385183186.5504117</v>
      </c>
      <c r="G120" s="40">
        <v>-384305993.56795561</v>
      </c>
      <c r="H120" s="40">
        <v>-383428800.58549947</v>
      </c>
      <c r="I120" s="40">
        <v>-382551607.60304332</v>
      </c>
      <c r="J120" s="40">
        <v>-381674414.62058717</v>
      </c>
      <c r="K120" s="40">
        <v>-380797221.63813102</v>
      </c>
      <c r="L120" s="40">
        <v>-379920028.65567493</v>
      </c>
      <c r="M120" s="40">
        <v>-379042835.67321873</v>
      </c>
      <c r="N120" s="40">
        <v>-378165642.69076264</v>
      </c>
      <c r="O120" s="40">
        <v>-377288449.70830643</v>
      </c>
    </row>
    <row r="121" spans="5:15" x14ac:dyDescent="0.25">
      <c r="E121" s="142">
        <f t="shared" si="36"/>
        <v>0.15</v>
      </c>
      <c r="F121" s="40">
        <v>-380459169.62652522</v>
      </c>
      <c r="G121" s="40">
        <v>-379589604.40913391</v>
      </c>
      <c r="H121" s="40">
        <v>-378720039.19174266</v>
      </c>
      <c r="I121" s="40">
        <v>-377850473.97435129</v>
      </c>
      <c r="J121" s="40">
        <v>-376980908.75696003</v>
      </c>
      <c r="K121" s="40">
        <v>-376111343.53956872</v>
      </c>
      <c r="L121" s="40">
        <v>-375241778.32217741</v>
      </c>
      <c r="M121" s="40">
        <v>-374372213.1047861</v>
      </c>
      <c r="N121" s="40">
        <v>-373502647.88739479</v>
      </c>
      <c r="O121" s="40">
        <v>-372633082.67000353</v>
      </c>
    </row>
    <row r="122" spans="5:15" x14ac:dyDescent="0.25">
      <c r="E122" s="142">
        <f t="shared" si="36"/>
        <v>0.16</v>
      </c>
      <c r="F122" s="40">
        <v>-375912944.85011852</v>
      </c>
      <c r="G122" s="40">
        <v>-375050875.88460124</v>
      </c>
      <c r="H122" s="40">
        <v>-374188806.91908395</v>
      </c>
      <c r="I122" s="40">
        <v>-373326737.95356679</v>
      </c>
      <c r="J122" s="40">
        <v>-372464668.98804951</v>
      </c>
      <c r="K122" s="40">
        <v>-371602600.02253228</v>
      </c>
      <c r="L122" s="40">
        <v>-370740531.05701506</v>
      </c>
      <c r="M122" s="40">
        <v>-369878462.09149778</v>
      </c>
      <c r="N122" s="40">
        <v>-369016393.12598056</v>
      </c>
      <c r="O122" s="40">
        <v>-368154324.16046333</v>
      </c>
    </row>
    <row r="123" spans="5:15" x14ac:dyDescent="0.25">
      <c r="E123" s="142">
        <f t="shared" si="36"/>
        <v>0.17</v>
      </c>
      <c r="F123" s="40">
        <v>-371535859.94249487</v>
      </c>
      <c r="G123" s="40">
        <v>-370681159.08779407</v>
      </c>
      <c r="H123" s="40">
        <v>-369826458.23309314</v>
      </c>
      <c r="I123" s="40">
        <v>-368971757.37839234</v>
      </c>
      <c r="J123" s="40">
        <v>-368117056.52369148</v>
      </c>
      <c r="K123" s="40">
        <v>-367262355.66899061</v>
      </c>
      <c r="L123" s="40">
        <v>-366407654.81428975</v>
      </c>
      <c r="M123" s="40">
        <v>-365552953.95958889</v>
      </c>
      <c r="N123" s="40">
        <v>-364698253.10488808</v>
      </c>
      <c r="O123" s="40">
        <v>-363843552.25018716</v>
      </c>
    </row>
    <row r="124" spans="5:15" x14ac:dyDescent="0.25">
      <c r="E124" s="142">
        <f t="shared" si="36"/>
        <v>0.18000000000000002</v>
      </c>
      <c r="F124" s="40">
        <v>-367319768.41070497</v>
      </c>
      <c r="G124" s="40">
        <v>-366472310.78358626</v>
      </c>
      <c r="H124" s="40">
        <v>-365624853.15646768</v>
      </c>
      <c r="I124" s="40">
        <v>-364777395.52934903</v>
      </c>
      <c r="J124" s="40">
        <v>-363929937.90223038</v>
      </c>
      <c r="K124" s="40">
        <v>-363082480.27511173</v>
      </c>
      <c r="L124" s="40">
        <v>-362235022.64799309</v>
      </c>
      <c r="M124" s="40">
        <v>-361387565.02087444</v>
      </c>
      <c r="N124" s="40">
        <v>-360540107.39375579</v>
      </c>
      <c r="O124" s="40">
        <v>-359692649.76663715</v>
      </c>
    </row>
    <row r="125" spans="5:15" x14ac:dyDescent="0.25">
      <c r="E125" s="142">
        <f t="shared" si="36"/>
        <v>0.19000000000000003</v>
      </c>
      <c r="F125" s="40">
        <v>-363256995.39722943</v>
      </c>
      <c r="G125" s="40">
        <v>-362416659.26277566</v>
      </c>
      <c r="H125" s="40">
        <v>-361576323.12832189</v>
      </c>
      <c r="I125" s="40">
        <v>-360735986.99386811</v>
      </c>
      <c r="J125" s="40">
        <v>-359895650.85941434</v>
      </c>
      <c r="K125" s="40">
        <v>-359055314.72496057</v>
      </c>
      <c r="L125" s="40">
        <v>-358214978.59050673</v>
      </c>
      <c r="M125" s="40">
        <v>-357374642.45605296</v>
      </c>
      <c r="N125" s="40">
        <v>-356534306.32159919</v>
      </c>
      <c r="O125" s="40">
        <v>-355693970.18714541</v>
      </c>
    </row>
    <row r="126" spans="5:15" x14ac:dyDescent="0.25">
      <c r="E126" s="142">
        <f t="shared" si="36"/>
        <v>0.20000000000000004</v>
      </c>
      <c r="F126" s="40">
        <v>-359340306.12823915</v>
      </c>
      <c r="G126" s="40">
        <v>-358506972.79490578</v>
      </c>
      <c r="H126" s="40">
        <v>-357673639.46157247</v>
      </c>
      <c r="I126" s="40">
        <v>-356840306.12823915</v>
      </c>
      <c r="J126" s="40">
        <v>-356006972.79490578</v>
      </c>
      <c r="K126" s="40">
        <v>-355173639.46157247</v>
      </c>
      <c r="L126" s="40">
        <v>-354340306.12823915</v>
      </c>
      <c r="M126" s="40">
        <v>-353506972.79490578</v>
      </c>
      <c r="N126" s="40">
        <v>-352673639.46157247</v>
      </c>
      <c r="O126" s="40">
        <v>-351840306.12823915</v>
      </c>
    </row>
    <row r="127" spans="5:15" x14ac:dyDescent="0.25">
      <c r="E127" s="142">
        <f t="shared" si="36"/>
        <v>0.21000000000000005</v>
      </c>
      <c r="F127" s="40">
        <v>-355562876.74135613</v>
      </c>
      <c r="G127" s="40">
        <v>-354736430.46036446</v>
      </c>
      <c r="H127" s="40">
        <v>-353909984.17937267</v>
      </c>
      <c r="I127" s="40">
        <v>-353083537.89838099</v>
      </c>
      <c r="J127" s="40">
        <v>-352257091.6173892</v>
      </c>
      <c r="K127" s="40">
        <v>-351430645.33639753</v>
      </c>
      <c r="L127" s="40">
        <v>-350604199.05540574</v>
      </c>
      <c r="M127" s="40">
        <v>-349777752.77441406</v>
      </c>
      <c r="N127" s="40">
        <v>-348951306.49342227</v>
      </c>
      <c r="O127" s="40">
        <v>-348124860.2124306</v>
      </c>
    </row>
    <row r="128" spans="5:15" x14ac:dyDescent="0.25">
      <c r="E128" s="142">
        <f t="shared" si="36"/>
        <v>0.22000000000000006</v>
      </c>
      <c r="F128" s="40">
        <v>-351918267.29404837</v>
      </c>
      <c r="G128" s="40">
        <v>-351098595.16290081</v>
      </c>
      <c r="H128" s="40">
        <v>-350278923.0317533</v>
      </c>
      <c r="I128" s="40">
        <v>-349459250.90060574</v>
      </c>
      <c r="J128" s="40">
        <v>-348639578.76945817</v>
      </c>
      <c r="K128" s="40">
        <v>-347819906.63831067</v>
      </c>
      <c r="L128" s="40">
        <v>-347000234.50716317</v>
      </c>
      <c r="M128" s="40">
        <v>-346180562.37601554</v>
      </c>
      <c r="N128" s="40">
        <v>-345360890.24486804</v>
      </c>
      <c r="O128" s="40">
        <v>-344541218.11372054</v>
      </c>
    </row>
    <row r="129" spans="5:22" x14ac:dyDescent="0.25">
      <c r="E129" s="142">
        <f t="shared" si="36"/>
        <v>0.23000000000000007</v>
      </c>
      <c r="F129" s="40">
        <v>-348400396.77197576</v>
      </c>
      <c r="G129" s="40">
        <v>-347587388.64189446</v>
      </c>
      <c r="H129" s="40">
        <v>-346774380.51181316</v>
      </c>
      <c r="I129" s="40">
        <v>-345961372.38173181</v>
      </c>
      <c r="J129" s="40">
        <v>-345148364.25165051</v>
      </c>
      <c r="K129" s="40">
        <v>-344335356.12156922</v>
      </c>
      <c r="L129" s="40">
        <v>-343522347.99148792</v>
      </c>
      <c r="M129" s="40">
        <v>-342709339.86140662</v>
      </c>
      <c r="N129" s="40">
        <v>-341896331.73132533</v>
      </c>
      <c r="O129" s="40">
        <v>-341083323.60124397</v>
      </c>
    </row>
    <row r="130" spans="5:22" x14ac:dyDescent="0.25">
      <c r="E130" s="142">
        <f t="shared" si="36"/>
        <v>0.24000000000000007</v>
      </c>
      <c r="F130" s="40">
        <v>-345003519.93299276</v>
      </c>
      <c r="G130" s="40">
        <v>-344197068.32008958</v>
      </c>
      <c r="H130" s="40">
        <v>-343390616.70718634</v>
      </c>
      <c r="I130" s="40">
        <v>-342584165.0942831</v>
      </c>
      <c r="J130" s="40">
        <v>-341777713.48137987</v>
      </c>
      <c r="K130" s="40">
        <v>-340971261.86847663</v>
      </c>
      <c r="L130" s="40">
        <v>-340164810.25557339</v>
      </c>
      <c r="M130" s="40">
        <v>-339358358.64267015</v>
      </c>
      <c r="N130" s="40">
        <v>-338551907.02976698</v>
      </c>
      <c r="O130" s="40">
        <v>-337745455.41686374</v>
      </c>
    </row>
    <row r="132" spans="5:22" ht="18.75" x14ac:dyDescent="0.3">
      <c r="Q132" s="92" t="s">
        <v>104</v>
      </c>
    </row>
    <row r="133" spans="5:22" x14ac:dyDescent="0.25">
      <c r="Q133" s="14" t="s">
        <v>41</v>
      </c>
      <c r="R133" s="14" t="s">
        <v>63</v>
      </c>
      <c r="S133" s="14" t="s">
        <v>62</v>
      </c>
      <c r="T133" s="14" t="s">
        <v>102</v>
      </c>
      <c r="U133" s="14" t="s">
        <v>77</v>
      </c>
      <c r="V133" s="14" t="s">
        <v>105</v>
      </c>
    </row>
    <row r="134" spans="5:22" x14ac:dyDescent="0.25">
      <c r="Q134" s="3"/>
      <c r="R134" s="40"/>
      <c r="S134" s="95"/>
      <c r="T134" s="95"/>
      <c r="U134" s="96"/>
      <c r="V134" s="40"/>
    </row>
    <row r="135" spans="5:22" x14ac:dyDescent="0.25">
      <c r="Q135" s="100">
        <v>2000</v>
      </c>
      <c r="R135" s="40"/>
      <c r="S135" s="95"/>
      <c r="T135" s="95"/>
      <c r="U135" s="96"/>
      <c r="V135" s="40"/>
    </row>
    <row r="136" spans="5:22" x14ac:dyDescent="0.25">
      <c r="P136" s="100">
        <v>200</v>
      </c>
      <c r="Q136" s="97">
        <f>Q135+$P$136</f>
        <v>2200</v>
      </c>
      <c r="R136" s="40"/>
      <c r="S136" s="95"/>
      <c r="T136" s="95"/>
      <c r="U136" s="96"/>
      <c r="V136" s="40"/>
    </row>
    <row r="137" spans="5:22" x14ac:dyDescent="0.25">
      <c r="Q137" s="97">
        <f t="shared" ref="Q137:Q151" si="37">Q136+$P$136</f>
        <v>2400</v>
      </c>
      <c r="R137" s="40"/>
      <c r="S137" s="95"/>
      <c r="T137" s="95"/>
      <c r="U137" s="96"/>
      <c r="V137" s="40"/>
    </row>
    <row r="138" spans="5:22" x14ac:dyDescent="0.25">
      <c r="Q138" s="97">
        <f t="shared" si="37"/>
        <v>2600</v>
      </c>
      <c r="R138" s="40"/>
      <c r="S138" s="95"/>
      <c r="T138" s="95"/>
      <c r="U138" s="96"/>
      <c r="V138" s="40"/>
    </row>
    <row r="139" spans="5:22" x14ac:dyDescent="0.25">
      <c r="Q139" s="97">
        <f t="shared" si="37"/>
        <v>2800</v>
      </c>
      <c r="R139" s="40"/>
      <c r="S139" s="95"/>
      <c r="T139" s="95"/>
      <c r="U139" s="96"/>
      <c r="V139" s="40"/>
    </row>
    <row r="140" spans="5:22" x14ac:dyDescent="0.25">
      <c r="Q140" s="97">
        <f t="shared" si="37"/>
        <v>3000</v>
      </c>
      <c r="R140" s="40"/>
      <c r="S140" s="95"/>
      <c r="T140" s="95"/>
      <c r="U140" s="96"/>
      <c r="V140" s="40"/>
    </row>
    <row r="141" spans="5:22" x14ac:dyDescent="0.25">
      <c r="Q141" s="97">
        <f t="shared" si="37"/>
        <v>3200</v>
      </c>
      <c r="R141" s="40"/>
      <c r="S141" s="95"/>
      <c r="T141" s="95"/>
      <c r="U141" s="96"/>
      <c r="V141" s="40"/>
    </row>
    <row r="142" spans="5:22" x14ac:dyDescent="0.25">
      <c r="Q142" s="97">
        <f t="shared" si="37"/>
        <v>3400</v>
      </c>
      <c r="R142" s="40"/>
      <c r="S142" s="95"/>
      <c r="T142" s="95"/>
      <c r="U142" s="96"/>
      <c r="V142" s="40"/>
    </row>
    <row r="143" spans="5:22" x14ac:dyDescent="0.25">
      <c r="Q143" s="97">
        <f t="shared" si="37"/>
        <v>3600</v>
      </c>
      <c r="R143" s="40"/>
      <c r="S143" s="95"/>
      <c r="T143" s="95"/>
      <c r="U143" s="96"/>
      <c r="V143" s="40"/>
    </row>
    <row r="144" spans="5:22" x14ac:dyDescent="0.25">
      <c r="Q144" s="97">
        <f t="shared" si="37"/>
        <v>3800</v>
      </c>
      <c r="R144" s="40"/>
      <c r="S144" s="95"/>
      <c r="T144" s="95"/>
      <c r="U144" s="96"/>
      <c r="V144" s="40"/>
    </row>
    <row r="145" spans="17:22" x14ac:dyDescent="0.25">
      <c r="Q145" s="97">
        <f t="shared" si="37"/>
        <v>4000</v>
      </c>
      <c r="R145" s="40"/>
      <c r="S145" s="95"/>
      <c r="T145" s="95"/>
      <c r="U145" s="96"/>
      <c r="V145" s="40"/>
    </row>
    <row r="146" spans="17:22" x14ac:dyDescent="0.25">
      <c r="Q146" s="97">
        <f t="shared" si="37"/>
        <v>4200</v>
      </c>
      <c r="R146" s="40"/>
      <c r="S146" s="95"/>
      <c r="T146" s="95"/>
      <c r="U146" s="96"/>
      <c r="V146" s="40"/>
    </row>
    <row r="147" spans="17:22" x14ac:dyDescent="0.25">
      <c r="Q147" s="97">
        <f t="shared" si="37"/>
        <v>4400</v>
      </c>
      <c r="R147" s="40"/>
      <c r="S147" s="95"/>
      <c r="T147" s="95"/>
      <c r="U147" s="96"/>
      <c r="V147" s="40"/>
    </row>
    <row r="148" spans="17:22" x14ac:dyDescent="0.25">
      <c r="Q148" s="97">
        <f t="shared" si="37"/>
        <v>4600</v>
      </c>
      <c r="R148" s="40"/>
      <c r="S148" s="95"/>
      <c r="T148" s="95"/>
      <c r="U148" s="96"/>
      <c r="V148" s="40"/>
    </row>
    <row r="149" spans="17:22" x14ac:dyDescent="0.25">
      <c r="Q149" s="97">
        <f t="shared" si="37"/>
        <v>4800</v>
      </c>
      <c r="R149" s="40"/>
      <c r="S149" s="95"/>
      <c r="T149" s="95"/>
      <c r="U149" s="96"/>
      <c r="V149" s="40"/>
    </row>
    <row r="150" spans="17:22" x14ac:dyDescent="0.25">
      <c r="Q150" s="97">
        <f t="shared" si="37"/>
        <v>5000</v>
      </c>
      <c r="R150" s="40"/>
      <c r="S150" s="95"/>
      <c r="T150" s="95"/>
      <c r="U150" s="96"/>
      <c r="V150" s="40"/>
    </row>
    <row r="151" spans="17:22" x14ac:dyDescent="0.25">
      <c r="Q151" s="97">
        <f t="shared" si="37"/>
        <v>5200</v>
      </c>
      <c r="R151" s="40"/>
      <c r="S151" s="95"/>
      <c r="T151" s="95"/>
      <c r="U151" s="96"/>
      <c r="V151" s="40"/>
    </row>
    <row r="169" spans="23:25" x14ac:dyDescent="0.25">
      <c r="W169" s="3" t="s">
        <v>106</v>
      </c>
      <c r="X169" s="40"/>
    </row>
    <row r="170" spans="23:25" x14ac:dyDescent="0.25">
      <c r="W170" s="3" t="s">
        <v>107</v>
      </c>
      <c r="X170" s="40"/>
    </row>
    <row r="171" spans="23:25" x14ac:dyDescent="0.25">
      <c r="W171" s="3"/>
      <c r="X171" s="3" t="s">
        <v>108</v>
      </c>
      <c r="Y171" s="3" t="s">
        <v>63</v>
      </c>
    </row>
    <row r="172" spans="23:25" x14ac:dyDescent="0.25">
      <c r="W172" s="3">
        <v>1</v>
      </c>
      <c r="X172" s="97"/>
      <c r="Y172" s="97"/>
    </row>
    <row r="173" spans="23:25" x14ac:dyDescent="0.25">
      <c r="W173" s="3">
        <v>2</v>
      </c>
      <c r="X173" s="97"/>
      <c r="Y173" s="97"/>
    </row>
    <row r="174" spans="23:25" x14ac:dyDescent="0.25">
      <c r="X174" s="94"/>
    </row>
    <row r="175" spans="23:25" x14ac:dyDescent="0.25">
      <c r="W175" s="541" t="s">
        <v>109</v>
      </c>
      <c r="X175" s="541"/>
    </row>
    <row r="176" spans="23:25" x14ac:dyDescent="0.25">
      <c r="W176" s="3" t="s">
        <v>110</v>
      </c>
      <c r="X176" s="97"/>
    </row>
    <row r="177" spans="23:25" x14ac:dyDescent="0.25">
      <c r="W177" s="3" t="s">
        <v>111</v>
      </c>
      <c r="X177" s="97"/>
    </row>
    <row r="178" spans="23:25" x14ac:dyDescent="0.25">
      <c r="W178" s="3" t="s">
        <v>112</v>
      </c>
      <c r="X178" s="40"/>
      <c r="Y178" s="93"/>
    </row>
    <row r="179" spans="23:25" x14ac:dyDescent="0.25">
      <c r="W179" s="3" t="s">
        <v>113</v>
      </c>
      <c r="X179" s="40"/>
      <c r="Y179" s="93"/>
    </row>
    <row r="181" spans="23:25" x14ac:dyDescent="0.25">
      <c r="W181" s="3" t="s">
        <v>114</v>
      </c>
      <c r="X181" s="3"/>
    </row>
  </sheetData>
  <scenarios current="0" show="0" sqref="F90:K90 E91 E93 E94 E95 E96 E99">
    <scenario name="Sin Financiación" locked="1" count="1" user="Francisco" comment="Creado por Francisco el 19/05/2020">
      <inputCells r="C2" val="401"/>
    </scenario>
    <scenario name="C U " locked="1" count="1" user="Francisco" comment="Creado por Francisco el 19/05/2020">
      <inputCells r="C2" val="402"/>
    </scenario>
    <scenario name="P C C" locked="1" count="1" user="Francisco" comment="Creado por Francisco el 19/05/2020">
      <inputCells r="C2" val="403"/>
    </scenario>
    <scenario name="P I - S I" locked="1" count="1" user="Francisco" comment="Creado por Francisco el 19/05/2020">
      <inputCells r="C2" val="404"/>
    </scenario>
    <scenario name="P F" locked="1" count="1" user="Francisco" comment="Creado por Francisco el 19/05/2020">
      <inputCells r="C2" val="405"/>
    </scenario>
    <scenario name="G A C" locked="1" count="1" user="Francisco" comment="Creado por Francisco el 19/05/2020">
      <inputCells r="C2" val="406"/>
    </scenario>
    <scenario name="G A D" locked="1" count="1" user="Francisco" comment="Creado por Francisco el 19/05/2020">
      <inputCells r="C2" val="407"/>
    </scenario>
    <scenario name="G G C" locked="1" count="1" user="Francisco" comment="Creado por Francisco el 19/05/2020">
      <inputCells r="C2" val="408"/>
    </scenario>
    <scenario name="G G D" locked="1" count="1" user="Francisco" comment="Creado por Francisco el 19/05/2020">
      <inputCells r="C2" val="409"/>
    </scenario>
    <scenario name="Leasing" locked="1" count="1" user="Francisco" comment="Creado por Francisco el 19/05/2020">
      <inputCells r="C2" val="410"/>
    </scenario>
  </scenarios>
  <mergeCells count="1">
    <mergeCell ref="W175:X175"/>
  </mergeCells>
  <phoneticPr fontId="64" type="noConversion"/>
  <conditionalFormatting sqref="F107:O130">
    <cfRule type="cellIs" dxfId="46" priority="15" operator="between">
      <formula>0</formula>
      <formula>1999999</formula>
    </cfRule>
    <cfRule type="cellIs" dxfId="45" priority="16" operator="greaterThan">
      <formula>2000000</formula>
    </cfRule>
    <cfRule type="cellIs" dxfId="44" priority="17" operator="greaterThan">
      <formula>2000000</formula>
    </cfRule>
    <cfRule type="cellIs" dxfId="43" priority="18" operator="greaterThan">
      <formula>0</formula>
    </cfRule>
    <cfRule type="cellIs" dxfId="42" priority="19" operator="lessThan">
      <formula>0</formula>
    </cfRule>
    <cfRule type="cellIs" dxfId="41" priority="22" operator="lessThan">
      <formula>0</formula>
    </cfRule>
    <cfRule type="cellIs" dxfId="40" priority="23" operator="greaterThanOrEqual">
      <formula>0</formula>
    </cfRule>
  </conditionalFormatting>
  <conditionalFormatting sqref="R134:R151">
    <cfRule type="cellIs" dxfId="39" priority="9" operator="greaterThan">
      <formula>0</formula>
    </cfRule>
    <cfRule type="cellIs" dxfId="38" priority="10" operator="lessThan">
      <formula>0</formula>
    </cfRule>
    <cfRule type="cellIs" dxfId="37" priority="20" operator="greaterThan">
      <formula>0</formula>
    </cfRule>
    <cfRule type="cellIs" dxfId="36" priority="21" operator="lessThan">
      <formula>0</formula>
    </cfRule>
  </conditionalFormatting>
  <conditionalFormatting sqref="S134:S151">
    <cfRule type="cellIs" dxfId="35" priority="13" operator="greaterThan">
      <formula>$E$91</formula>
    </cfRule>
    <cfRule type="cellIs" dxfId="34" priority="14" operator="lessThan">
      <formula>$E$91</formula>
    </cfRule>
  </conditionalFormatting>
  <conditionalFormatting sqref="T134:T151">
    <cfRule type="cellIs" dxfId="33" priority="11" operator="greaterThan">
      <formula>$E$91</formula>
    </cfRule>
    <cfRule type="cellIs" dxfId="32" priority="12" operator="lessThan">
      <formula>$E$91</formula>
    </cfRule>
  </conditionalFormatting>
  <conditionalFormatting sqref="U134:U151">
    <cfRule type="cellIs" dxfId="31" priority="7" operator="greaterThan">
      <formula>1</formula>
    </cfRule>
    <cfRule type="cellIs" dxfId="30" priority="8" operator="lessThan">
      <formula>1</formula>
    </cfRule>
  </conditionalFormatting>
  <conditionalFormatting sqref="V134:V151">
    <cfRule type="cellIs" dxfId="29" priority="3" operator="greaterThan">
      <formula>0</formula>
    </cfRule>
    <cfRule type="cellIs" dxfId="28" priority="4" operator="lessThan">
      <formula>0</formula>
    </cfRule>
    <cfRule type="cellIs" dxfId="27" priority="5" operator="greaterThan">
      <formula>0</formula>
    </cfRule>
    <cfRule type="cellIs" dxfId="26" priority="6" operator="lessThan">
      <formula>0</formula>
    </cfRule>
  </conditionalFormatting>
  <conditionalFormatting sqref="F89:K90">
    <cfRule type="cellIs" dxfId="25" priority="1" operator="lessThan">
      <formula>-10252257</formula>
    </cfRule>
    <cfRule type="cellIs" dxfId="24" priority="2" operator="greaterThan">
      <formula>0</formula>
    </cfRule>
  </conditionalFormatting>
  <dataValidations disablePrompts="1" count="2">
    <dataValidation allowBlank="1" showInputMessage="1" showErrorMessage="1" promptTitle="Tipo Prestamo" prompt="En este campo se entra el codigo del tipo de prestamo." sqref="C2" xr:uid="{00000000-0002-0000-0700-000000000000}"/>
    <dataValidation allowBlank="1" showInputMessage="1" showErrorMessage="1" promptTitle="Tasa de Impuesto" prompt="Debe entrar el porcentaje de la tasa de impuesto que aplica para el proyecto." sqref="E67:E71" xr:uid="{00000000-0002-0000-0700-000001000000}"/>
  </dataValidations>
  <hyperlinks>
    <hyperlink ref="C1" location="Menu!A1" display="Menu" xr:uid="{00000000-0004-0000-0700-000000000000}"/>
  </hyperlinks>
  <pageMargins left="0.7" right="0.7" top="0.75" bottom="0.75" header="0.3" footer="0.3"/>
  <pageSetup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Spinner 1">
              <controlPr defaultSize="0" autoPict="0">
                <anchor moveWithCells="1" sizeWithCells="1">
                  <from>
                    <xdr:col>11</xdr:col>
                    <xdr:colOff>0</xdr:colOff>
                    <xdr:row>5</xdr:row>
                    <xdr:rowOff>38100</xdr:rowOff>
                  </from>
                  <to>
                    <xdr:col>11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Spinner 2">
              <controlPr defaultSize="0" autoPict="0">
                <anchor moveWithCells="1" sizeWithCells="1">
                  <from>
                    <xdr:col>0</xdr:col>
                    <xdr:colOff>38100</xdr:colOff>
                    <xdr:row>1</xdr:row>
                    <xdr:rowOff>28575</xdr:rowOff>
                  </from>
                  <to>
                    <xdr:col>0</xdr:col>
                    <xdr:colOff>371475</xdr:colOff>
                    <xdr:row>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Spinner 3">
              <controlPr defaultSize="0" autoPict="0" altText="Diferentes formas de depreciar_x000a__x000a_101 Linea Recta - LR_x000a_102 Sistema de Digitos Acumulado - SDA_x000a_103 Reducción de Saldos - RS_x000a_104 Unidades Producidas - UP">
                <anchor moveWithCells="1" sizeWithCells="1">
                  <from>
                    <xdr:col>1</xdr:col>
                    <xdr:colOff>200025</xdr:colOff>
                    <xdr:row>2</xdr:row>
                    <xdr:rowOff>47625</xdr:rowOff>
                  </from>
                  <to>
                    <xdr:col>1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16A7E-74EC-44A5-874E-FB6CD87641A0}">
  <dimension ref="A1:AE191"/>
  <sheetViews>
    <sheetView view="pageBreakPreview" zoomScale="6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108" sqref="E108"/>
    </sheetView>
  </sheetViews>
  <sheetFormatPr baseColWidth="10" defaultRowHeight="15" x14ac:dyDescent="0.25"/>
  <cols>
    <col min="1" max="1" width="9.28515625" bestFit="1" customWidth="1"/>
    <col min="2" max="2" width="11.85546875" bestFit="1" customWidth="1"/>
    <col min="3" max="3" width="40.140625" bestFit="1" customWidth="1"/>
    <col min="4" max="4" width="45.140625" bestFit="1" customWidth="1"/>
    <col min="5" max="5" width="24.7109375" style="510" customWidth="1"/>
    <col min="6" max="6" width="23.140625" bestFit="1" customWidth="1"/>
    <col min="7" max="12" width="20.7109375" bestFit="1" customWidth="1"/>
    <col min="13" max="16" width="20.7109375" hidden="1" customWidth="1"/>
    <col min="17" max="17" width="20.42578125" hidden="1" customWidth="1"/>
    <col min="18" max="18" width="27.42578125" hidden="1" customWidth="1"/>
    <col min="19" max="19" width="20.42578125" hidden="1" customWidth="1"/>
    <col min="20" max="20" width="19.85546875" hidden="1" customWidth="1"/>
    <col min="21" max="21" width="20.140625" hidden="1" customWidth="1"/>
    <col min="22" max="22" width="19.85546875" hidden="1" customWidth="1"/>
    <col min="23" max="23" width="20.42578125" hidden="1" customWidth="1"/>
    <col min="24" max="25" width="20.140625" hidden="1" customWidth="1"/>
    <col min="26" max="26" width="19.85546875" hidden="1" customWidth="1"/>
    <col min="27" max="27" width="20.140625" hidden="1" customWidth="1"/>
    <col min="28" max="28" width="20.42578125" hidden="1" customWidth="1"/>
    <col min="29" max="29" width="20.140625" hidden="1" customWidth="1"/>
    <col min="30" max="30" width="20.42578125" hidden="1" customWidth="1"/>
    <col min="31" max="31" width="20.140625" hidden="1" customWidth="1"/>
  </cols>
  <sheetData>
    <row r="1" spans="1:31" ht="18" x14ac:dyDescent="0.25">
      <c r="A1" s="148" t="s">
        <v>145</v>
      </c>
      <c r="B1" s="151" t="s">
        <v>153</v>
      </c>
      <c r="C1" s="291" t="s">
        <v>149</v>
      </c>
      <c r="D1" s="476" t="str" cm="1">
        <f t="array" ref="D1">+_xlfn.SWITCH(C2,401,"Flujo de caja",402,"Cuota Uniforme")</f>
        <v>Flujo de caja</v>
      </c>
    </row>
    <row r="2" spans="1:31" ht="26.25" x14ac:dyDescent="0.4">
      <c r="C2" s="149">
        <v>401</v>
      </c>
      <c r="D2" s="150" t="str">
        <f>IF(C2=401,'Ppto Financiación'!$B$2,IF($C$2=402,'Ppto Financiación'!$B$3,IF($C$2=403,'Ppto Financiación'!$B$4,IF($C$2=404,'Ppto Financiación'!$B$5,IF($C$2=405,'Ppto Financiación'!$B$6,IF($C$2=406,'Ppto Financiación'!$B$7,IF($C$2=407,'Ppto Financiación'!$B$8,IF($C$2=408,'Ppto Financiación'!$B$9,IF($C$2=409,'Ppto Financiación'!$B$10,IF($C$2=410,'Ppto Financiación'!C95,IF($C$2=411,'Ppto Financiación'!C106,0)))))))))))</f>
        <v>Flujo de caja del proyecto</v>
      </c>
      <c r="E2" s="511"/>
      <c r="F2" s="399"/>
      <c r="G2" s="399"/>
      <c r="H2" s="132"/>
    </row>
    <row r="3" spans="1:31" ht="26.25" x14ac:dyDescent="0.4">
      <c r="C3" s="152">
        <v>301</v>
      </c>
      <c r="D3" s="153" t="str">
        <f>IF(C3=301,"Linea recta",IF(C3=302,"Sistema de Digitos Acumulado",IF(C3=303,"Reducción de Saldos",IF(C3=304,"UnidadesProducidas",0))))</f>
        <v>Linea recta</v>
      </c>
      <c r="E3" s="511"/>
      <c r="F3" s="399"/>
      <c r="G3" s="399"/>
      <c r="H3" s="132"/>
    </row>
    <row r="4" spans="1:31" x14ac:dyDescent="0.25">
      <c r="C4" s="14" t="s">
        <v>36</v>
      </c>
      <c r="D4" s="14"/>
      <c r="E4" s="496" t="s">
        <v>403</v>
      </c>
      <c r="F4" s="14" t="s">
        <v>37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21" x14ac:dyDescent="0.35">
      <c r="C5" s="14">
        <v>1</v>
      </c>
      <c r="D5" s="14"/>
      <c r="E5" s="496"/>
      <c r="F5" s="14"/>
      <c r="G5" s="469">
        <v>0</v>
      </c>
      <c r="H5" s="469">
        <v>1</v>
      </c>
      <c r="I5" s="469">
        <v>2</v>
      </c>
      <c r="J5" s="469">
        <v>3</v>
      </c>
      <c r="K5" s="469">
        <v>4</v>
      </c>
      <c r="L5" s="469">
        <v>5</v>
      </c>
      <c r="M5" s="469">
        <v>6</v>
      </c>
      <c r="N5" s="469">
        <v>7</v>
      </c>
      <c r="O5" s="469">
        <v>8</v>
      </c>
      <c r="P5" s="469">
        <v>9</v>
      </c>
      <c r="Q5" s="469">
        <v>10</v>
      </c>
      <c r="R5" s="469">
        <v>11</v>
      </c>
      <c r="S5" s="469">
        <v>12</v>
      </c>
      <c r="T5" s="469">
        <v>13</v>
      </c>
      <c r="U5" s="469">
        <v>14</v>
      </c>
      <c r="V5" s="469">
        <v>15</v>
      </c>
      <c r="W5" s="469">
        <v>16</v>
      </c>
      <c r="X5" s="469">
        <v>17</v>
      </c>
      <c r="Y5" s="469">
        <v>18</v>
      </c>
      <c r="Z5" s="469">
        <v>19</v>
      </c>
      <c r="AA5" s="469">
        <v>20</v>
      </c>
      <c r="AB5" s="469">
        <v>21</v>
      </c>
      <c r="AC5" s="469">
        <v>22</v>
      </c>
      <c r="AD5" s="469">
        <v>23</v>
      </c>
      <c r="AE5" s="469">
        <v>24</v>
      </c>
    </row>
    <row r="6" spans="1:31" hidden="1" x14ac:dyDescent="0.25">
      <c r="C6" s="50" t="s">
        <v>39</v>
      </c>
      <c r="D6" s="50"/>
      <c r="E6" s="497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idden="1" x14ac:dyDescent="0.25">
      <c r="C7" s="50" t="s">
        <v>43</v>
      </c>
      <c r="D7" s="50"/>
      <c r="E7" s="497"/>
      <c r="F7" s="3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</row>
    <row r="8" spans="1:31" ht="18" hidden="1" customHeight="1" x14ac:dyDescent="0.35">
      <c r="B8" s="474"/>
      <c r="C8" s="3" t="s">
        <v>364</v>
      </c>
      <c r="D8" s="3"/>
      <c r="E8" s="498"/>
      <c r="F8" s="3"/>
      <c r="G8" s="138"/>
      <c r="H8" s="138">
        <f>+'Ppto Ing'!E8</f>
        <v>1</v>
      </c>
      <c r="I8" s="138">
        <f>+'Ppto Ing'!F8</f>
        <v>1</v>
      </c>
      <c r="J8" s="138">
        <f>+'Ppto Ing'!G8</f>
        <v>1</v>
      </c>
      <c r="K8" s="138">
        <f>+'Ppto Ing'!H8</f>
        <v>1</v>
      </c>
      <c r="L8" s="138">
        <f>+'Ppto Ing'!I8</f>
        <v>1</v>
      </c>
      <c r="M8" s="138">
        <f>+'Ppto Ing'!J8</f>
        <v>0</v>
      </c>
      <c r="N8" s="138">
        <f>+'Ppto Ing'!K8</f>
        <v>0</v>
      </c>
      <c r="O8" s="138">
        <f>+'Ppto Ing'!L8</f>
        <v>0</v>
      </c>
      <c r="P8" s="138">
        <f>+'Ppto Ing'!M8</f>
        <v>0</v>
      </c>
      <c r="Q8" s="138">
        <f>+'Ppto Ing'!N8</f>
        <v>0</v>
      </c>
      <c r="R8" s="138">
        <f>+'Ppto Ing'!O8</f>
        <v>0</v>
      </c>
      <c r="S8" s="138">
        <f>+'Ppto Ing'!P8</f>
        <v>0</v>
      </c>
      <c r="T8" s="138">
        <f>+'Ppto Ing'!Q8</f>
        <v>0</v>
      </c>
      <c r="U8" s="138">
        <f>+'Ppto Ing'!R8</f>
        <v>0</v>
      </c>
      <c r="V8" s="138">
        <f>+'Ppto Ing'!S8</f>
        <v>0</v>
      </c>
      <c r="W8" s="138">
        <f>+'Ppto Ing'!T8</f>
        <v>0</v>
      </c>
      <c r="X8" s="138">
        <f>+'Ppto Ing'!U8</f>
        <v>0</v>
      </c>
      <c r="Y8" s="138">
        <f>+'Ppto Ing'!V8</f>
        <v>0</v>
      </c>
      <c r="Z8" s="138">
        <f>+'Ppto Ing'!W8</f>
        <v>0</v>
      </c>
      <c r="AA8" s="138">
        <f>+'Ppto Ing'!X8</f>
        <v>0</v>
      </c>
      <c r="AB8" s="138">
        <f>+'Ppto Ing'!Y8</f>
        <v>0</v>
      </c>
      <c r="AC8" s="138">
        <f>+'Ppto Ing'!Z8</f>
        <v>0</v>
      </c>
      <c r="AD8" s="138">
        <f>+'Ppto Ing'!AA8</f>
        <v>0</v>
      </c>
      <c r="AE8" s="138">
        <f>+'Ppto Ing'!AB8</f>
        <v>0</v>
      </c>
    </row>
    <row r="9" spans="1:31" ht="21" hidden="1" x14ac:dyDescent="0.35">
      <c r="B9" s="132"/>
      <c r="C9" s="3" t="s">
        <v>308</v>
      </c>
      <c r="D9" s="3"/>
      <c r="E9" s="498"/>
      <c r="F9" s="3"/>
      <c r="G9" s="138"/>
      <c r="H9" s="138">
        <f>'Ppto Ing'!E19</f>
        <v>0</v>
      </c>
      <c r="I9" s="138">
        <f>'Ppto Ing'!F19</f>
        <v>0</v>
      </c>
      <c r="J9" s="138">
        <f>'Ppto Ing'!G19</f>
        <v>0</v>
      </c>
      <c r="K9" s="138">
        <f>'Ppto Ing'!H19</f>
        <v>0</v>
      </c>
      <c r="L9" s="138">
        <f>'Ppto Ing'!I19</f>
        <v>0</v>
      </c>
      <c r="M9" s="138">
        <f>'Ppto Ing'!J19</f>
        <v>0</v>
      </c>
      <c r="N9" s="138">
        <f>'Ppto Ing'!K19</f>
        <v>0</v>
      </c>
      <c r="O9" s="138">
        <f>'Ppto Ing'!L19</f>
        <v>0</v>
      </c>
      <c r="P9" s="138">
        <f>'Ppto Ing'!M19</f>
        <v>0</v>
      </c>
      <c r="Q9" s="138">
        <f>'Ppto Ing'!N19</f>
        <v>0</v>
      </c>
      <c r="R9" s="138">
        <f>'Ppto Ing'!O19</f>
        <v>0</v>
      </c>
      <c r="S9" s="138">
        <f>'Ppto Ing'!P19</f>
        <v>0</v>
      </c>
      <c r="T9" s="138">
        <f>'Ppto Ing'!Q19</f>
        <v>0</v>
      </c>
      <c r="U9" s="138">
        <f>'Ppto Ing'!R19</f>
        <v>0</v>
      </c>
      <c r="V9" s="138">
        <f>'Ppto Ing'!S19</f>
        <v>0</v>
      </c>
      <c r="W9" s="138">
        <f>'Ppto Ing'!T19</f>
        <v>0</v>
      </c>
      <c r="X9" s="138">
        <f>'Ppto Ing'!U19</f>
        <v>0</v>
      </c>
      <c r="Y9" s="138">
        <f>'Ppto Ing'!V19</f>
        <v>0</v>
      </c>
      <c r="Z9" s="138">
        <f>'Ppto Ing'!W19</f>
        <v>0</v>
      </c>
      <c r="AA9" s="138">
        <f>'Ppto Ing'!X19</f>
        <v>0</v>
      </c>
      <c r="AB9" s="138">
        <f>'Ppto Ing'!Y19</f>
        <v>0</v>
      </c>
      <c r="AC9" s="138">
        <f>'Ppto Ing'!Z19</f>
        <v>0</v>
      </c>
      <c r="AD9" s="138">
        <f>'Ppto Ing'!AA19</f>
        <v>0</v>
      </c>
      <c r="AE9" s="138">
        <f>'Ppto Ing'!AB19</f>
        <v>0</v>
      </c>
    </row>
    <row r="10" spans="1:31" hidden="1" x14ac:dyDescent="0.25">
      <c r="C10" s="3" t="s">
        <v>309</v>
      </c>
      <c r="D10" s="3"/>
      <c r="E10" s="498"/>
      <c r="F10" s="3"/>
      <c r="G10" s="138"/>
      <c r="H10" s="138">
        <f>'Ppto Ing'!E30</f>
        <v>0</v>
      </c>
      <c r="I10" s="138">
        <f>'Ppto Ing'!F30</f>
        <v>0</v>
      </c>
      <c r="J10" s="138">
        <f>'Ppto Ing'!G30</f>
        <v>0</v>
      </c>
      <c r="K10" s="138">
        <f>'Ppto Ing'!H30</f>
        <v>0</v>
      </c>
      <c r="L10" s="138">
        <f>'Ppto Ing'!I30</f>
        <v>0</v>
      </c>
      <c r="M10" s="138">
        <f>'Ppto Ing'!J30</f>
        <v>0</v>
      </c>
      <c r="N10" s="138">
        <f>'Ppto Ing'!K30</f>
        <v>0</v>
      </c>
      <c r="O10" s="138">
        <f>'Ppto Ing'!L30</f>
        <v>0</v>
      </c>
      <c r="P10" s="138">
        <f>'Ppto Ing'!M30</f>
        <v>0</v>
      </c>
      <c r="Q10" s="138">
        <f>'Ppto Ing'!N30</f>
        <v>0</v>
      </c>
      <c r="R10" s="138">
        <f>'Ppto Ing'!O30</f>
        <v>0</v>
      </c>
      <c r="S10" s="138">
        <f>'Ppto Ing'!P30</f>
        <v>0</v>
      </c>
      <c r="T10" s="138">
        <f>'Ppto Ing'!Q30</f>
        <v>0</v>
      </c>
      <c r="U10" s="138">
        <f>'Ppto Ing'!R30</f>
        <v>0</v>
      </c>
      <c r="V10" s="138">
        <f>'Ppto Ing'!S30</f>
        <v>0</v>
      </c>
      <c r="W10" s="138">
        <f>'Ppto Ing'!T30</f>
        <v>0</v>
      </c>
      <c r="X10" s="138">
        <f>'Ppto Ing'!U30</f>
        <v>0</v>
      </c>
      <c r="Y10" s="138">
        <f>'Ppto Ing'!V30</f>
        <v>0</v>
      </c>
      <c r="Z10" s="138">
        <f>'Ppto Ing'!W30</f>
        <v>0</v>
      </c>
      <c r="AA10" s="138">
        <f>'Ppto Ing'!X30</f>
        <v>0</v>
      </c>
      <c r="AB10" s="138">
        <f>'Ppto Ing'!Y30</f>
        <v>0</v>
      </c>
      <c r="AC10" s="138">
        <f>'Ppto Ing'!Z30</f>
        <v>0</v>
      </c>
      <c r="AD10" s="138">
        <f>'Ppto Ing'!AA30</f>
        <v>0</v>
      </c>
      <c r="AE10" s="138">
        <f>'Ppto Ing'!AB30</f>
        <v>0</v>
      </c>
    </row>
    <row r="11" spans="1:31" hidden="1" x14ac:dyDescent="0.25">
      <c r="C11" s="3" t="s">
        <v>310</v>
      </c>
      <c r="D11" s="3"/>
      <c r="E11" s="498"/>
      <c r="F11" s="3"/>
      <c r="G11" s="138"/>
      <c r="H11" s="138">
        <f>'Ppto Ing'!E41</f>
        <v>0</v>
      </c>
      <c r="I11" s="138">
        <f>'Ppto Ing'!F41</f>
        <v>0</v>
      </c>
      <c r="J11" s="138">
        <f>'Ppto Ing'!G41</f>
        <v>0</v>
      </c>
      <c r="K11" s="138">
        <f>'Ppto Ing'!H41</f>
        <v>0</v>
      </c>
      <c r="L11" s="138">
        <f>'Ppto Ing'!I41</f>
        <v>0</v>
      </c>
      <c r="M11" s="138">
        <f>'Ppto Ing'!J41</f>
        <v>0</v>
      </c>
      <c r="N11" s="138">
        <f>'Ppto Ing'!K41</f>
        <v>0</v>
      </c>
      <c r="O11" s="138">
        <f>'Ppto Ing'!L41</f>
        <v>0</v>
      </c>
      <c r="P11" s="138">
        <f>'Ppto Ing'!M41</f>
        <v>0</v>
      </c>
      <c r="Q11" s="138">
        <f>'Ppto Ing'!N41</f>
        <v>0</v>
      </c>
      <c r="R11" s="138">
        <f>'Ppto Ing'!O41</f>
        <v>0</v>
      </c>
      <c r="S11" s="138">
        <f>'Ppto Ing'!P41</f>
        <v>0</v>
      </c>
      <c r="T11" s="138">
        <f>'Ppto Ing'!Q41</f>
        <v>0</v>
      </c>
      <c r="U11" s="138">
        <f>'Ppto Ing'!R41</f>
        <v>0</v>
      </c>
      <c r="V11" s="138">
        <f>'Ppto Ing'!S41</f>
        <v>0</v>
      </c>
      <c r="W11" s="138">
        <f>'Ppto Ing'!T41</f>
        <v>0</v>
      </c>
      <c r="X11" s="138">
        <f>'Ppto Ing'!U41</f>
        <v>0</v>
      </c>
      <c r="Y11" s="138">
        <f>'Ppto Ing'!V41</f>
        <v>0</v>
      </c>
      <c r="Z11" s="138">
        <f>'Ppto Ing'!W41</f>
        <v>0</v>
      </c>
      <c r="AA11" s="138">
        <f>'Ppto Ing'!X41</f>
        <v>0</v>
      </c>
      <c r="AB11" s="138">
        <f>'Ppto Ing'!Y41</f>
        <v>0</v>
      </c>
      <c r="AC11" s="138">
        <f>'Ppto Ing'!Z41</f>
        <v>0</v>
      </c>
      <c r="AD11" s="138">
        <f>'Ppto Ing'!AA41</f>
        <v>0</v>
      </c>
      <c r="AE11" s="138">
        <f>'Ppto Ing'!AB41</f>
        <v>0</v>
      </c>
    </row>
    <row r="12" spans="1:31" hidden="1" x14ac:dyDescent="0.25">
      <c r="C12" s="3" t="s">
        <v>311</v>
      </c>
      <c r="D12" s="3"/>
      <c r="E12" s="498"/>
      <c r="F12" s="3"/>
      <c r="G12" s="138"/>
      <c r="H12" s="138">
        <f>'Ppto Ing'!E52</f>
        <v>0</v>
      </c>
      <c r="I12" s="138">
        <f>'Ppto Ing'!F52</f>
        <v>0</v>
      </c>
      <c r="J12" s="138">
        <f>'Ppto Ing'!G52</f>
        <v>0</v>
      </c>
      <c r="K12" s="138">
        <f>'Ppto Ing'!H52</f>
        <v>0</v>
      </c>
      <c r="L12" s="138">
        <f>'Ppto Ing'!I52</f>
        <v>0</v>
      </c>
      <c r="M12" s="138">
        <f>'Ppto Ing'!J52</f>
        <v>0</v>
      </c>
      <c r="N12" s="138">
        <f>'Ppto Ing'!K52</f>
        <v>0</v>
      </c>
      <c r="O12" s="138">
        <f>'Ppto Ing'!L52</f>
        <v>0</v>
      </c>
      <c r="P12" s="138">
        <f>'Ppto Ing'!M52</f>
        <v>0</v>
      </c>
      <c r="Q12" s="138">
        <f>'Ppto Ing'!N52</f>
        <v>0</v>
      </c>
      <c r="R12" s="138">
        <f>'Ppto Ing'!O52</f>
        <v>0</v>
      </c>
      <c r="S12" s="138">
        <f>'Ppto Ing'!P52</f>
        <v>0</v>
      </c>
      <c r="T12" s="138">
        <f>'Ppto Ing'!Q52</f>
        <v>0</v>
      </c>
      <c r="U12" s="138">
        <f>'Ppto Ing'!R52</f>
        <v>0</v>
      </c>
      <c r="V12" s="138">
        <f>'Ppto Ing'!S52</f>
        <v>0</v>
      </c>
      <c r="W12" s="138">
        <f>'Ppto Ing'!T52</f>
        <v>0</v>
      </c>
      <c r="X12" s="138">
        <f>'Ppto Ing'!U52</f>
        <v>0</v>
      </c>
      <c r="Y12" s="138">
        <f>'Ppto Ing'!V52</f>
        <v>0</v>
      </c>
      <c r="Z12" s="138">
        <f>'Ppto Ing'!W52</f>
        <v>0</v>
      </c>
      <c r="AA12" s="138">
        <f>'Ppto Ing'!X52</f>
        <v>0</v>
      </c>
      <c r="AB12" s="138">
        <f>'Ppto Ing'!Y52</f>
        <v>0</v>
      </c>
      <c r="AC12" s="138">
        <f>'Ppto Ing'!Z52</f>
        <v>0</v>
      </c>
      <c r="AD12" s="138">
        <f>'Ppto Ing'!AA52</f>
        <v>0</v>
      </c>
      <c r="AE12" s="138">
        <f>'Ppto Ing'!AB52</f>
        <v>0</v>
      </c>
    </row>
    <row r="13" spans="1:31" hidden="1" x14ac:dyDescent="0.25">
      <c r="C13" s="473" t="s">
        <v>362</v>
      </c>
      <c r="D13" s="3"/>
      <c r="E13" s="498"/>
      <c r="F13" s="3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</row>
    <row r="14" spans="1:31" ht="21" hidden="1" x14ac:dyDescent="0.35">
      <c r="A14" s="132"/>
      <c r="B14" s="132"/>
      <c r="C14" s="3" t="s">
        <v>365</v>
      </c>
      <c r="D14" s="3"/>
      <c r="E14" s="498"/>
      <c r="F14" s="3"/>
      <c r="G14" s="51"/>
      <c r="H14" s="51">
        <f>'Ppto Ing'!E12</f>
        <v>0</v>
      </c>
      <c r="I14" s="51">
        <f>'Ppto Ing'!F12</f>
        <v>0</v>
      </c>
      <c r="J14" s="51">
        <f>'Ppto Ing'!G12</f>
        <v>0</v>
      </c>
      <c r="K14" s="51">
        <f>'Ppto Ing'!H12</f>
        <v>0</v>
      </c>
      <c r="L14" s="51">
        <f>'Ppto Ing'!I12</f>
        <v>0</v>
      </c>
      <c r="M14" s="51">
        <f>'Ppto Ing'!J12</f>
        <v>0</v>
      </c>
      <c r="N14" s="51">
        <f>'Ppto Ing'!K12</f>
        <v>0</v>
      </c>
      <c r="O14" s="51">
        <f>'Ppto Ing'!L12</f>
        <v>0</v>
      </c>
      <c r="P14" s="51">
        <f>'Ppto Ing'!M12</f>
        <v>0</v>
      </c>
      <c r="Q14" s="51">
        <f>'Ppto Ing'!N12</f>
        <v>0</v>
      </c>
      <c r="R14" s="51">
        <f>'Ppto Ing'!O12</f>
        <v>0</v>
      </c>
      <c r="S14" s="51">
        <f>'Ppto Ing'!P12</f>
        <v>0</v>
      </c>
      <c r="T14" s="51">
        <f>'Ppto Ing'!Q12</f>
        <v>0</v>
      </c>
      <c r="U14" s="51">
        <f>'Ppto Ing'!R12</f>
        <v>0</v>
      </c>
      <c r="V14" s="51">
        <f>'Ppto Ing'!S12</f>
        <v>0</v>
      </c>
      <c r="W14" s="51">
        <f>'Ppto Ing'!T12</f>
        <v>0</v>
      </c>
      <c r="X14" s="51">
        <f>'Ppto Ing'!U12</f>
        <v>0</v>
      </c>
      <c r="Y14" s="51">
        <f>'Ppto Ing'!V12</f>
        <v>0</v>
      </c>
      <c r="Z14" s="51">
        <f>'Ppto Ing'!W12</f>
        <v>0</v>
      </c>
      <c r="AA14" s="51">
        <f>'Ppto Ing'!X12</f>
        <v>0</v>
      </c>
      <c r="AB14" s="51">
        <f>'Ppto Ing'!Y12</f>
        <v>0</v>
      </c>
      <c r="AC14" s="51">
        <f>'Ppto Ing'!Z12</f>
        <v>0</v>
      </c>
      <c r="AD14" s="51">
        <f>'Ppto Ing'!AA12</f>
        <v>0</v>
      </c>
      <c r="AE14" s="51">
        <f>'Ppto Ing'!AB12</f>
        <v>0</v>
      </c>
    </row>
    <row r="15" spans="1:31" ht="21" hidden="1" x14ac:dyDescent="0.35">
      <c r="A15" s="132"/>
      <c r="B15" s="132"/>
      <c r="C15" s="3" t="s">
        <v>312</v>
      </c>
      <c r="D15" s="3"/>
      <c r="E15" s="498"/>
      <c r="F15" s="3"/>
      <c r="G15" s="51"/>
      <c r="H15" s="51">
        <f>'Ppto Ing'!E23</f>
        <v>0</v>
      </c>
      <c r="I15" s="51">
        <f>'Ppto Ing'!F23</f>
        <v>0</v>
      </c>
      <c r="J15" s="51">
        <f>'Ppto Ing'!G23</f>
        <v>0</v>
      </c>
      <c r="K15" s="51">
        <f>'Ppto Ing'!H23</f>
        <v>0</v>
      </c>
      <c r="L15" s="51">
        <f>'Ppto Ing'!I23</f>
        <v>0</v>
      </c>
      <c r="M15" s="51">
        <f>'Ppto Ing'!J23</f>
        <v>0</v>
      </c>
      <c r="N15" s="51">
        <f>'Ppto Ing'!K23</f>
        <v>0</v>
      </c>
      <c r="O15" s="51">
        <f>'Ppto Ing'!L23</f>
        <v>0</v>
      </c>
      <c r="P15" s="51">
        <f>'Ppto Ing'!M23</f>
        <v>0</v>
      </c>
      <c r="Q15" s="51">
        <f>'Ppto Ing'!N23</f>
        <v>0</v>
      </c>
      <c r="R15" s="51">
        <f>'Ppto Ing'!O23</f>
        <v>0</v>
      </c>
      <c r="S15" s="51">
        <f>'Ppto Ing'!P23</f>
        <v>0</v>
      </c>
      <c r="T15" s="51">
        <f>'Ppto Ing'!Q23</f>
        <v>0</v>
      </c>
      <c r="U15" s="51">
        <f>'Ppto Ing'!R23</f>
        <v>0</v>
      </c>
      <c r="V15" s="51">
        <f>'Ppto Ing'!S23</f>
        <v>0</v>
      </c>
      <c r="W15" s="51">
        <f>'Ppto Ing'!T23</f>
        <v>0</v>
      </c>
      <c r="X15" s="51">
        <f>'Ppto Ing'!U23</f>
        <v>0</v>
      </c>
      <c r="Y15" s="51">
        <f>'Ppto Ing'!V23</f>
        <v>0</v>
      </c>
      <c r="Z15" s="51">
        <f>'Ppto Ing'!W23</f>
        <v>0</v>
      </c>
      <c r="AA15" s="51">
        <f>'Ppto Ing'!X23</f>
        <v>0</v>
      </c>
      <c r="AB15" s="51">
        <f>'Ppto Ing'!Y23</f>
        <v>0</v>
      </c>
      <c r="AC15" s="51">
        <f>'Ppto Ing'!Z23</f>
        <v>0</v>
      </c>
      <c r="AD15" s="51">
        <f>'Ppto Ing'!AA23</f>
        <v>0</v>
      </c>
      <c r="AE15" s="51">
        <f>'Ppto Ing'!AB23</f>
        <v>0</v>
      </c>
    </row>
    <row r="16" spans="1:31" ht="21" hidden="1" x14ac:dyDescent="0.35">
      <c r="A16" s="132"/>
      <c r="B16" s="132"/>
      <c r="C16" s="3" t="s">
        <v>313</v>
      </c>
      <c r="D16" s="3"/>
      <c r="E16" s="498"/>
      <c r="F16" s="3"/>
      <c r="G16" s="51"/>
      <c r="H16" s="51">
        <f>'Ppto Ing'!E34</f>
        <v>0</v>
      </c>
      <c r="I16" s="51">
        <f>'Ppto Ing'!F34</f>
        <v>0</v>
      </c>
      <c r="J16" s="51">
        <f>'Ppto Ing'!G34</f>
        <v>0</v>
      </c>
      <c r="K16" s="51">
        <f>'Ppto Ing'!H34</f>
        <v>0</v>
      </c>
      <c r="L16" s="51">
        <f>'Ppto Ing'!I34</f>
        <v>0</v>
      </c>
      <c r="M16" s="51">
        <f>'Ppto Ing'!J34</f>
        <v>0</v>
      </c>
      <c r="N16" s="51">
        <f>'Ppto Ing'!K34</f>
        <v>0</v>
      </c>
      <c r="O16" s="51">
        <f>'Ppto Ing'!L34</f>
        <v>0</v>
      </c>
      <c r="P16" s="51">
        <f>'Ppto Ing'!M34</f>
        <v>0</v>
      </c>
      <c r="Q16" s="51">
        <f>'Ppto Ing'!N34</f>
        <v>0</v>
      </c>
      <c r="R16" s="51">
        <f>'Ppto Ing'!O34</f>
        <v>0</v>
      </c>
      <c r="S16" s="51">
        <f>'Ppto Ing'!P34</f>
        <v>0</v>
      </c>
      <c r="T16" s="51">
        <f>'Ppto Ing'!Q34</f>
        <v>0</v>
      </c>
      <c r="U16" s="51">
        <f>'Ppto Ing'!R34</f>
        <v>0</v>
      </c>
      <c r="V16" s="51">
        <f>'Ppto Ing'!S34</f>
        <v>0</v>
      </c>
      <c r="W16" s="51">
        <f>'Ppto Ing'!T34</f>
        <v>0</v>
      </c>
      <c r="X16" s="51">
        <f>'Ppto Ing'!U34</f>
        <v>0</v>
      </c>
      <c r="Y16" s="51">
        <f>'Ppto Ing'!V34</f>
        <v>0</v>
      </c>
      <c r="Z16" s="51">
        <f>'Ppto Ing'!W34</f>
        <v>0</v>
      </c>
      <c r="AA16" s="51">
        <f>'Ppto Ing'!X34</f>
        <v>0</v>
      </c>
      <c r="AB16" s="51">
        <f>'Ppto Ing'!Y34</f>
        <v>0</v>
      </c>
      <c r="AC16" s="51">
        <f>'Ppto Ing'!Z34</f>
        <v>0</v>
      </c>
      <c r="AD16" s="51">
        <f>'Ppto Ing'!AA34</f>
        <v>0</v>
      </c>
      <c r="AE16" s="51">
        <f>'Ppto Ing'!AB34</f>
        <v>0</v>
      </c>
    </row>
    <row r="17" spans="1:31" ht="21" hidden="1" x14ac:dyDescent="0.35">
      <c r="A17" s="132"/>
      <c r="B17" s="132"/>
      <c r="C17" s="3" t="s">
        <v>314</v>
      </c>
      <c r="D17" s="3"/>
      <c r="E17" s="498"/>
      <c r="F17" s="3"/>
      <c r="G17" s="51"/>
      <c r="H17" s="51">
        <f>'Ppto Ing'!E45</f>
        <v>0</v>
      </c>
      <c r="I17" s="51">
        <f>'Ppto Ing'!F45</f>
        <v>0</v>
      </c>
      <c r="J17" s="51">
        <f>'Ppto Ing'!G45</f>
        <v>0</v>
      </c>
      <c r="K17" s="51">
        <f>'Ppto Ing'!H45</f>
        <v>0</v>
      </c>
      <c r="L17" s="51">
        <f>'Ppto Ing'!I45</f>
        <v>0</v>
      </c>
      <c r="M17" s="51">
        <f>'Ppto Ing'!J45</f>
        <v>0</v>
      </c>
      <c r="N17" s="51">
        <f>'Ppto Ing'!K45</f>
        <v>0</v>
      </c>
      <c r="O17" s="51">
        <f>'Ppto Ing'!L45</f>
        <v>0</v>
      </c>
      <c r="P17" s="51">
        <f>'Ppto Ing'!M45</f>
        <v>0</v>
      </c>
      <c r="Q17" s="51">
        <f>'Ppto Ing'!N45</f>
        <v>0</v>
      </c>
      <c r="R17" s="51">
        <f>'Ppto Ing'!O45</f>
        <v>0</v>
      </c>
      <c r="S17" s="51">
        <f>'Ppto Ing'!P45</f>
        <v>0</v>
      </c>
      <c r="T17" s="51">
        <f>'Ppto Ing'!Q45</f>
        <v>0</v>
      </c>
      <c r="U17" s="51">
        <f>'Ppto Ing'!R45</f>
        <v>0</v>
      </c>
      <c r="V17" s="51">
        <f>'Ppto Ing'!S45</f>
        <v>0</v>
      </c>
      <c r="W17" s="51">
        <f>'Ppto Ing'!T45</f>
        <v>0</v>
      </c>
      <c r="X17" s="51">
        <f>'Ppto Ing'!U45</f>
        <v>0</v>
      </c>
      <c r="Y17" s="51">
        <f>'Ppto Ing'!V45</f>
        <v>0</v>
      </c>
      <c r="Z17" s="51">
        <f>'Ppto Ing'!W45</f>
        <v>0</v>
      </c>
      <c r="AA17" s="51">
        <f>'Ppto Ing'!X45</f>
        <v>0</v>
      </c>
      <c r="AB17" s="51">
        <f>'Ppto Ing'!Y45</f>
        <v>0</v>
      </c>
      <c r="AC17" s="51">
        <f>'Ppto Ing'!Z45</f>
        <v>0</v>
      </c>
      <c r="AD17" s="51">
        <f>'Ppto Ing'!AA45</f>
        <v>0</v>
      </c>
      <c r="AE17" s="51">
        <f>'Ppto Ing'!AB45</f>
        <v>0</v>
      </c>
    </row>
    <row r="18" spans="1:31" ht="21" hidden="1" x14ac:dyDescent="0.35">
      <c r="A18" s="132"/>
      <c r="B18" s="132"/>
      <c r="C18" s="3" t="s">
        <v>315</v>
      </c>
      <c r="D18" s="3"/>
      <c r="E18" s="498"/>
      <c r="F18" s="3"/>
      <c r="G18" s="51"/>
      <c r="H18" s="51">
        <f>'Ppto Ing'!E56</f>
        <v>0</v>
      </c>
      <c r="I18" s="51">
        <f>'Ppto Ing'!F56</f>
        <v>0</v>
      </c>
      <c r="J18" s="51">
        <f>'Ppto Ing'!G56</f>
        <v>0</v>
      </c>
      <c r="K18" s="51">
        <f>'Ppto Ing'!H56</f>
        <v>0</v>
      </c>
      <c r="L18" s="51">
        <f>'Ppto Ing'!I56</f>
        <v>0</v>
      </c>
      <c r="M18" s="51">
        <f>'Ppto Ing'!J56</f>
        <v>0</v>
      </c>
      <c r="N18" s="51">
        <f>'Ppto Ing'!K56</f>
        <v>0</v>
      </c>
      <c r="O18" s="51">
        <f>'Ppto Ing'!L56</f>
        <v>0</v>
      </c>
      <c r="P18" s="51">
        <f>'Ppto Ing'!M56</f>
        <v>0</v>
      </c>
      <c r="Q18" s="51">
        <f>'Ppto Ing'!N56</f>
        <v>0</v>
      </c>
      <c r="R18" s="51">
        <f>'Ppto Ing'!O56</f>
        <v>0</v>
      </c>
      <c r="S18" s="51">
        <f>'Ppto Ing'!P56</f>
        <v>0</v>
      </c>
      <c r="T18" s="51">
        <f>'Ppto Ing'!Q56</f>
        <v>0</v>
      </c>
      <c r="U18" s="51">
        <f>'Ppto Ing'!R56</f>
        <v>0</v>
      </c>
      <c r="V18" s="51">
        <f>'Ppto Ing'!S56</f>
        <v>0</v>
      </c>
      <c r="W18" s="51">
        <f>'Ppto Ing'!T56</f>
        <v>0</v>
      </c>
      <c r="X18" s="51">
        <f>'Ppto Ing'!U56</f>
        <v>0</v>
      </c>
      <c r="Y18" s="51">
        <f>'Ppto Ing'!V56</f>
        <v>0</v>
      </c>
      <c r="Z18" s="51">
        <f>'Ppto Ing'!W56</f>
        <v>0</v>
      </c>
      <c r="AA18" s="51">
        <f>'Ppto Ing'!X56</f>
        <v>0</v>
      </c>
      <c r="AB18" s="51">
        <f>'Ppto Ing'!Y56</f>
        <v>0</v>
      </c>
      <c r="AC18" s="51">
        <f>'Ppto Ing'!Z56</f>
        <v>0</v>
      </c>
      <c r="AD18" s="51">
        <f>'Ppto Ing'!AA56</f>
        <v>0</v>
      </c>
      <c r="AE18" s="51">
        <f>'Ppto Ing'!AB56</f>
        <v>0</v>
      </c>
    </row>
    <row r="19" spans="1:31" hidden="1" x14ac:dyDescent="0.25">
      <c r="C19" s="3" t="s">
        <v>366</v>
      </c>
      <c r="D19" s="3"/>
      <c r="E19" s="498"/>
      <c r="F19" s="3"/>
      <c r="G19" s="3"/>
      <c r="H19" s="51">
        <f>+'Ppto Ing'!E13</f>
        <v>0</v>
      </c>
      <c r="I19" s="51">
        <f>+'Ppto Ing'!F13</f>
        <v>0</v>
      </c>
      <c r="J19" s="51">
        <f>+'Ppto Ing'!G13</f>
        <v>0</v>
      </c>
      <c r="K19" s="51">
        <f>+'Ppto Ing'!H13</f>
        <v>0</v>
      </c>
      <c r="L19" s="51">
        <f>+'Ppto Ing'!I13</f>
        <v>0</v>
      </c>
      <c r="M19" s="51">
        <f>+'Ppto Ing'!J13</f>
        <v>0</v>
      </c>
      <c r="N19" s="51">
        <f>+'Ppto Ing'!K13</f>
        <v>0</v>
      </c>
      <c r="O19" s="51">
        <f>+'Ppto Ing'!L13</f>
        <v>0</v>
      </c>
      <c r="P19" s="51">
        <f>+'Ppto Ing'!M13</f>
        <v>0</v>
      </c>
      <c r="Q19" s="51">
        <f>+'Ppto Ing'!N13</f>
        <v>0</v>
      </c>
      <c r="R19" s="51">
        <f>+'Ppto Ing'!O13</f>
        <v>0</v>
      </c>
      <c r="S19" s="51">
        <f>+'Ppto Ing'!P13</f>
        <v>0</v>
      </c>
      <c r="T19" s="51">
        <f>+'Ppto Ing'!Q13</f>
        <v>0</v>
      </c>
      <c r="U19" s="51">
        <f>+'Ppto Ing'!R13</f>
        <v>0</v>
      </c>
      <c r="V19" s="51">
        <f>+'Ppto Ing'!S13</f>
        <v>0</v>
      </c>
      <c r="W19" s="51">
        <f>+'Ppto Ing'!T13</f>
        <v>0</v>
      </c>
      <c r="X19" s="51">
        <f>+'Ppto Ing'!U13</f>
        <v>0</v>
      </c>
      <c r="Y19" s="51">
        <f>+'Ppto Ing'!V13</f>
        <v>0</v>
      </c>
      <c r="Z19" s="51">
        <f>+'Ppto Ing'!W13</f>
        <v>0</v>
      </c>
      <c r="AA19" s="51">
        <f>+'Ppto Ing'!X13</f>
        <v>0</v>
      </c>
      <c r="AB19" s="51">
        <f>+'Ppto Ing'!Y13</f>
        <v>0</v>
      </c>
      <c r="AC19" s="51">
        <f>+'Ppto Ing'!Z13</f>
        <v>0</v>
      </c>
      <c r="AD19" s="51">
        <f>+'Ppto Ing'!AA13</f>
        <v>0</v>
      </c>
      <c r="AE19" s="51">
        <f>+'Ppto Ing'!AB13</f>
        <v>0</v>
      </c>
    </row>
    <row r="20" spans="1:31" hidden="1" x14ac:dyDescent="0.25">
      <c r="C20" s="3" t="s">
        <v>354</v>
      </c>
      <c r="D20" s="3"/>
      <c r="E20" s="498"/>
      <c r="F20" s="3"/>
      <c r="G20" s="3"/>
      <c r="H20" s="51">
        <f>+'Ppto Ing'!E24</f>
        <v>0</v>
      </c>
      <c r="I20" s="51">
        <f>+'Ppto Ing'!F24</f>
        <v>0</v>
      </c>
      <c r="J20" s="51">
        <f>+'Ppto Ing'!G24</f>
        <v>0</v>
      </c>
      <c r="K20" s="51">
        <f>+'Ppto Ing'!H24</f>
        <v>0</v>
      </c>
      <c r="L20" s="51">
        <f>+'Ppto Ing'!I24</f>
        <v>0</v>
      </c>
      <c r="M20" s="51">
        <f>+'Ppto Ing'!J24</f>
        <v>0</v>
      </c>
      <c r="N20" s="51">
        <f>+'Ppto Ing'!K24</f>
        <v>0</v>
      </c>
      <c r="O20" s="51">
        <f>+'Ppto Ing'!L24</f>
        <v>0</v>
      </c>
      <c r="P20" s="51">
        <f>+'Ppto Ing'!M24</f>
        <v>0</v>
      </c>
      <c r="Q20" s="51">
        <f>+'Ppto Ing'!N24</f>
        <v>0</v>
      </c>
      <c r="R20" s="51">
        <f>+'Ppto Ing'!O24</f>
        <v>0</v>
      </c>
      <c r="S20" s="51">
        <f>+'Ppto Ing'!P24</f>
        <v>0</v>
      </c>
      <c r="T20" s="51">
        <f>+'Ppto Ing'!Q24</f>
        <v>0</v>
      </c>
      <c r="U20" s="51">
        <f>+'Ppto Ing'!R24</f>
        <v>0</v>
      </c>
      <c r="V20" s="51">
        <f>+'Ppto Ing'!S24</f>
        <v>0</v>
      </c>
      <c r="W20" s="51">
        <f>+'Ppto Ing'!T24</f>
        <v>0</v>
      </c>
      <c r="X20" s="51">
        <f>+'Ppto Ing'!U24</f>
        <v>0</v>
      </c>
      <c r="Y20" s="51">
        <f>+'Ppto Ing'!V24</f>
        <v>0</v>
      </c>
      <c r="Z20" s="51">
        <f>+'Ppto Ing'!W24</f>
        <v>0</v>
      </c>
      <c r="AA20" s="51">
        <f>+'Ppto Ing'!X24</f>
        <v>0</v>
      </c>
      <c r="AB20" s="51">
        <f>+'Ppto Ing'!Y24</f>
        <v>0</v>
      </c>
      <c r="AC20" s="51">
        <f>+'Ppto Ing'!Z24</f>
        <v>0</v>
      </c>
      <c r="AD20" s="51">
        <f>+'Ppto Ing'!AA24</f>
        <v>0</v>
      </c>
      <c r="AE20" s="51">
        <f>+'Ppto Ing'!AB24</f>
        <v>0</v>
      </c>
    </row>
    <row r="21" spans="1:31" hidden="1" x14ac:dyDescent="0.25">
      <c r="C21" s="3" t="s">
        <v>355</v>
      </c>
      <c r="D21" s="3"/>
      <c r="E21" s="498"/>
      <c r="F21" s="3"/>
      <c r="G21" s="3"/>
      <c r="H21" s="51">
        <f>+'Ppto Ing'!E35</f>
        <v>0</v>
      </c>
      <c r="I21" s="51">
        <f>+'Ppto Ing'!F35</f>
        <v>0</v>
      </c>
      <c r="J21" s="51">
        <f>+'Ppto Ing'!G35</f>
        <v>0</v>
      </c>
      <c r="K21" s="51">
        <f>+'Ppto Ing'!H35</f>
        <v>0</v>
      </c>
      <c r="L21" s="51">
        <f>+'Ppto Ing'!I35</f>
        <v>0</v>
      </c>
      <c r="M21" s="51">
        <f>+'Ppto Ing'!J35</f>
        <v>0</v>
      </c>
      <c r="N21" s="51">
        <f>+'Ppto Ing'!K35</f>
        <v>0</v>
      </c>
      <c r="O21" s="51">
        <f>+'Ppto Ing'!L35</f>
        <v>0</v>
      </c>
      <c r="P21" s="51">
        <f>+'Ppto Ing'!M35</f>
        <v>0</v>
      </c>
      <c r="Q21" s="51">
        <f>+'Ppto Ing'!N35</f>
        <v>0</v>
      </c>
      <c r="R21" s="51">
        <f>+'Ppto Ing'!O35</f>
        <v>0</v>
      </c>
      <c r="S21" s="51">
        <f>+'Ppto Ing'!P35</f>
        <v>0</v>
      </c>
      <c r="T21" s="51">
        <f>+'Ppto Ing'!Q35</f>
        <v>0</v>
      </c>
      <c r="U21" s="51">
        <f>+'Ppto Ing'!R35</f>
        <v>0</v>
      </c>
      <c r="V21" s="51">
        <f>+'Ppto Ing'!S35</f>
        <v>0</v>
      </c>
      <c r="W21" s="51">
        <f>+'Ppto Ing'!T35</f>
        <v>0</v>
      </c>
      <c r="X21" s="51">
        <f>+'Ppto Ing'!U35</f>
        <v>0</v>
      </c>
      <c r="Y21" s="51">
        <f>+'Ppto Ing'!V35</f>
        <v>0</v>
      </c>
      <c r="Z21" s="51">
        <f>+'Ppto Ing'!W35</f>
        <v>0</v>
      </c>
      <c r="AA21" s="51">
        <f>+'Ppto Ing'!X35</f>
        <v>0</v>
      </c>
      <c r="AB21" s="51">
        <f>+'Ppto Ing'!Y35</f>
        <v>0</v>
      </c>
      <c r="AC21" s="51">
        <f>+'Ppto Ing'!Z35</f>
        <v>0</v>
      </c>
      <c r="AD21" s="51">
        <f>+'Ppto Ing'!AA35</f>
        <v>0</v>
      </c>
      <c r="AE21" s="51">
        <f>+'Ppto Ing'!AB35</f>
        <v>0</v>
      </c>
    </row>
    <row r="22" spans="1:31" hidden="1" x14ac:dyDescent="0.25">
      <c r="C22" s="3" t="s">
        <v>356</v>
      </c>
      <c r="D22" s="3"/>
      <c r="E22" s="498"/>
      <c r="F22" s="3"/>
      <c r="G22" s="3"/>
      <c r="H22" s="51">
        <f>+'Ppto Ing'!E46</f>
        <v>0</v>
      </c>
      <c r="I22" s="51">
        <f>+'Ppto Ing'!F46</f>
        <v>0</v>
      </c>
      <c r="J22" s="51">
        <f>+'Ppto Ing'!G46</f>
        <v>0</v>
      </c>
      <c r="K22" s="51">
        <f>+'Ppto Ing'!H46</f>
        <v>0</v>
      </c>
      <c r="L22" s="51">
        <f>+'Ppto Ing'!I46</f>
        <v>0</v>
      </c>
      <c r="M22" s="51">
        <f>+'Ppto Ing'!J46</f>
        <v>0</v>
      </c>
      <c r="N22" s="51">
        <f>+'Ppto Ing'!K46</f>
        <v>0</v>
      </c>
      <c r="O22" s="51">
        <f>+'Ppto Ing'!L46</f>
        <v>0</v>
      </c>
      <c r="P22" s="51">
        <f>+'Ppto Ing'!M46</f>
        <v>0</v>
      </c>
      <c r="Q22" s="51">
        <f>+'Ppto Ing'!N46</f>
        <v>0</v>
      </c>
      <c r="R22" s="51">
        <f>+'Ppto Ing'!O46</f>
        <v>0</v>
      </c>
      <c r="S22" s="51">
        <f>+'Ppto Ing'!P46</f>
        <v>0</v>
      </c>
      <c r="T22" s="51">
        <f>+'Ppto Ing'!Q46</f>
        <v>0</v>
      </c>
      <c r="U22" s="51">
        <f>+'Ppto Ing'!R46</f>
        <v>0</v>
      </c>
      <c r="V22" s="51">
        <f>+'Ppto Ing'!S46</f>
        <v>0</v>
      </c>
      <c r="W22" s="51">
        <f>+'Ppto Ing'!T46</f>
        <v>0</v>
      </c>
      <c r="X22" s="51">
        <f>+'Ppto Ing'!U46</f>
        <v>0</v>
      </c>
      <c r="Y22" s="51">
        <f>+'Ppto Ing'!V46</f>
        <v>0</v>
      </c>
      <c r="Z22" s="51">
        <f>+'Ppto Ing'!W46</f>
        <v>0</v>
      </c>
      <c r="AA22" s="51">
        <f>+'Ppto Ing'!X46</f>
        <v>0</v>
      </c>
      <c r="AB22" s="51">
        <f>+'Ppto Ing'!Y46</f>
        <v>0</v>
      </c>
      <c r="AC22" s="51">
        <f>+'Ppto Ing'!Z46</f>
        <v>0</v>
      </c>
      <c r="AD22" s="51">
        <f>+'Ppto Ing'!AA46</f>
        <v>0</v>
      </c>
      <c r="AE22" s="51">
        <f>+'Ppto Ing'!AB46</f>
        <v>0</v>
      </c>
    </row>
    <row r="23" spans="1:31" hidden="1" x14ac:dyDescent="0.25">
      <c r="C23" s="3" t="s">
        <v>357</v>
      </c>
      <c r="D23" s="3"/>
      <c r="E23" s="498"/>
      <c r="F23" s="3"/>
      <c r="G23" s="3"/>
      <c r="H23" s="51">
        <f>+'Ppto Ing'!E57</f>
        <v>0</v>
      </c>
      <c r="I23" s="51">
        <f>+'Ppto Ing'!F57</f>
        <v>0</v>
      </c>
      <c r="J23" s="51">
        <f>+'Ppto Ing'!G57</f>
        <v>0</v>
      </c>
      <c r="K23" s="51">
        <f>+'Ppto Ing'!H57</f>
        <v>0</v>
      </c>
      <c r="L23" s="51">
        <f>+'Ppto Ing'!I57</f>
        <v>0</v>
      </c>
      <c r="M23" s="51">
        <f>+'Ppto Ing'!J57</f>
        <v>0</v>
      </c>
      <c r="N23" s="51">
        <f>+'Ppto Ing'!K57</f>
        <v>0</v>
      </c>
      <c r="O23" s="51">
        <f>+'Ppto Ing'!L57</f>
        <v>0</v>
      </c>
      <c r="P23" s="51">
        <f>+'Ppto Ing'!M57</f>
        <v>0</v>
      </c>
      <c r="Q23" s="51">
        <f>+'Ppto Ing'!N57</f>
        <v>0</v>
      </c>
      <c r="R23" s="51">
        <f>+'Ppto Ing'!O57</f>
        <v>0</v>
      </c>
      <c r="S23" s="51">
        <f>+'Ppto Ing'!P57</f>
        <v>0</v>
      </c>
      <c r="T23" s="51">
        <f>+'Ppto Ing'!Q57</f>
        <v>0</v>
      </c>
      <c r="U23" s="51">
        <f>+'Ppto Ing'!R57</f>
        <v>0</v>
      </c>
      <c r="V23" s="51">
        <f>+'Ppto Ing'!S57</f>
        <v>0</v>
      </c>
      <c r="W23" s="51">
        <f>+'Ppto Ing'!T57</f>
        <v>0</v>
      </c>
      <c r="X23" s="51">
        <f>+'Ppto Ing'!U57</f>
        <v>0</v>
      </c>
      <c r="Y23" s="51">
        <f>+'Ppto Ing'!V57</f>
        <v>0</v>
      </c>
      <c r="Z23" s="51">
        <f>+'Ppto Ing'!W57</f>
        <v>0</v>
      </c>
      <c r="AA23" s="51">
        <f>+'Ppto Ing'!X57</f>
        <v>0</v>
      </c>
      <c r="AB23" s="51">
        <f>+'Ppto Ing'!Y57</f>
        <v>0</v>
      </c>
      <c r="AC23" s="51">
        <f>+'Ppto Ing'!Z57</f>
        <v>0</v>
      </c>
      <c r="AD23" s="51">
        <f>+'Ppto Ing'!AA57</f>
        <v>0</v>
      </c>
      <c r="AE23" s="51">
        <f>+'Ppto Ing'!AB57</f>
        <v>0</v>
      </c>
    </row>
    <row r="24" spans="1:31" ht="23.25" hidden="1" x14ac:dyDescent="0.35">
      <c r="A24" s="135"/>
      <c r="B24" s="135"/>
      <c r="C24" s="52" t="s">
        <v>44</v>
      </c>
      <c r="D24" s="52"/>
      <c r="E24" s="499"/>
      <c r="F24" s="53"/>
      <c r="G24" s="37"/>
      <c r="H24" s="37">
        <f>SUM(H19:H23)</f>
        <v>0</v>
      </c>
      <c r="I24" s="37">
        <f t="shared" ref="I24:AE24" si="0">SUM(I19:I23)</f>
        <v>0</v>
      </c>
      <c r="J24" s="37">
        <f t="shared" si="0"/>
        <v>0</v>
      </c>
      <c r="K24" s="37">
        <f t="shared" si="0"/>
        <v>0</v>
      </c>
      <c r="L24" s="37">
        <f t="shared" si="0"/>
        <v>0</v>
      </c>
      <c r="M24" s="37">
        <f t="shared" si="0"/>
        <v>0</v>
      </c>
      <c r="N24" s="37">
        <f t="shared" si="0"/>
        <v>0</v>
      </c>
      <c r="O24" s="37">
        <f t="shared" si="0"/>
        <v>0</v>
      </c>
      <c r="P24" s="37">
        <f t="shared" si="0"/>
        <v>0</v>
      </c>
      <c r="Q24" s="37">
        <f t="shared" si="0"/>
        <v>0</v>
      </c>
      <c r="R24" s="37">
        <f t="shared" si="0"/>
        <v>0</v>
      </c>
      <c r="S24" s="37">
        <f t="shared" si="0"/>
        <v>0</v>
      </c>
      <c r="T24" s="37">
        <f t="shared" si="0"/>
        <v>0</v>
      </c>
      <c r="U24" s="37">
        <f t="shared" si="0"/>
        <v>0</v>
      </c>
      <c r="V24" s="37">
        <f t="shared" si="0"/>
        <v>0</v>
      </c>
      <c r="W24" s="37">
        <f t="shared" si="0"/>
        <v>0</v>
      </c>
      <c r="X24" s="37">
        <f t="shared" si="0"/>
        <v>0</v>
      </c>
      <c r="Y24" s="37">
        <f t="shared" si="0"/>
        <v>0</v>
      </c>
      <c r="Z24" s="37">
        <f t="shared" si="0"/>
        <v>0</v>
      </c>
      <c r="AA24" s="37">
        <f t="shared" si="0"/>
        <v>0</v>
      </c>
      <c r="AB24" s="37">
        <f t="shared" si="0"/>
        <v>0</v>
      </c>
      <c r="AC24" s="37">
        <f t="shared" si="0"/>
        <v>0</v>
      </c>
      <c r="AD24" s="37">
        <f t="shared" si="0"/>
        <v>0</v>
      </c>
      <c r="AE24" s="37">
        <f t="shared" si="0"/>
        <v>0</v>
      </c>
    </row>
    <row r="25" spans="1:31" hidden="1" x14ac:dyDescent="0.25">
      <c r="C25" s="50" t="s">
        <v>130</v>
      </c>
      <c r="D25" s="50"/>
      <c r="E25" s="497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hidden="1" x14ac:dyDescent="0.25">
      <c r="C26" s="3" t="s">
        <v>316</v>
      </c>
      <c r="D26" s="50"/>
      <c r="E26" s="497"/>
      <c r="F26" s="3"/>
      <c r="G26" s="36"/>
      <c r="H26" s="36">
        <f>'Ppto Costos y Gtos'!D8</f>
        <v>0</v>
      </c>
      <c r="I26" s="36">
        <f>'Ppto Costos y Gtos'!E8</f>
        <v>0</v>
      </c>
      <c r="J26" s="36">
        <f>'Ppto Costos y Gtos'!F8</f>
        <v>0</v>
      </c>
      <c r="K26" s="36">
        <f>'Ppto Costos y Gtos'!G8</f>
        <v>0</v>
      </c>
      <c r="L26" s="36">
        <f>'Ppto Costos y Gtos'!H8</f>
        <v>0</v>
      </c>
      <c r="M26" s="36">
        <f>'Ppto Costos y Gtos'!I8</f>
        <v>0</v>
      </c>
      <c r="N26" s="36">
        <f>'Ppto Costos y Gtos'!J8</f>
        <v>0</v>
      </c>
      <c r="O26" s="36">
        <f>'Ppto Costos y Gtos'!K8</f>
        <v>0</v>
      </c>
      <c r="P26" s="36">
        <f>'Ppto Costos y Gtos'!L8</f>
        <v>0</v>
      </c>
      <c r="Q26" s="36">
        <f>'Ppto Costos y Gtos'!M8</f>
        <v>0</v>
      </c>
      <c r="R26" s="36">
        <f>'Ppto Costos y Gtos'!N8</f>
        <v>0</v>
      </c>
      <c r="S26" s="36">
        <f>'Ppto Costos y Gtos'!O8</f>
        <v>0</v>
      </c>
      <c r="T26" s="36">
        <f>'Ppto Costos y Gtos'!P8</f>
        <v>0</v>
      </c>
      <c r="U26" s="36">
        <f>'Ppto Costos y Gtos'!Q8</f>
        <v>0</v>
      </c>
      <c r="V26" s="36">
        <f>'Ppto Costos y Gtos'!R8</f>
        <v>0</v>
      </c>
      <c r="W26" s="36">
        <f>'Ppto Costos y Gtos'!S8</f>
        <v>0</v>
      </c>
      <c r="X26" s="36">
        <f>'Ppto Costos y Gtos'!T8</f>
        <v>0</v>
      </c>
      <c r="Y26" s="36">
        <f>'Ppto Costos y Gtos'!U8</f>
        <v>0</v>
      </c>
      <c r="Z26" s="36">
        <f>'Ppto Costos y Gtos'!V8</f>
        <v>0</v>
      </c>
      <c r="AA26" s="36">
        <f>'Ppto Costos y Gtos'!W8</f>
        <v>0</v>
      </c>
      <c r="AB26" s="36">
        <f>'Ppto Costos y Gtos'!X8</f>
        <v>0</v>
      </c>
      <c r="AC26" s="36">
        <f>'Ppto Costos y Gtos'!Y8</f>
        <v>0</v>
      </c>
      <c r="AD26" s="36">
        <f>'Ppto Costos y Gtos'!Z8</f>
        <v>0</v>
      </c>
      <c r="AE26" s="36">
        <f>'Ppto Costos y Gtos'!AA8</f>
        <v>0</v>
      </c>
    </row>
    <row r="27" spans="1:31" hidden="1" x14ac:dyDescent="0.25">
      <c r="C27" s="3" t="s">
        <v>318</v>
      </c>
      <c r="D27" s="50"/>
      <c r="E27" s="497">
        <v>1</v>
      </c>
      <c r="F27" s="3"/>
      <c r="G27" s="36"/>
      <c r="H27" s="36">
        <f>'Ppto Costos y Gtos'!D17*E27</f>
        <v>180400000</v>
      </c>
      <c r="I27" s="36">
        <f>'Ppto Costos y Gtos'!E17*E27</f>
        <v>185812000</v>
      </c>
      <c r="J27" s="36">
        <f>'Ppto Costos y Gtos'!F17*E27</f>
        <v>186714000</v>
      </c>
      <c r="K27" s="36">
        <f>'Ppto Costos y Gtos'!G17</f>
        <v>187074800</v>
      </c>
      <c r="L27" s="36">
        <f>'Ppto Costos y Gtos'!H17</f>
        <v>185992400</v>
      </c>
      <c r="M27" s="36">
        <f>'Ppto Costos y Gtos'!I17</f>
        <v>0</v>
      </c>
      <c r="N27" s="36">
        <f>'Ppto Costos y Gtos'!J17</f>
        <v>0</v>
      </c>
      <c r="O27" s="36">
        <f>'Ppto Costos y Gtos'!K17</f>
        <v>0</v>
      </c>
      <c r="P27" s="36">
        <f>'Ppto Costos y Gtos'!L17</f>
        <v>0</v>
      </c>
      <c r="Q27" s="36">
        <f>'Ppto Costos y Gtos'!M17</f>
        <v>0</v>
      </c>
      <c r="R27" s="36">
        <f>'Ppto Costos y Gtos'!N17</f>
        <v>0</v>
      </c>
      <c r="S27" s="36">
        <f>'Ppto Costos y Gtos'!O17</f>
        <v>0</v>
      </c>
      <c r="T27" s="36">
        <f>'Ppto Costos y Gtos'!P17</f>
        <v>0</v>
      </c>
      <c r="U27" s="36">
        <f>'Ppto Costos y Gtos'!Q17</f>
        <v>0</v>
      </c>
      <c r="V27" s="36">
        <f>'Ppto Costos y Gtos'!R17</f>
        <v>0</v>
      </c>
      <c r="W27" s="36">
        <f>'Ppto Costos y Gtos'!S17</f>
        <v>0</v>
      </c>
      <c r="X27" s="36">
        <f>'Ppto Costos y Gtos'!T17</f>
        <v>0</v>
      </c>
      <c r="Y27" s="36">
        <f>'Ppto Costos y Gtos'!U17</f>
        <v>0</v>
      </c>
      <c r="Z27" s="36">
        <f>'Ppto Costos y Gtos'!V17</f>
        <v>0</v>
      </c>
      <c r="AA27" s="36">
        <f>'Ppto Costos y Gtos'!W17</f>
        <v>0</v>
      </c>
      <c r="AB27" s="36">
        <f>'Ppto Costos y Gtos'!X17</f>
        <v>0</v>
      </c>
      <c r="AC27" s="36">
        <f>'Ppto Costos y Gtos'!Y17</f>
        <v>0</v>
      </c>
      <c r="AD27" s="36">
        <f>'Ppto Costos y Gtos'!Z17</f>
        <v>0</v>
      </c>
      <c r="AE27" s="36">
        <f>'Ppto Costos y Gtos'!AA17</f>
        <v>0</v>
      </c>
    </row>
    <row r="28" spans="1:31" hidden="1" x14ac:dyDescent="0.25">
      <c r="C28" s="3" t="s">
        <v>319</v>
      </c>
      <c r="D28" s="50"/>
      <c r="E28" s="497"/>
      <c r="F28" s="3"/>
      <c r="G28" s="36"/>
      <c r="H28" s="36">
        <f>'Ppto Costos y Gtos'!D23</f>
        <v>0</v>
      </c>
      <c r="I28" s="36">
        <f>'Ppto Costos y Gtos'!E23</f>
        <v>0</v>
      </c>
      <c r="J28" s="36">
        <f>'Ppto Costos y Gtos'!F23</f>
        <v>0</v>
      </c>
      <c r="K28" s="36">
        <f>'Ppto Costos y Gtos'!G23</f>
        <v>0</v>
      </c>
      <c r="L28" s="36">
        <f>'Ppto Costos y Gtos'!H23</f>
        <v>0</v>
      </c>
      <c r="M28" s="36">
        <f>'Ppto Costos y Gtos'!I23</f>
        <v>0</v>
      </c>
      <c r="N28" s="36">
        <f>'Ppto Costos y Gtos'!J23</f>
        <v>0</v>
      </c>
      <c r="O28" s="36">
        <f>'Ppto Costos y Gtos'!K23</f>
        <v>0</v>
      </c>
      <c r="P28" s="36">
        <f>'Ppto Costos y Gtos'!L23</f>
        <v>0</v>
      </c>
      <c r="Q28" s="36">
        <f>'Ppto Costos y Gtos'!M23</f>
        <v>0</v>
      </c>
      <c r="R28" s="36">
        <f>'Ppto Costos y Gtos'!N23</f>
        <v>0</v>
      </c>
      <c r="S28" s="36">
        <f>'Ppto Costos y Gtos'!O23</f>
        <v>0</v>
      </c>
      <c r="T28" s="36">
        <f>'Ppto Costos y Gtos'!P23</f>
        <v>0</v>
      </c>
      <c r="U28" s="36">
        <f>'Ppto Costos y Gtos'!Q23</f>
        <v>0</v>
      </c>
      <c r="V28" s="36">
        <f>'Ppto Costos y Gtos'!R23</f>
        <v>0</v>
      </c>
      <c r="W28" s="36">
        <f>'Ppto Costos y Gtos'!S23</f>
        <v>0</v>
      </c>
      <c r="X28" s="36">
        <f>'Ppto Costos y Gtos'!T23</f>
        <v>0</v>
      </c>
      <c r="Y28" s="36">
        <f>'Ppto Costos y Gtos'!U23</f>
        <v>0</v>
      </c>
      <c r="Z28" s="36">
        <f>'Ppto Costos y Gtos'!V23</f>
        <v>0</v>
      </c>
      <c r="AA28" s="36">
        <f>'Ppto Costos y Gtos'!W23</f>
        <v>0</v>
      </c>
      <c r="AB28" s="36">
        <f>'Ppto Costos y Gtos'!X23</f>
        <v>0</v>
      </c>
      <c r="AC28" s="36">
        <f>'Ppto Costos y Gtos'!Y23</f>
        <v>0</v>
      </c>
      <c r="AD28" s="36">
        <f>'Ppto Costos y Gtos'!Z23</f>
        <v>0</v>
      </c>
      <c r="AE28" s="36">
        <f>'Ppto Costos y Gtos'!AA23</f>
        <v>0</v>
      </c>
    </row>
    <row r="29" spans="1:31" hidden="1" x14ac:dyDescent="0.25">
      <c r="C29" s="3" t="s">
        <v>317</v>
      </c>
      <c r="D29" s="50"/>
      <c r="E29" s="497"/>
      <c r="F29" s="3"/>
      <c r="G29" s="36"/>
      <c r="H29" s="36">
        <f>'Ppto Costos y Gtos'!D32</f>
        <v>0</v>
      </c>
      <c r="I29" s="36">
        <f>'Ppto Costos y Gtos'!E32</f>
        <v>0</v>
      </c>
      <c r="J29" s="36">
        <f>'Ppto Costos y Gtos'!F32</f>
        <v>0</v>
      </c>
      <c r="K29" s="36">
        <f>'Ppto Costos y Gtos'!G32</f>
        <v>0</v>
      </c>
      <c r="L29" s="36">
        <f>'Ppto Costos y Gtos'!H32</f>
        <v>0</v>
      </c>
      <c r="M29" s="36">
        <f>'Ppto Costos y Gtos'!I32</f>
        <v>0</v>
      </c>
      <c r="N29" s="36">
        <f>'Ppto Costos y Gtos'!J32</f>
        <v>0</v>
      </c>
      <c r="O29" s="36">
        <f>'Ppto Costos y Gtos'!K32</f>
        <v>0</v>
      </c>
      <c r="P29" s="36">
        <f>'Ppto Costos y Gtos'!L32</f>
        <v>0</v>
      </c>
      <c r="Q29" s="36">
        <f>'Ppto Costos y Gtos'!M32</f>
        <v>0</v>
      </c>
      <c r="R29" s="36">
        <f>'Ppto Costos y Gtos'!N32</f>
        <v>0</v>
      </c>
      <c r="S29" s="36">
        <f>'Ppto Costos y Gtos'!O32</f>
        <v>0</v>
      </c>
      <c r="T29" s="36">
        <f>'Ppto Costos y Gtos'!P32</f>
        <v>0</v>
      </c>
      <c r="U29" s="36">
        <f>'Ppto Costos y Gtos'!Q32</f>
        <v>0</v>
      </c>
      <c r="V29" s="36">
        <f>'Ppto Costos y Gtos'!R32</f>
        <v>0</v>
      </c>
      <c r="W29" s="36">
        <f>'Ppto Costos y Gtos'!S32</f>
        <v>0</v>
      </c>
      <c r="X29" s="36">
        <f>'Ppto Costos y Gtos'!T32</f>
        <v>0</v>
      </c>
      <c r="Y29" s="36">
        <f>'Ppto Costos y Gtos'!U32</f>
        <v>0</v>
      </c>
      <c r="Z29" s="36">
        <f>'Ppto Costos y Gtos'!V32</f>
        <v>0</v>
      </c>
      <c r="AA29" s="36">
        <f>'Ppto Costos y Gtos'!W32</f>
        <v>0</v>
      </c>
      <c r="AB29" s="36">
        <f>'Ppto Costos y Gtos'!X32</f>
        <v>0</v>
      </c>
      <c r="AC29" s="36">
        <f>'Ppto Costos y Gtos'!Y32</f>
        <v>0</v>
      </c>
      <c r="AD29" s="36">
        <f>'Ppto Costos y Gtos'!Z32</f>
        <v>0</v>
      </c>
      <c r="AE29" s="36">
        <f>'Ppto Costos y Gtos'!AA32</f>
        <v>0</v>
      </c>
    </row>
    <row r="30" spans="1:31" hidden="1" x14ac:dyDescent="0.25">
      <c r="C30" s="3" t="s">
        <v>320</v>
      </c>
      <c r="D30" s="50"/>
      <c r="E30" s="497"/>
      <c r="F30" s="3"/>
      <c r="G30" s="36"/>
      <c r="H30" s="36">
        <f>'Ppto Costos y Gtos'!D38</f>
        <v>0</v>
      </c>
      <c r="I30" s="36">
        <f>'Ppto Costos y Gtos'!E38</f>
        <v>0</v>
      </c>
      <c r="J30" s="36">
        <f>'Ppto Costos y Gtos'!F38</f>
        <v>0</v>
      </c>
      <c r="K30" s="36">
        <f>'Ppto Costos y Gtos'!G38</f>
        <v>0</v>
      </c>
      <c r="L30" s="36">
        <f>'Ppto Costos y Gtos'!H38</f>
        <v>0</v>
      </c>
      <c r="M30" s="36">
        <f>'Ppto Costos y Gtos'!I38</f>
        <v>0</v>
      </c>
      <c r="N30" s="36">
        <f>'Ppto Costos y Gtos'!J38</f>
        <v>0</v>
      </c>
      <c r="O30" s="36">
        <f>'Ppto Costos y Gtos'!K38</f>
        <v>0</v>
      </c>
      <c r="P30" s="36">
        <f>'Ppto Costos y Gtos'!L38</f>
        <v>0</v>
      </c>
      <c r="Q30" s="36">
        <f>'Ppto Costos y Gtos'!M38</f>
        <v>0</v>
      </c>
      <c r="R30" s="36">
        <f>'Ppto Costos y Gtos'!N38</f>
        <v>0</v>
      </c>
      <c r="S30" s="36">
        <f>'Ppto Costos y Gtos'!O38</f>
        <v>0</v>
      </c>
      <c r="T30" s="36">
        <f>'Ppto Costos y Gtos'!P38</f>
        <v>0</v>
      </c>
      <c r="U30" s="36">
        <f>'Ppto Costos y Gtos'!Q38</f>
        <v>0</v>
      </c>
      <c r="V30" s="36">
        <f>'Ppto Costos y Gtos'!R38</f>
        <v>0</v>
      </c>
      <c r="W30" s="36">
        <f>'Ppto Costos y Gtos'!S38</f>
        <v>0</v>
      </c>
      <c r="X30" s="36">
        <f>'Ppto Costos y Gtos'!T38</f>
        <v>0</v>
      </c>
      <c r="Y30" s="36">
        <f>'Ppto Costos y Gtos'!U38</f>
        <v>0</v>
      </c>
      <c r="Z30" s="36">
        <f>'Ppto Costos y Gtos'!V38</f>
        <v>0</v>
      </c>
      <c r="AA30" s="36">
        <f>'Ppto Costos y Gtos'!W38</f>
        <v>0</v>
      </c>
      <c r="AB30" s="36">
        <f>'Ppto Costos y Gtos'!X38</f>
        <v>0</v>
      </c>
      <c r="AC30" s="36">
        <f>'Ppto Costos y Gtos'!Y38</f>
        <v>0</v>
      </c>
      <c r="AD30" s="36">
        <f>'Ppto Costos y Gtos'!Z38</f>
        <v>0</v>
      </c>
      <c r="AE30" s="36">
        <f>'Ppto Costos y Gtos'!AA38</f>
        <v>0</v>
      </c>
    </row>
    <row r="31" spans="1:31" hidden="1" x14ac:dyDescent="0.25">
      <c r="C31" s="3" t="s">
        <v>321</v>
      </c>
      <c r="D31" s="50"/>
      <c r="E31" s="497"/>
      <c r="F31" s="3"/>
      <c r="G31" s="36"/>
      <c r="H31" s="36">
        <f>'Ppto Costos y Gtos'!D47</f>
        <v>0</v>
      </c>
      <c r="I31" s="36">
        <f>'Ppto Costos y Gtos'!E47</f>
        <v>0</v>
      </c>
      <c r="J31" s="36">
        <f>'Ppto Costos y Gtos'!F47</f>
        <v>0</v>
      </c>
      <c r="K31" s="36">
        <f>'Ppto Costos y Gtos'!G47</f>
        <v>0</v>
      </c>
      <c r="L31" s="36">
        <f>'Ppto Costos y Gtos'!H47</f>
        <v>0</v>
      </c>
      <c r="M31" s="36">
        <f>'Ppto Costos y Gtos'!I47</f>
        <v>0</v>
      </c>
      <c r="N31" s="36">
        <f>'Ppto Costos y Gtos'!J47</f>
        <v>0</v>
      </c>
      <c r="O31" s="36">
        <f>'Ppto Costos y Gtos'!K47</f>
        <v>0</v>
      </c>
      <c r="P31" s="36">
        <f>'Ppto Costos y Gtos'!L47</f>
        <v>0</v>
      </c>
      <c r="Q31" s="36">
        <f>'Ppto Costos y Gtos'!M47</f>
        <v>0</v>
      </c>
      <c r="R31" s="36">
        <f>'Ppto Costos y Gtos'!N47</f>
        <v>0</v>
      </c>
      <c r="S31" s="36">
        <f>'Ppto Costos y Gtos'!O47</f>
        <v>0</v>
      </c>
      <c r="T31" s="36">
        <f>'Ppto Costos y Gtos'!P47</f>
        <v>0</v>
      </c>
      <c r="U31" s="36">
        <f>'Ppto Costos y Gtos'!Q47</f>
        <v>0</v>
      </c>
      <c r="V31" s="36">
        <f>'Ppto Costos y Gtos'!R47</f>
        <v>0</v>
      </c>
      <c r="W31" s="36">
        <f>'Ppto Costos y Gtos'!S47</f>
        <v>0</v>
      </c>
      <c r="X31" s="36">
        <f>'Ppto Costos y Gtos'!T47</f>
        <v>0</v>
      </c>
      <c r="Y31" s="36">
        <f>'Ppto Costos y Gtos'!U47</f>
        <v>0</v>
      </c>
      <c r="Z31" s="36">
        <f>'Ppto Costos y Gtos'!V47</f>
        <v>0</v>
      </c>
      <c r="AA31" s="36">
        <f>'Ppto Costos y Gtos'!W47</f>
        <v>0</v>
      </c>
      <c r="AB31" s="36">
        <f>'Ppto Costos y Gtos'!X47</f>
        <v>0</v>
      </c>
      <c r="AC31" s="36">
        <f>'Ppto Costos y Gtos'!Y47</f>
        <v>0</v>
      </c>
      <c r="AD31" s="36">
        <f>'Ppto Costos y Gtos'!Z47</f>
        <v>0</v>
      </c>
      <c r="AE31" s="36">
        <f>'Ppto Costos y Gtos'!AA47</f>
        <v>0</v>
      </c>
    </row>
    <row r="32" spans="1:31" hidden="1" x14ac:dyDescent="0.25">
      <c r="C32" s="3" t="s">
        <v>322</v>
      </c>
      <c r="D32" s="50"/>
      <c r="E32" s="497"/>
      <c r="F32" s="3"/>
      <c r="G32" s="36"/>
      <c r="H32" s="36">
        <f>'Ppto Costos y Gtos'!D53</f>
        <v>0</v>
      </c>
      <c r="I32" s="36">
        <f>'Ppto Costos y Gtos'!E53</f>
        <v>0</v>
      </c>
      <c r="J32" s="36">
        <f>'Ppto Costos y Gtos'!F53</f>
        <v>0</v>
      </c>
      <c r="K32" s="36">
        <f>'Ppto Costos y Gtos'!G53</f>
        <v>0</v>
      </c>
      <c r="L32" s="36">
        <f>'Ppto Costos y Gtos'!H53</f>
        <v>0</v>
      </c>
      <c r="M32" s="36">
        <f>'Ppto Costos y Gtos'!I53</f>
        <v>0</v>
      </c>
      <c r="N32" s="36">
        <f>'Ppto Costos y Gtos'!J53</f>
        <v>0</v>
      </c>
      <c r="O32" s="36">
        <f>'Ppto Costos y Gtos'!K53</f>
        <v>0</v>
      </c>
      <c r="P32" s="36">
        <f>'Ppto Costos y Gtos'!L53</f>
        <v>0</v>
      </c>
      <c r="Q32" s="36">
        <f>'Ppto Costos y Gtos'!M53</f>
        <v>0</v>
      </c>
      <c r="R32" s="36">
        <f>'Ppto Costos y Gtos'!N53</f>
        <v>0</v>
      </c>
      <c r="S32" s="36">
        <f>'Ppto Costos y Gtos'!O53</f>
        <v>0</v>
      </c>
      <c r="T32" s="36">
        <f>'Ppto Costos y Gtos'!P53</f>
        <v>0</v>
      </c>
      <c r="U32" s="36">
        <f>'Ppto Costos y Gtos'!Q53</f>
        <v>0</v>
      </c>
      <c r="V32" s="36">
        <f>'Ppto Costos y Gtos'!R53</f>
        <v>0</v>
      </c>
      <c r="W32" s="36">
        <f>'Ppto Costos y Gtos'!S53</f>
        <v>0</v>
      </c>
      <c r="X32" s="36">
        <f>'Ppto Costos y Gtos'!T53</f>
        <v>0</v>
      </c>
      <c r="Y32" s="36">
        <f>'Ppto Costos y Gtos'!U53</f>
        <v>0</v>
      </c>
      <c r="Z32" s="36">
        <f>'Ppto Costos y Gtos'!V53</f>
        <v>0</v>
      </c>
      <c r="AA32" s="36">
        <f>'Ppto Costos y Gtos'!W53</f>
        <v>0</v>
      </c>
      <c r="AB32" s="36">
        <f>'Ppto Costos y Gtos'!X53</f>
        <v>0</v>
      </c>
      <c r="AC32" s="36">
        <f>'Ppto Costos y Gtos'!Y53</f>
        <v>0</v>
      </c>
      <c r="AD32" s="36">
        <f>'Ppto Costos y Gtos'!Z53</f>
        <v>0</v>
      </c>
      <c r="AE32" s="36">
        <f>'Ppto Costos y Gtos'!AA53</f>
        <v>0</v>
      </c>
    </row>
    <row r="33" spans="1:31" hidden="1" x14ac:dyDescent="0.25">
      <c r="C33" s="3" t="s">
        <v>323</v>
      </c>
      <c r="D33" s="50"/>
      <c r="E33" s="497"/>
      <c r="F33" s="3"/>
      <c r="G33" s="36"/>
      <c r="H33" s="36">
        <f>'Ppto Costos y Gtos'!D62</f>
        <v>0</v>
      </c>
      <c r="I33" s="36">
        <f>'Ppto Costos y Gtos'!E62</f>
        <v>0</v>
      </c>
      <c r="J33" s="36">
        <f>'Ppto Costos y Gtos'!F62</f>
        <v>0</v>
      </c>
      <c r="K33" s="36">
        <f>'Ppto Costos y Gtos'!G62</f>
        <v>0</v>
      </c>
      <c r="L33" s="36">
        <f>'Ppto Costos y Gtos'!H62</f>
        <v>0</v>
      </c>
      <c r="M33" s="36">
        <f>'Ppto Costos y Gtos'!I62</f>
        <v>0</v>
      </c>
      <c r="N33" s="36">
        <f>'Ppto Costos y Gtos'!J62</f>
        <v>0</v>
      </c>
      <c r="O33" s="36">
        <f>'Ppto Costos y Gtos'!K62</f>
        <v>0</v>
      </c>
      <c r="P33" s="36">
        <f>'Ppto Costos y Gtos'!L62</f>
        <v>0</v>
      </c>
      <c r="Q33" s="36">
        <f>'Ppto Costos y Gtos'!M62</f>
        <v>0</v>
      </c>
      <c r="R33" s="36">
        <f>'Ppto Costos y Gtos'!N62</f>
        <v>0</v>
      </c>
      <c r="S33" s="36">
        <f>'Ppto Costos y Gtos'!O62</f>
        <v>0</v>
      </c>
      <c r="T33" s="36">
        <f>'Ppto Costos y Gtos'!P62</f>
        <v>0</v>
      </c>
      <c r="U33" s="36">
        <f>'Ppto Costos y Gtos'!Q62</f>
        <v>0</v>
      </c>
      <c r="V33" s="36">
        <f>'Ppto Costos y Gtos'!R62</f>
        <v>0</v>
      </c>
      <c r="W33" s="36">
        <f>'Ppto Costos y Gtos'!S62</f>
        <v>0</v>
      </c>
      <c r="X33" s="36">
        <f>'Ppto Costos y Gtos'!T62</f>
        <v>0</v>
      </c>
      <c r="Y33" s="36">
        <f>'Ppto Costos y Gtos'!U62</f>
        <v>0</v>
      </c>
      <c r="Z33" s="36">
        <f>'Ppto Costos y Gtos'!V62</f>
        <v>0</v>
      </c>
      <c r="AA33" s="36">
        <f>'Ppto Costos y Gtos'!W62</f>
        <v>0</v>
      </c>
      <c r="AB33" s="36">
        <f>'Ppto Costos y Gtos'!X62</f>
        <v>0</v>
      </c>
      <c r="AC33" s="36">
        <f>'Ppto Costos y Gtos'!Y62</f>
        <v>0</v>
      </c>
      <c r="AD33" s="36">
        <f>'Ppto Costos y Gtos'!Z62</f>
        <v>0</v>
      </c>
      <c r="AE33" s="36">
        <f>'Ppto Costos y Gtos'!AA62</f>
        <v>0</v>
      </c>
    </row>
    <row r="34" spans="1:31" hidden="1" x14ac:dyDescent="0.25">
      <c r="C34" s="3" t="s">
        <v>324</v>
      </c>
      <c r="D34" s="50"/>
      <c r="E34" s="497"/>
      <c r="F34" s="3"/>
      <c r="G34" s="36"/>
      <c r="H34" s="36">
        <f>'Ppto Costos y Gtos'!D68</f>
        <v>0</v>
      </c>
      <c r="I34" s="36">
        <f>'Ppto Costos y Gtos'!E68</f>
        <v>0</v>
      </c>
      <c r="J34" s="36">
        <f>'Ppto Costos y Gtos'!F68</f>
        <v>0</v>
      </c>
      <c r="K34" s="36">
        <f>'Ppto Costos y Gtos'!G68</f>
        <v>0</v>
      </c>
      <c r="L34" s="36">
        <f>'Ppto Costos y Gtos'!H68</f>
        <v>0</v>
      </c>
      <c r="M34" s="36">
        <f>'Ppto Costos y Gtos'!I68</f>
        <v>0</v>
      </c>
      <c r="N34" s="36">
        <f>'Ppto Costos y Gtos'!J68</f>
        <v>0</v>
      </c>
      <c r="O34" s="36">
        <f>'Ppto Costos y Gtos'!K68</f>
        <v>0</v>
      </c>
      <c r="P34" s="36">
        <f>'Ppto Costos y Gtos'!L68</f>
        <v>0</v>
      </c>
      <c r="Q34" s="36">
        <f>'Ppto Costos y Gtos'!M68</f>
        <v>0</v>
      </c>
      <c r="R34" s="36">
        <f>'Ppto Costos y Gtos'!N68</f>
        <v>0</v>
      </c>
      <c r="S34" s="36">
        <f>'Ppto Costos y Gtos'!O68</f>
        <v>0</v>
      </c>
      <c r="T34" s="36">
        <f>'Ppto Costos y Gtos'!P68</f>
        <v>0</v>
      </c>
      <c r="U34" s="36">
        <f>'Ppto Costos y Gtos'!Q68</f>
        <v>0</v>
      </c>
      <c r="V34" s="36">
        <f>'Ppto Costos y Gtos'!R68</f>
        <v>0</v>
      </c>
      <c r="W34" s="36">
        <f>'Ppto Costos y Gtos'!S68</f>
        <v>0</v>
      </c>
      <c r="X34" s="36">
        <f>'Ppto Costos y Gtos'!T68</f>
        <v>0</v>
      </c>
      <c r="Y34" s="36">
        <f>'Ppto Costos y Gtos'!U68</f>
        <v>0</v>
      </c>
      <c r="Z34" s="36">
        <f>'Ppto Costos y Gtos'!V68</f>
        <v>0</v>
      </c>
      <c r="AA34" s="36">
        <f>'Ppto Costos y Gtos'!W68</f>
        <v>0</v>
      </c>
      <c r="AB34" s="36">
        <f>'Ppto Costos y Gtos'!X68</f>
        <v>0</v>
      </c>
      <c r="AC34" s="36">
        <f>'Ppto Costos y Gtos'!Y68</f>
        <v>0</v>
      </c>
      <c r="AD34" s="36">
        <f>'Ppto Costos y Gtos'!Z68</f>
        <v>0</v>
      </c>
      <c r="AE34" s="36">
        <f>'Ppto Costos y Gtos'!AA68</f>
        <v>0</v>
      </c>
    </row>
    <row r="35" spans="1:31" hidden="1" x14ac:dyDescent="0.25">
      <c r="C35" s="3" t="s">
        <v>325</v>
      </c>
      <c r="D35" s="50"/>
      <c r="E35" s="497"/>
      <c r="F35" s="3"/>
      <c r="G35" s="36"/>
      <c r="H35" s="36">
        <f>'Ppto Costos y Gtos'!D77</f>
        <v>0</v>
      </c>
      <c r="I35" s="36">
        <f>'Ppto Costos y Gtos'!E77</f>
        <v>0</v>
      </c>
      <c r="J35" s="36">
        <f>'Ppto Costos y Gtos'!F77</f>
        <v>0</v>
      </c>
      <c r="K35" s="36">
        <f>'Ppto Costos y Gtos'!G77</f>
        <v>0</v>
      </c>
      <c r="L35" s="36">
        <f>'Ppto Costos y Gtos'!H77</f>
        <v>0</v>
      </c>
      <c r="M35" s="36">
        <f>'Ppto Costos y Gtos'!I77</f>
        <v>0</v>
      </c>
      <c r="N35" s="36">
        <f>'Ppto Costos y Gtos'!J77</f>
        <v>0</v>
      </c>
      <c r="O35" s="36">
        <f>'Ppto Costos y Gtos'!K77</f>
        <v>0</v>
      </c>
      <c r="P35" s="36">
        <f>'Ppto Costos y Gtos'!L77</f>
        <v>0</v>
      </c>
      <c r="Q35" s="36">
        <f>'Ppto Costos y Gtos'!M77</f>
        <v>0</v>
      </c>
      <c r="R35" s="36">
        <f>'Ppto Costos y Gtos'!N77</f>
        <v>0</v>
      </c>
      <c r="S35" s="36">
        <f>'Ppto Costos y Gtos'!O77</f>
        <v>0</v>
      </c>
      <c r="T35" s="36">
        <f>'Ppto Costos y Gtos'!P77</f>
        <v>0</v>
      </c>
      <c r="U35" s="36">
        <f>'Ppto Costos y Gtos'!Q77</f>
        <v>0</v>
      </c>
      <c r="V35" s="36">
        <f>'Ppto Costos y Gtos'!R77</f>
        <v>0</v>
      </c>
      <c r="W35" s="36">
        <f>'Ppto Costos y Gtos'!S77</f>
        <v>0</v>
      </c>
      <c r="X35" s="36">
        <f>'Ppto Costos y Gtos'!T77</f>
        <v>0</v>
      </c>
      <c r="Y35" s="36">
        <f>'Ppto Costos y Gtos'!U77</f>
        <v>0</v>
      </c>
      <c r="Z35" s="36">
        <f>'Ppto Costos y Gtos'!V77</f>
        <v>0</v>
      </c>
      <c r="AA35" s="36">
        <f>'Ppto Costos y Gtos'!W77</f>
        <v>0</v>
      </c>
      <c r="AB35" s="36">
        <f>'Ppto Costos y Gtos'!X77</f>
        <v>0</v>
      </c>
      <c r="AC35" s="36">
        <f>'Ppto Costos y Gtos'!Y77</f>
        <v>0</v>
      </c>
      <c r="AD35" s="36">
        <f>'Ppto Costos y Gtos'!Z77</f>
        <v>0</v>
      </c>
      <c r="AE35" s="36">
        <f>'Ppto Costos y Gtos'!AA77</f>
        <v>0</v>
      </c>
    </row>
    <row r="36" spans="1:31" hidden="1" x14ac:dyDescent="0.25">
      <c r="C36" s="3"/>
      <c r="D36" s="50"/>
      <c r="E36" s="497"/>
      <c r="F36" s="3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hidden="1" x14ac:dyDescent="0.25">
      <c r="C37" s="52" t="s">
        <v>134</v>
      </c>
      <c r="D37" s="52"/>
      <c r="E37" s="499"/>
      <c r="F37" s="53"/>
      <c r="G37" s="37"/>
      <c r="H37" s="37">
        <f t="shared" ref="H37:AE37" si="1">SUM(H26:H35)</f>
        <v>180400000</v>
      </c>
      <c r="I37" s="37">
        <f t="shared" si="1"/>
        <v>185812000</v>
      </c>
      <c r="J37" s="37">
        <f t="shared" si="1"/>
        <v>186714000</v>
      </c>
      <c r="K37" s="37">
        <f t="shared" si="1"/>
        <v>187074800</v>
      </c>
      <c r="L37" s="37">
        <f t="shared" si="1"/>
        <v>185992400</v>
      </c>
      <c r="M37" s="37">
        <f t="shared" si="1"/>
        <v>0</v>
      </c>
      <c r="N37" s="37">
        <f t="shared" si="1"/>
        <v>0</v>
      </c>
      <c r="O37" s="37">
        <f t="shared" si="1"/>
        <v>0</v>
      </c>
      <c r="P37" s="37">
        <f t="shared" si="1"/>
        <v>0</v>
      </c>
      <c r="Q37" s="37">
        <f t="shared" si="1"/>
        <v>0</v>
      </c>
      <c r="R37" s="37">
        <f t="shared" si="1"/>
        <v>0</v>
      </c>
      <c r="S37" s="37">
        <f t="shared" si="1"/>
        <v>0</v>
      </c>
      <c r="T37" s="37">
        <f t="shared" si="1"/>
        <v>0</v>
      </c>
      <c r="U37" s="37">
        <f t="shared" si="1"/>
        <v>0</v>
      </c>
      <c r="V37" s="37">
        <f t="shared" si="1"/>
        <v>0</v>
      </c>
      <c r="W37" s="37">
        <f t="shared" si="1"/>
        <v>0</v>
      </c>
      <c r="X37" s="37">
        <f t="shared" si="1"/>
        <v>0</v>
      </c>
      <c r="Y37" s="37">
        <f t="shared" si="1"/>
        <v>0</v>
      </c>
      <c r="Z37" s="37">
        <f t="shared" si="1"/>
        <v>0</v>
      </c>
      <c r="AA37" s="37">
        <f t="shared" si="1"/>
        <v>0</v>
      </c>
      <c r="AB37" s="37">
        <f t="shared" si="1"/>
        <v>0</v>
      </c>
      <c r="AC37" s="37">
        <f t="shared" si="1"/>
        <v>0</v>
      </c>
      <c r="AD37" s="37">
        <f t="shared" si="1"/>
        <v>0</v>
      </c>
      <c r="AE37" s="37">
        <f t="shared" si="1"/>
        <v>0</v>
      </c>
    </row>
    <row r="38" spans="1:31" hidden="1" x14ac:dyDescent="0.25">
      <c r="C38" s="112"/>
      <c r="D38" s="112"/>
      <c r="E38" s="499"/>
      <c r="F38" s="60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</row>
    <row r="39" spans="1:31" hidden="1" x14ac:dyDescent="0.25">
      <c r="C39" s="52" t="s">
        <v>367</v>
      </c>
      <c r="D39" s="52"/>
      <c r="E39" s="499"/>
      <c r="F39" s="53"/>
      <c r="G39" s="37"/>
      <c r="H39" s="37">
        <f>H24-H37</f>
        <v>-180400000</v>
      </c>
      <c r="I39" s="37">
        <f t="shared" ref="I39:AE39" si="2">I24-I37</f>
        <v>-185812000</v>
      </c>
      <c r="J39" s="37">
        <f t="shared" si="2"/>
        <v>-186714000</v>
      </c>
      <c r="K39" s="37">
        <f t="shared" si="2"/>
        <v>-187074800</v>
      </c>
      <c r="L39" s="37">
        <f t="shared" si="2"/>
        <v>-185992400</v>
      </c>
      <c r="M39" s="37">
        <f t="shared" si="2"/>
        <v>0</v>
      </c>
      <c r="N39" s="37">
        <f t="shared" si="2"/>
        <v>0</v>
      </c>
      <c r="O39" s="37">
        <f t="shared" si="2"/>
        <v>0</v>
      </c>
      <c r="P39" s="37">
        <f t="shared" si="2"/>
        <v>0</v>
      </c>
      <c r="Q39" s="37">
        <f t="shared" si="2"/>
        <v>0</v>
      </c>
      <c r="R39" s="37">
        <f t="shared" si="2"/>
        <v>0</v>
      </c>
      <c r="S39" s="37">
        <f t="shared" si="2"/>
        <v>0</v>
      </c>
      <c r="T39" s="37">
        <f t="shared" si="2"/>
        <v>0</v>
      </c>
      <c r="U39" s="37">
        <f t="shared" si="2"/>
        <v>0</v>
      </c>
      <c r="V39" s="37">
        <f t="shared" si="2"/>
        <v>0</v>
      </c>
      <c r="W39" s="37">
        <f t="shared" si="2"/>
        <v>0</v>
      </c>
      <c r="X39" s="37">
        <f t="shared" si="2"/>
        <v>0</v>
      </c>
      <c r="Y39" s="37">
        <f t="shared" si="2"/>
        <v>0</v>
      </c>
      <c r="Z39" s="37">
        <f t="shared" si="2"/>
        <v>0</v>
      </c>
      <c r="AA39" s="37">
        <f t="shared" si="2"/>
        <v>0</v>
      </c>
      <c r="AB39" s="37">
        <f t="shared" si="2"/>
        <v>0</v>
      </c>
      <c r="AC39" s="37">
        <f t="shared" si="2"/>
        <v>0</v>
      </c>
      <c r="AD39" s="37">
        <f t="shared" si="2"/>
        <v>0</v>
      </c>
      <c r="AE39" s="37">
        <f t="shared" si="2"/>
        <v>0</v>
      </c>
    </row>
    <row r="40" spans="1:31" hidden="1" x14ac:dyDescent="0.25">
      <c r="C40" s="50" t="s">
        <v>137</v>
      </c>
      <c r="D40" s="112"/>
      <c r="E40" s="499"/>
      <c r="F40" s="60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</row>
    <row r="41" spans="1:31" hidden="1" x14ac:dyDescent="0.25">
      <c r="C41" s="3" t="s">
        <v>11</v>
      </c>
      <c r="D41" s="112"/>
      <c r="E41" s="499"/>
      <c r="F41" s="60"/>
      <c r="G41" s="55"/>
      <c r="H41" s="55">
        <f>'Ppto Costos y Gtos'!D86</f>
        <v>0</v>
      </c>
      <c r="I41" s="55">
        <f>'Ppto Costos y Gtos'!E86</f>
        <v>0</v>
      </c>
      <c r="J41" s="55">
        <f>'Ppto Costos y Gtos'!F86</f>
        <v>0</v>
      </c>
      <c r="K41" s="55">
        <f>'Ppto Costos y Gtos'!G86</f>
        <v>0</v>
      </c>
      <c r="L41" s="55">
        <f>'Ppto Costos y Gtos'!H86</f>
        <v>0</v>
      </c>
      <c r="M41" s="55">
        <f>'Ppto Costos y Gtos'!I86</f>
        <v>0</v>
      </c>
      <c r="N41" s="55">
        <f>'Ppto Costos y Gtos'!J86</f>
        <v>0</v>
      </c>
      <c r="O41" s="55">
        <f>'Ppto Costos y Gtos'!K86</f>
        <v>0</v>
      </c>
      <c r="P41" s="55">
        <f>'Ppto Costos y Gtos'!L86</f>
        <v>0</v>
      </c>
      <c r="Q41" s="55">
        <f>'Ppto Costos y Gtos'!M86</f>
        <v>0</v>
      </c>
      <c r="R41" s="55">
        <f>'Ppto Costos y Gtos'!N86</f>
        <v>0</v>
      </c>
      <c r="S41" s="55">
        <f>'Ppto Costos y Gtos'!O86</f>
        <v>0</v>
      </c>
      <c r="T41" s="55">
        <f>'Ppto Costos y Gtos'!P86</f>
        <v>0</v>
      </c>
      <c r="U41" s="55">
        <f>'Ppto Costos y Gtos'!Q86</f>
        <v>0</v>
      </c>
      <c r="V41" s="55">
        <f>'Ppto Costos y Gtos'!R86</f>
        <v>0</v>
      </c>
      <c r="W41" s="55">
        <f>'Ppto Costos y Gtos'!S86</f>
        <v>0</v>
      </c>
      <c r="X41" s="55">
        <f>'Ppto Costos y Gtos'!T86</f>
        <v>0</v>
      </c>
      <c r="Y41" s="55">
        <f>'Ppto Costos y Gtos'!U86</f>
        <v>0</v>
      </c>
      <c r="Z41" s="55">
        <f>'Ppto Costos y Gtos'!V86</f>
        <v>0</v>
      </c>
      <c r="AA41" s="55">
        <f>'Ppto Costos y Gtos'!W86</f>
        <v>0</v>
      </c>
      <c r="AB41" s="55">
        <f>'Ppto Costos y Gtos'!X86</f>
        <v>0</v>
      </c>
      <c r="AC41" s="55">
        <f>'Ppto Costos y Gtos'!Y86</f>
        <v>0</v>
      </c>
      <c r="AD41" s="55">
        <f>'Ppto Costos y Gtos'!Z86</f>
        <v>0</v>
      </c>
      <c r="AE41" s="55">
        <f>'Ppto Costos y Gtos'!AA86</f>
        <v>0</v>
      </c>
    </row>
    <row r="42" spans="1:31" ht="20.45" hidden="1" customHeight="1" x14ac:dyDescent="0.5">
      <c r="A42" s="140"/>
      <c r="B42" s="140"/>
      <c r="C42" s="14" t="s">
        <v>135</v>
      </c>
      <c r="D42" s="112"/>
      <c r="E42" s="499"/>
      <c r="F42" s="60"/>
      <c r="G42" s="55"/>
      <c r="H42" s="55"/>
      <c r="I42" s="55"/>
      <c r="J42" s="55"/>
      <c r="K42" s="55"/>
      <c r="L42" s="55"/>
      <c r="M42" s="55">
        <f>'Ppto Costos y Gtos'!I92</f>
        <v>0</v>
      </c>
      <c r="N42" s="55">
        <f>'Ppto Costos y Gtos'!J92</f>
        <v>0</v>
      </c>
      <c r="O42" s="55">
        <f>'Ppto Costos y Gtos'!K92</f>
        <v>0</v>
      </c>
      <c r="P42" s="55">
        <f>'Ppto Costos y Gtos'!L92</f>
        <v>0</v>
      </c>
      <c r="Q42" s="55">
        <f>'Ppto Costos y Gtos'!M92</f>
        <v>0</v>
      </c>
      <c r="R42" s="55">
        <f>'Ppto Costos y Gtos'!N92</f>
        <v>0</v>
      </c>
      <c r="S42" s="55">
        <f>'Ppto Costos y Gtos'!O92</f>
        <v>0</v>
      </c>
      <c r="T42" s="55">
        <f>'Ppto Costos y Gtos'!P92</f>
        <v>0</v>
      </c>
      <c r="U42" s="55">
        <f>'Ppto Costos y Gtos'!Q92</f>
        <v>0</v>
      </c>
      <c r="V42" s="55">
        <f>'Ppto Costos y Gtos'!R92</f>
        <v>0</v>
      </c>
      <c r="W42" s="55">
        <f>'Ppto Costos y Gtos'!S92</f>
        <v>0</v>
      </c>
      <c r="X42" s="55">
        <f>'Ppto Costos y Gtos'!T92</f>
        <v>0</v>
      </c>
      <c r="Y42" s="55">
        <f>'Ppto Costos y Gtos'!U92</f>
        <v>0</v>
      </c>
      <c r="Z42" s="55">
        <f>'Ppto Costos y Gtos'!V92</f>
        <v>0</v>
      </c>
      <c r="AA42" s="55">
        <f>'Ppto Costos y Gtos'!W92</f>
        <v>0</v>
      </c>
      <c r="AB42" s="55">
        <f>'Ppto Costos y Gtos'!X92</f>
        <v>0</v>
      </c>
      <c r="AC42" s="55">
        <f>'Ppto Costos y Gtos'!Y92</f>
        <v>0</v>
      </c>
      <c r="AD42" s="55">
        <f>'Ppto Costos y Gtos'!Z92</f>
        <v>0</v>
      </c>
      <c r="AE42" s="55">
        <f>'Ppto Costos y Gtos'!AA92</f>
        <v>0</v>
      </c>
    </row>
    <row r="43" spans="1:31" ht="20.45" hidden="1" customHeight="1" x14ac:dyDescent="0.5">
      <c r="A43" s="140"/>
      <c r="B43" s="140"/>
      <c r="C43" s="3" t="str">
        <f>+'[1]MO. Operación'!$L$2</f>
        <v xml:space="preserve">Energía </v>
      </c>
      <c r="D43" s="112"/>
      <c r="E43" s="499">
        <f>+'[1]MO. Operación'!$O$2</f>
        <v>0.79</v>
      </c>
      <c r="F43" s="60"/>
      <c r="G43" s="55"/>
      <c r="H43" s="507">
        <f>+'[1]MO. Operación'!$N$2*$E$43</f>
        <v>5688000</v>
      </c>
      <c r="I43" s="507">
        <f>+H43+(H43*3%)</f>
        <v>5858640</v>
      </c>
      <c r="J43" s="507">
        <f>+$H$43+($H$43*6%)</f>
        <v>6029280</v>
      </c>
      <c r="K43" s="507">
        <f>+$H$43+($H$43*9%)</f>
        <v>6199920</v>
      </c>
      <c r="L43" s="507">
        <f>+$H$43+($H$43*12%)</f>
        <v>6370560</v>
      </c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</row>
    <row r="44" spans="1:31" ht="20.45" hidden="1" customHeight="1" x14ac:dyDescent="0.5">
      <c r="A44" s="140"/>
      <c r="B44" s="140"/>
      <c r="C44" s="3" t="str">
        <f>+'[1]MO. Operación'!$L$3</f>
        <v>Acueducto</v>
      </c>
      <c r="D44" s="112"/>
      <c r="E44" s="499">
        <f>+'[1]MO. Operación'!$O$3</f>
        <v>0.85899999999999999</v>
      </c>
      <c r="F44" s="60"/>
      <c r="G44" s="55"/>
      <c r="H44" s="507">
        <f>+'[1]MO. Operación'!$N$3*E44</f>
        <v>1030800</v>
      </c>
      <c r="I44" s="507">
        <f t="shared" ref="I44:I48" si="3">+H44+(H44*3%)</f>
        <v>1061724</v>
      </c>
      <c r="J44" s="507">
        <f>+$H$44+($H$44*6%)</f>
        <v>1092648</v>
      </c>
      <c r="K44" s="507">
        <f>+H44+(H44*9%)</f>
        <v>1123572</v>
      </c>
      <c r="L44" s="507">
        <f>+$H$44+($H$44*12%)</f>
        <v>1154496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</row>
    <row r="45" spans="1:31" ht="20.45" hidden="1" customHeight="1" x14ac:dyDescent="0.5">
      <c r="A45" s="140"/>
      <c r="B45" s="140"/>
      <c r="C45" s="3" t="str">
        <f>+'[1]MO. Operación'!$L$4</f>
        <v>Teléfono</v>
      </c>
      <c r="D45" s="112"/>
      <c r="E45" s="499">
        <f>+'[1]MO. Operación'!$O$4</f>
        <v>0.89</v>
      </c>
      <c r="F45" s="60"/>
      <c r="G45" s="55"/>
      <c r="H45" s="507">
        <f>+'[1]MO. Operación'!$N$4*E45</f>
        <v>1602000</v>
      </c>
      <c r="I45" s="507">
        <f t="shared" si="3"/>
        <v>1650060</v>
      </c>
      <c r="J45" s="507">
        <f>+$H$45+($H$45*6%)</f>
        <v>1698120</v>
      </c>
      <c r="K45" s="507">
        <f>+H45+(H45*9%)</f>
        <v>1746180</v>
      </c>
      <c r="L45" s="507">
        <f>+$H$45+($H$45*12%)</f>
        <v>1794240</v>
      </c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</row>
    <row r="46" spans="1:31" ht="20.45" hidden="1" customHeight="1" x14ac:dyDescent="0.5">
      <c r="A46" s="140"/>
      <c r="B46" s="140"/>
      <c r="C46" s="3" t="str">
        <f>+'[1]MO. Operación'!$L$5</f>
        <v xml:space="preserve">Insumos Papelería </v>
      </c>
      <c r="D46" s="112"/>
      <c r="E46" s="499">
        <f>+'[1]MO. Operación'!$O$5</f>
        <v>0.97799999999999998</v>
      </c>
      <c r="F46" s="60"/>
      <c r="G46" s="55"/>
      <c r="H46" s="507">
        <f>+'[1]MO. Operación'!$N$5*E46</f>
        <v>2347200</v>
      </c>
      <c r="I46" s="507">
        <f t="shared" si="3"/>
        <v>2417616</v>
      </c>
      <c r="J46" s="507">
        <f>+$H$46+($H$46*6%)</f>
        <v>2488032</v>
      </c>
      <c r="K46" s="507">
        <f>+H46+(H46*9%)</f>
        <v>2558448</v>
      </c>
      <c r="L46" s="507">
        <f>+$H$46+($H$46*12%)</f>
        <v>2628864</v>
      </c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</row>
    <row r="47" spans="1:31" ht="20.45" hidden="1" customHeight="1" x14ac:dyDescent="0.5">
      <c r="A47" s="140"/>
      <c r="B47" s="140"/>
      <c r="C47" s="3" t="str">
        <f>+'[1]MO. Operación'!$L$6</f>
        <v>Suministros de Aseo</v>
      </c>
      <c r="D47" s="112"/>
      <c r="E47" s="499">
        <f>+'[1]MO. Operación'!$O$6</f>
        <v>0.92400000000000004</v>
      </c>
      <c r="F47" s="60"/>
      <c r="G47" s="55"/>
      <c r="H47" s="507">
        <f>+'[1]MO. Operación'!$N$6*E47</f>
        <v>1663200</v>
      </c>
      <c r="I47" s="507">
        <f t="shared" si="3"/>
        <v>1713096</v>
      </c>
      <c r="J47" s="507">
        <f>+$H$47+($H$47*6%)</f>
        <v>1762992</v>
      </c>
      <c r="K47" s="507">
        <f>+H47+(H47*9%)</f>
        <v>1812888</v>
      </c>
      <c r="L47" s="507">
        <f>+$H$47+($H$47*12%)</f>
        <v>1862784</v>
      </c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</row>
    <row r="48" spans="1:31" ht="20.45" hidden="1" customHeight="1" x14ac:dyDescent="0.5">
      <c r="A48" s="140"/>
      <c r="B48" s="140"/>
      <c r="C48" s="3" t="str">
        <f>+'[1]MO. Operación'!$L$7</f>
        <v>Mantenimiento</v>
      </c>
      <c r="D48" s="112"/>
      <c r="E48" s="499">
        <f>+'[1]MO. Operación'!$O$7</f>
        <v>0.90500000000000003</v>
      </c>
      <c r="F48" s="60"/>
      <c r="G48" s="55"/>
      <c r="H48" s="507">
        <f>+'[1]MO. Operación'!$N$7*E48</f>
        <v>2172000</v>
      </c>
      <c r="I48" s="507">
        <f t="shared" si="3"/>
        <v>2237160</v>
      </c>
      <c r="J48" s="507">
        <f>+$H$48+($H$48*6%)</f>
        <v>2302320</v>
      </c>
      <c r="K48" s="507">
        <f>+H48+(H48*9%)</f>
        <v>2367480</v>
      </c>
      <c r="L48" s="507">
        <f>+$H$48+($H$48*12%)</f>
        <v>2432640</v>
      </c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</row>
    <row r="49" spans="1:31" hidden="1" x14ac:dyDescent="0.25">
      <c r="C49" s="60" t="s">
        <v>404</v>
      </c>
      <c r="D49" s="112"/>
      <c r="E49" s="499">
        <f>+[1]Publicidad!$D$2</f>
        <v>0.95899999999999996</v>
      </c>
      <c r="F49" s="60"/>
      <c r="G49" s="55"/>
      <c r="H49" s="507">
        <f>+[1]Publicidad!$C$7*E49</f>
        <v>984883.40999999992</v>
      </c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</row>
    <row r="50" spans="1:31" hidden="1" x14ac:dyDescent="0.25">
      <c r="C50" s="52" t="s">
        <v>136</v>
      </c>
      <c r="D50" s="52"/>
      <c r="E50" s="499"/>
      <c r="F50" s="53"/>
      <c r="G50" s="37">
        <f>SUM(G40:G49)</f>
        <v>0</v>
      </c>
      <c r="H50" s="37">
        <f t="shared" ref="H50:AE50" si="4">SUM(H40:H49)</f>
        <v>15488083.41</v>
      </c>
      <c r="I50" s="37">
        <f t="shared" si="4"/>
        <v>14938296</v>
      </c>
      <c r="J50" s="37">
        <f t="shared" si="4"/>
        <v>15373392</v>
      </c>
      <c r="K50" s="37">
        <f t="shared" si="4"/>
        <v>15808488</v>
      </c>
      <c r="L50" s="37">
        <f t="shared" si="4"/>
        <v>16243584</v>
      </c>
      <c r="M50" s="37">
        <f t="shared" si="4"/>
        <v>0</v>
      </c>
      <c r="N50" s="37">
        <f t="shared" si="4"/>
        <v>0</v>
      </c>
      <c r="O50" s="37">
        <f t="shared" si="4"/>
        <v>0</v>
      </c>
      <c r="P50" s="37">
        <f t="shared" si="4"/>
        <v>0</v>
      </c>
      <c r="Q50" s="37">
        <f t="shared" si="4"/>
        <v>0</v>
      </c>
      <c r="R50" s="37">
        <f t="shared" si="4"/>
        <v>0</v>
      </c>
      <c r="S50" s="37">
        <f t="shared" si="4"/>
        <v>0</v>
      </c>
      <c r="T50" s="37">
        <f t="shared" si="4"/>
        <v>0</v>
      </c>
      <c r="U50" s="37">
        <f t="shared" si="4"/>
        <v>0</v>
      </c>
      <c r="V50" s="37">
        <f t="shared" si="4"/>
        <v>0</v>
      </c>
      <c r="W50" s="37">
        <f t="shared" si="4"/>
        <v>0</v>
      </c>
      <c r="X50" s="37">
        <f t="shared" si="4"/>
        <v>0</v>
      </c>
      <c r="Y50" s="37">
        <f t="shared" si="4"/>
        <v>0</v>
      </c>
      <c r="Z50" s="37">
        <f t="shared" si="4"/>
        <v>0</v>
      </c>
      <c r="AA50" s="37">
        <f t="shared" si="4"/>
        <v>0</v>
      </c>
      <c r="AB50" s="37">
        <f t="shared" si="4"/>
        <v>0</v>
      </c>
      <c r="AC50" s="37">
        <f t="shared" si="4"/>
        <v>0</v>
      </c>
      <c r="AD50" s="37">
        <f t="shared" si="4"/>
        <v>0</v>
      </c>
      <c r="AE50" s="37">
        <f t="shared" si="4"/>
        <v>0</v>
      </c>
    </row>
    <row r="51" spans="1:31" ht="21" hidden="1" x14ac:dyDescent="0.35">
      <c r="A51" s="141"/>
      <c r="B51" s="141"/>
      <c r="C51" s="50"/>
      <c r="D51" s="50"/>
      <c r="E51" s="497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hidden="1" x14ac:dyDescent="0.25">
      <c r="C52" s="52" t="s">
        <v>368</v>
      </c>
      <c r="D52" s="52"/>
      <c r="E52" s="499"/>
      <c r="F52" s="53"/>
      <c r="G52" s="37">
        <f>+G39-G50</f>
        <v>0</v>
      </c>
      <c r="H52" s="37">
        <f t="shared" ref="H52:AE52" si="5">+H39-H50</f>
        <v>-195888083.41</v>
      </c>
      <c r="I52" s="37">
        <f t="shared" si="5"/>
        <v>-200750296</v>
      </c>
      <c r="J52" s="37">
        <f t="shared" si="5"/>
        <v>-202087392</v>
      </c>
      <c r="K52" s="37">
        <f t="shared" si="5"/>
        <v>-202883288</v>
      </c>
      <c r="L52" s="37">
        <f t="shared" si="5"/>
        <v>-202235984</v>
      </c>
      <c r="M52" s="37">
        <f t="shared" si="5"/>
        <v>0</v>
      </c>
      <c r="N52" s="37">
        <f t="shared" si="5"/>
        <v>0</v>
      </c>
      <c r="O52" s="37">
        <f t="shared" si="5"/>
        <v>0</v>
      </c>
      <c r="P52" s="37">
        <f t="shared" si="5"/>
        <v>0</v>
      </c>
      <c r="Q52" s="37">
        <f t="shared" si="5"/>
        <v>0</v>
      </c>
      <c r="R52" s="37">
        <f t="shared" si="5"/>
        <v>0</v>
      </c>
      <c r="S52" s="37">
        <f t="shared" si="5"/>
        <v>0</v>
      </c>
      <c r="T52" s="37">
        <f t="shared" si="5"/>
        <v>0</v>
      </c>
      <c r="U52" s="37">
        <f t="shared" si="5"/>
        <v>0</v>
      </c>
      <c r="V52" s="37">
        <f t="shared" si="5"/>
        <v>0</v>
      </c>
      <c r="W52" s="37">
        <f t="shared" si="5"/>
        <v>0</v>
      </c>
      <c r="X52" s="37">
        <f t="shared" si="5"/>
        <v>0</v>
      </c>
      <c r="Y52" s="37">
        <f t="shared" si="5"/>
        <v>0</v>
      </c>
      <c r="Z52" s="37">
        <f t="shared" si="5"/>
        <v>0</v>
      </c>
      <c r="AA52" s="37">
        <f t="shared" si="5"/>
        <v>0</v>
      </c>
      <c r="AB52" s="37">
        <f t="shared" si="5"/>
        <v>0</v>
      </c>
      <c r="AC52" s="37">
        <f t="shared" si="5"/>
        <v>0</v>
      </c>
      <c r="AD52" s="37">
        <f t="shared" si="5"/>
        <v>0</v>
      </c>
      <c r="AE52" s="37">
        <f t="shared" si="5"/>
        <v>0</v>
      </c>
    </row>
    <row r="53" spans="1:31" s="47" customFormat="1" hidden="1" x14ac:dyDescent="0.25">
      <c r="C53" s="112"/>
      <c r="D53" s="112"/>
      <c r="E53" s="499"/>
      <c r="F53" s="60"/>
      <c r="G53" s="60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</row>
    <row r="54" spans="1:31" ht="26.25" hidden="1" x14ac:dyDescent="0.4">
      <c r="B54" s="124"/>
      <c r="C54" s="50" t="s">
        <v>358</v>
      </c>
      <c r="D54" s="123" t="str">
        <f>+D3</f>
        <v>Linea recta</v>
      </c>
      <c r="E54" s="500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hidden="1" x14ac:dyDescent="0.25">
      <c r="C55" s="54" t="str">
        <f>+Inmuebles</f>
        <v>Adecuación de Infraestructura</v>
      </c>
      <c r="D55" s="54"/>
      <c r="E55" s="498"/>
      <c r="F55" s="3"/>
      <c r="G55" s="54"/>
      <c r="H55" s="55">
        <f>IF($C$3=302,'Ppto Inv_Dep y Amt'!D93)+IF($C$3=301,'Ppto Inv_Dep y Amt'!D123)+IF($C$3=303,'Ppto Inv_Dep y Amt'!D148)+IF($C$3=304,'Ppto Inv_Dep y Amt'!D182)</f>
        <v>0</v>
      </c>
      <c r="I55" s="55">
        <f>IF($C$3=302,'Ppto Inv_Dep y Amt'!E93)+IF($C$3=301,'Ppto Inv_Dep y Amt'!E123)+IF($C$3=303,'Ppto Inv_Dep y Amt'!E148)+IF($C$3=304,'Ppto Inv_Dep y Amt'!E182)</f>
        <v>0</v>
      </c>
      <c r="J55" s="55">
        <f>IF($C$3=302,'Ppto Inv_Dep y Amt'!F93)+IF($C$3=301,'Ppto Inv_Dep y Amt'!F123)+IF($C$3=303,'Ppto Inv_Dep y Amt'!F148)+IF($C$3=304,'Ppto Inv_Dep y Amt'!F182)</f>
        <v>0</v>
      </c>
      <c r="K55" s="55">
        <f>IF($C$3=302,'Ppto Inv_Dep y Amt'!G93)+IF($C$3=301,'Ppto Inv_Dep y Amt'!G123)+IF($C$3=303,'Ppto Inv_Dep y Amt'!G148)+IF($C$3=304,'Ppto Inv_Dep y Amt'!G182)</f>
        <v>0</v>
      </c>
      <c r="L55" s="55">
        <f>IF($C$3=302,'Ppto Inv_Dep y Amt'!H93)+IF($C$3=301,'Ppto Inv_Dep y Amt'!H123)+IF($C$3=303,'Ppto Inv_Dep y Amt'!H148)+IF($C$3=304,'Ppto Inv_Dep y Amt'!H182)</f>
        <v>0</v>
      </c>
      <c r="M55" s="55"/>
      <c r="N55" s="55"/>
      <c r="O55" s="55"/>
      <c r="P55" s="55"/>
      <c r="Q55" s="55"/>
      <c r="R55" s="55"/>
      <c r="S55" s="55"/>
      <c r="T55" s="55"/>
      <c r="U55" s="55"/>
      <c r="V55" s="55">
        <f>IF($C$3=302,'Ppto Inv_Dep y Amt'!R93)+IF($C$3=301,'Ppto Inv_Dep y Amt'!R123)+IF($C$3=303,'Ppto Inv_Dep y Amt'!R177)+IF($C$3=304,'Ppto Inv_Dep y Amt'!R211)</f>
        <v>0</v>
      </c>
      <c r="W55" s="55">
        <f>IF($C$3=302,'Ppto Inv_Dep y Amt'!S93)+IF($C$3=301,'Ppto Inv_Dep y Amt'!S123)+IF($C$3=303,'Ppto Inv_Dep y Amt'!S177)+IF($C$3=304,'Ppto Inv_Dep y Amt'!S211)</f>
        <v>0</v>
      </c>
      <c r="X55" s="55">
        <f>IF($C$3=302,'Ppto Inv_Dep y Amt'!T93)+IF($C$3=301,'Ppto Inv_Dep y Amt'!T123)+IF($C$3=303,'Ppto Inv_Dep y Amt'!T177)+IF($C$3=304,'Ppto Inv_Dep y Amt'!T211)</f>
        <v>0</v>
      </c>
      <c r="Y55" s="55">
        <f>IF($C$3=302,'Ppto Inv_Dep y Amt'!U93)+IF($C$3=301,'Ppto Inv_Dep y Amt'!U123)+IF($C$3=303,'Ppto Inv_Dep y Amt'!U177)+IF($C$3=304,'Ppto Inv_Dep y Amt'!U211)</f>
        <v>0</v>
      </c>
      <c r="Z55" s="55">
        <f>IF($C$3=302,'Ppto Inv_Dep y Amt'!V93)+IF($C$3=301,'Ppto Inv_Dep y Amt'!V123)+IF($C$3=303,'Ppto Inv_Dep y Amt'!V177)+IF($C$3=304,'Ppto Inv_Dep y Amt'!V211)</f>
        <v>0</v>
      </c>
      <c r="AA55" s="55">
        <f>IF($C$3=302,'Ppto Inv_Dep y Amt'!W93)+IF($C$3=301,'Ppto Inv_Dep y Amt'!W123)+IF($C$3=303,'Ppto Inv_Dep y Amt'!W177)+IF($C$3=304,'Ppto Inv_Dep y Amt'!W211)</f>
        <v>0</v>
      </c>
      <c r="AB55" s="55">
        <f>IF($C$3=302,'Ppto Inv_Dep y Amt'!X93)+IF($C$3=301,'Ppto Inv_Dep y Amt'!X123)+IF($C$3=303,'Ppto Inv_Dep y Amt'!X177)+IF($C$3=304,'Ppto Inv_Dep y Amt'!X211)</f>
        <v>0</v>
      </c>
      <c r="AC55" s="55">
        <f>IF($C$3=302,'Ppto Inv_Dep y Amt'!Y93)+IF($C$3=301,'Ppto Inv_Dep y Amt'!Y123)+IF($C$3=303,'Ppto Inv_Dep y Amt'!Y177)+IF($C$3=304,'Ppto Inv_Dep y Amt'!Y211)</f>
        <v>0</v>
      </c>
      <c r="AD55" s="55">
        <f>IF($C$3=302,'Ppto Inv_Dep y Amt'!Z93)+IF($C$3=301,'Ppto Inv_Dep y Amt'!Z123)+IF($C$3=303,'Ppto Inv_Dep y Amt'!Z177)+IF($C$3=304,'Ppto Inv_Dep y Amt'!Z211)</f>
        <v>0</v>
      </c>
      <c r="AE55" s="55">
        <f>IF($C$3=302,'Ppto Inv_Dep y Amt'!AA93)+IF($C$3=301,'Ppto Inv_Dep y Amt'!AA123)+IF($C$3=303,'Ppto Inv_Dep y Amt'!AA177)+IF($C$3=304,'Ppto Inv_Dep y Amt'!AA211)</f>
        <v>0</v>
      </c>
    </row>
    <row r="56" spans="1:31" ht="15" hidden="1" customHeight="1" x14ac:dyDescent="0.25">
      <c r="C56" s="467" t="str" cm="1">
        <f t="array" ref="C56:D56">+'Ppto Inv_Dep y Amt'!A22:B22</f>
        <v xml:space="preserve"> Equipos, Muebles y Enseres</v>
      </c>
      <c r="D56" s="467">
        <v>0</v>
      </c>
      <c r="E56" s="498"/>
      <c r="F56" s="467"/>
      <c r="G56" s="467"/>
      <c r="H56" s="468">
        <f>IF($C$3=302,'Ppto Inv_Dep y Amt'!D214)+IF($C$3=301,'Ppto Inv_Dep y Amt'!D245)+IF($C$3=303,'Ppto Inv_Dep y Amt'!D310)</f>
        <v>10635943</v>
      </c>
      <c r="I56" s="468">
        <f>IF($C$3=302,'Ppto Inv_Dep y Amt'!E214)+IF($C$3=301,'Ppto Inv_Dep y Amt'!E245)+IF($C$3=303,'Ppto Inv_Dep y Amt'!E310)</f>
        <v>10635943</v>
      </c>
      <c r="J56" s="468">
        <f>IF($C$3=302,'Ppto Inv_Dep y Amt'!F214)+IF($C$3=301,'Ppto Inv_Dep y Amt'!F245)+IF($C$3=303,'Ppto Inv_Dep y Amt'!F310)</f>
        <v>10635943</v>
      </c>
      <c r="K56" s="468">
        <f>IF($C$3=302,'Ppto Inv_Dep y Amt'!G214)+IF($C$3=301,'Ppto Inv_Dep y Amt'!G245)+IF($C$3=303,'Ppto Inv_Dep y Amt'!G310)</f>
        <v>10635943</v>
      </c>
      <c r="L56" s="468">
        <f>IF($C$3=302,'Ppto Inv_Dep y Amt'!H214)+IF($C$3=301,'Ppto Inv_Dep y Amt'!H245)+IF($C$3=303,'Ppto Inv_Dep y Amt'!H310)</f>
        <v>10635943</v>
      </c>
      <c r="M56" s="466"/>
      <c r="N56" s="466"/>
      <c r="O56" s="466"/>
      <c r="P56" s="466"/>
      <c r="Q56" s="466"/>
      <c r="R56" s="466"/>
      <c r="S56" s="466"/>
      <c r="T56" s="466"/>
      <c r="U56" s="466"/>
      <c r="V56" s="466">
        <f>IF($C$3=302,'Ppto Inv_Dep y Amt'!R244)+IF($C$3=301,'Ppto Inv_Dep y Amt'!R276)+IF($C$3=303,'Ppto Inv_Dep y Amt'!R310)</f>
        <v>0</v>
      </c>
      <c r="W56" s="466">
        <f>IF($C$3=302,'Ppto Inv_Dep y Amt'!S244)+IF($C$3=301,'Ppto Inv_Dep y Amt'!S276)+IF($C$3=303,'Ppto Inv_Dep y Amt'!S310)</f>
        <v>0</v>
      </c>
      <c r="X56" s="466">
        <f>IF($C$3=302,'Ppto Inv_Dep y Amt'!T244)+IF($C$3=301,'Ppto Inv_Dep y Amt'!T276)+IF($C$3=303,'Ppto Inv_Dep y Amt'!T310)</f>
        <v>0</v>
      </c>
      <c r="Y56" s="466">
        <f>IF($C$3=302,'Ppto Inv_Dep y Amt'!U244)+IF($C$3=301,'Ppto Inv_Dep y Amt'!U276)+IF($C$3=303,'Ppto Inv_Dep y Amt'!U310)</f>
        <v>0</v>
      </c>
      <c r="Z56" s="466">
        <f>IF($C$3=302,'Ppto Inv_Dep y Amt'!V244)+IF($C$3=301,'Ppto Inv_Dep y Amt'!V276)+IF($C$3=303,'Ppto Inv_Dep y Amt'!V310)</f>
        <v>0</v>
      </c>
      <c r="AA56" s="466">
        <f>IF($C$3=302,'Ppto Inv_Dep y Amt'!W244)+IF($C$3=301,'Ppto Inv_Dep y Amt'!W276)+IF($C$3=303,'Ppto Inv_Dep y Amt'!W310)</f>
        <v>0</v>
      </c>
      <c r="AB56" s="466">
        <f>IF($C$3=302,'Ppto Inv_Dep y Amt'!X244)+IF($C$3=301,'Ppto Inv_Dep y Amt'!X276)+IF($C$3=303,'Ppto Inv_Dep y Amt'!X310)</f>
        <v>0</v>
      </c>
      <c r="AC56" s="466">
        <f>IF($C$3=302,'Ppto Inv_Dep y Amt'!Y244)+IF($C$3=301,'Ppto Inv_Dep y Amt'!Y276)+IF($C$3=303,'Ppto Inv_Dep y Amt'!Y310)</f>
        <v>0</v>
      </c>
      <c r="AD56" s="466">
        <f>IF($C$3=302,'Ppto Inv_Dep y Amt'!Z244)+IF($C$3=301,'Ppto Inv_Dep y Amt'!Z276)+IF($C$3=303,'Ppto Inv_Dep y Amt'!Z310)</f>
        <v>0</v>
      </c>
      <c r="AE56" s="466">
        <f>IF($C$3=302,'Ppto Inv_Dep y Amt'!AA244)+IF($C$3=301,'Ppto Inv_Dep y Amt'!AA276)+IF($C$3=303,'Ppto Inv_Dep y Amt'!AA310)</f>
        <v>0</v>
      </c>
    </row>
    <row r="57" spans="1:31" hidden="1" x14ac:dyDescent="0.25">
      <c r="C57" s="465" t="str" cm="1">
        <f t="array" ref="C57:D57">+'Ppto Inv_Dep y Amt'!A29:B29</f>
        <v>Empaques y Herramientas</v>
      </c>
      <c r="D57" s="465">
        <v>0</v>
      </c>
      <c r="E57" s="498"/>
      <c r="F57" s="465"/>
      <c r="G57" s="465"/>
      <c r="H57" s="466"/>
      <c r="I57" s="466"/>
      <c r="J57" s="466"/>
      <c r="K57" s="466"/>
      <c r="L57" s="466"/>
      <c r="M57" s="466"/>
      <c r="N57" s="466"/>
      <c r="O57" s="466"/>
      <c r="P57" s="466"/>
      <c r="Q57" s="466"/>
      <c r="R57" s="466"/>
      <c r="S57" s="466"/>
      <c r="T57" s="466"/>
      <c r="U57" s="466"/>
      <c r="V57" s="466"/>
      <c r="W57" s="466"/>
      <c r="X57" s="466"/>
      <c r="Y57" s="466"/>
      <c r="Z57" s="466"/>
      <c r="AA57" s="466"/>
      <c r="AB57" s="466"/>
      <c r="AC57" s="466"/>
      <c r="AD57" s="466"/>
      <c r="AE57" s="466"/>
    </row>
    <row r="58" spans="1:31" hidden="1" x14ac:dyDescent="0.25">
      <c r="C58" s="492" t="str" cm="1">
        <f t="array" ref="C58:D58">+'Ppto Inv_Dep y Amt'!A36:B36</f>
        <v>Equipos de Computo, Comunicaciones, Redes de Datos</v>
      </c>
      <c r="D58" s="467">
        <v>0</v>
      </c>
      <c r="E58" s="498"/>
      <c r="F58" s="468"/>
      <c r="G58" s="468"/>
      <c r="H58" s="468">
        <f>IF($C$3=302,'Ppto Inv_Dep y Amt'!D214)+IF($C$3=301,'Ppto Inv_Dep y Amt'!D276)+IF($C$3=303,'Ppto Inv_Dep y Amt'!D310)</f>
        <v>2922010</v>
      </c>
      <c r="I58" s="468">
        <f>IF($C$3=302,'Ppto Inv_Dep y Amt'!E214)+IF($C$3=301,'Ppto Inv_Dep y Amt'!E276)+IF($C$3=303,'Ppto Inv_Dep y Amt'!E310)</f>
        <v>2922010</v>
      </c>
      <c r="J58" s="468">
        <f>IF($C$3=302,'Ppto Inv_Dep y Amt'!F214)+IF($C$3=301,'Ppto Inv_Dep y Amt'!F276)+IF($C$3=303,'Ppto Inv_Dep y Amt'!F310)</f>
        <v>2922010</v>
      </c>
      <c r="K58" s="468">
        <f>IF($C$3=302,'Ppto Inv_Dep y Amt'!G214)+IF($C$3=301,'Ppto Inv_Dep y Amt'!G276)+IF($C$3=303,'Ppto Inv_Dep y Amt'!G310)</f>
        <v>2922010</v>
      </c>
      <c r="L58" s="468">
        <f>IF($C$3=302,'Ppto Inv_Dep y Amt'!H214)+IF($C$3=301,'Ppto Inv_Dep y Amt'!H276)+IF($C$3=303,'Ppto Inv_Dep y Amt'!H310)</f>
        <v>2922010</v>
      </c>
      <c r="M58" s="466"/>
      <c r="N58" s="466"/>
      <c r="O58" s="466"/>
      <c r="P58" s="466"/>
      <c r="Q58" s="466"/>
      <c r="R58" s="466"/>
      <c r="S58" s="466"/>
      <c r="T58" s="466"/>
      <c r="U58" s="466"/>
      <c r="V58" s="466"/>
      <c r="W58" s="466"/>
      <c r="X58" s="466"/>
      <c r="Y58" s="466"/>
      <c r="Z58" s="466"/>
      <c r="AA58" s="466"/>
      <c r="AB58" s="466"/>
      <c r="AC58" s="466"/>
      <c r="AD58" s="466"/>
      <c r="AE58" s="466"/>
    </row>
    <row r="59" spans="1:31" hidden="1" x14ac:dyDescent="0.25">
      <c r="C59" s="465" t="str" cm="1">
        <f t="array" ref="C59:D59">+'Ppto Inv_Dep y Amt'!A45:B45</f>
        <v>Licencias</v>
      </c>
      <c r="D59" s="465">
        <v>0</v>
      </c>
      <c r="E59" s="498"/>
      <c r="F59" s="465"/>
      <c r="G59" s="465"/>
      <c r="H59" s="465">
        <f>IF($C$3=302,'Ppto Inv_Dep y Amt'!#REF!)+IF($C$3=301,'Ppto Inv_Dep y Amt'!D248)+IF($C$3=303,'Ppto Inv_Dep y Amt'!D313)</f>
        <v>0</v>
      </c>
      <c r="I59" s="466"/>
      <c r="J59" s="466"/>
      <c r="K59" s="466"/>
      <c r="L59" s="466"/>
      <c r="M59" s="466"/>
      <c r="N59" s="466"/>
      <c r="O59" s="466"/>
      <c r="P59" s="466"/>
      <c r="Q59" s="466"/>
      <c r="R59" s="466"/>
      <c r="S59" s="466"/>
      <c r="T59" s="466"/>
      <c r="U59" s="466"/>
      <c r="V59" s="466"/>
      <c r="W59" s="466"/>
      <c r="X59" s="466"/>
      <c r="Y59" s="466"/>
      <c r="Z59" s="466"/>
      <c r="AA59" s="466"/>
      <c r="AB59" s="466"/>
      <c r="AC59" s="466"/>
      <c r="AD59" s="466"/>
      <c r="AE59" s="466"/>
    </row>
    <row r="60" spans="1:31" hidden="1" x14ac:dyDescent="0.25">
      <c r="C60" s="465" t="str" cm="1">
        <f t="array" ref="C60:D60">+'Ppto Inv_Dep y Amt'!A51:B51</f>
        <v>Estudios</v>
      </c>
      <c r="D60" s="465">
        <v>0</v>
      </c>
      <c r="E60" s="498"/>
      <c r="F60" s="465"/>
      <c r="G60" s="465"/>
      <c r="H60" s="465">
        <f>IF($C$3=302,'Ppto Inv_Dep y Amt'!D219)+IF($C$3=301,'Ppto Inv_Dep y Amt'!D249)+IF($C$3=303,'Ppto Inv_Dep y Amt'!D314)</f>
        <v>0</v>
      </c>
      <c r="I60" s="466"/>
      <c r="J60" s="466"/>
      <c r="K60" s="466"/>
      <c r="L60" s="466"/>
      <c r="M60" s="466"/>
      <c r="N60" s="466"/>
      <c r="O60" s="466"/>
      <c r="P60" s="466"/>
      <c r="Q60" s="466"/>
      <c r="R60" s="466"/>
      <c r="S60" s="466"/>
      <c r="T60" s="466"/>
      <c r="U60" s="466"/>
      <c r="V60" s="466"/>
      <c r="W60" s="466"/>
      <c r="X60" s="466"/>
      <c r="Y60" s="466"/>
      <c r="Z60" s="466"/>
      <c r="AA60" s="466"/>
      <c r="AB60" s="466"/>
      <c r="AC60" s="466"/>
      <c r="AD60" s="466"/>
      <c r="AE60" s="466"/>
    </row>
    <row r="61" spans="1:31" hidden="1" x14ac:dyDescent="0.25">
      <c r="C61" s="465" t="str" cm="1">
        <f t="array" ref="C61:D61">+'Ppto Inv_Dep y Amt'!A57:B57</f>
        <v>Franquicias</v>
      </c>
      <c r="D61" s="465">
        <v>0</v>
      </c>
      <c r="E61" s="498"/>
      <c r="F61" s="465"/>
      <c r="G61" s="465"/>
      <c r="H61" s="465">
        <f>IF($C$3=302,'Ppto Inv_Dep y Amt'!D220)+IF($C$3=301,'Ppto Inv_Dep y Amt'!D250)+IF($C$3=303,'Ppto Inv_Dep y Amt'!D315)</f>
        <v>0</v>
      </c>
      <c r="I61" s="466"/>
      <c r="J61" s="466"/>
      <c r="K61" s="466"/>
      <c r="L61" s="466"/>
      <c r="M61" s="466"/>
      <c r="N61" s="466"/>
      <c r="O61" s="466"/>
      <c r="P61" s="466"/>
      <c r="Q61" s="466"/>
      <c r="R61" s="466"/>
      <c r="S61" s="466"/>
      <c r="T61" s="466"/>
      <c r="U61" s="466"/>
      <c r="V61" s="466"/>
      <c r="W61" s="466"/>
      <c r="X61" s="466"/>
      <c r="Y61" s="466"/>
      <c r="Z61" s="466"/>
      <c r="AA61" s="466"/>
      <c r="AB61" s="466"/>
      <c r="AC61" s="466"/>
      <c r="AD61" s="466"/>
      <c r="AE61" s="466"/>
    </row>
    <row r="62" spans="1:31" hidden="1" x14ac:dyDescent="0.25">
      <c r="C62" s="54"/>
      <c r="D62" s="54"/>
      <c r="E62" s="498"/>
      <c r="F62" s="54"/>
      <c r="G62" s="54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</row>
    <row r="63" spans="1:31" hidden="1" x14ac:dyDescent="0.25">
      <c r="C63" s="56" t="s">
        <v>359</v>
      </c>
      <c r="D63" s="56"/>
      <c r="E63" s="496"/>
      <c r="F63" s="57"/>
      <c r="G63" s="57"/>
      <c r="H63" s="37">
        <f t="shared" ref="H63:AE63" si="6">SUM(H55:H62)</f>
        <v>13557953</v>
      </c>
      <c r="I63" s="37">
        <f t="shared" si="6"/>
        <v>13557953</v>
      </c>
      <c r="J63" s="37">
        <f t="shared" si="6"/>
        <v>13557953</v>
      </c>
      <c r="K63" s="37">
        <f t="shared" si="6"/>
        <v>13557953</v>
      </c>
      <c r="L63" s="37">
        <f t="shared" si="6"/>
        <v>13557953</v>
      </c>
      <c r="M63" s="37">
        <f t="shared" si="6"/>
        <v>0</v>
      </c>
      <c r="N63" s="37">
        <f t="shared" si="6"/>
        <v>0</v>
      </c>
      <c r="O63" s="37">
        <f t="shared" si="6"/>
        <v>0</v>
      </c>
      <c r="P63" s="37">
        <f t="shared" si="6"/>
        <v>0</v>
      </c>
      <c r="Q63" s="37">
        <f t="shared" si="6"/>
        <v>0</v>
      </c>
      <c r="R63" s="37">
        <f t="shared" si="6"/>
        <v>0</v>
      </c>
      <c r="S63" s="37">
        <f t="shared" si="6"/>
        <v>0</v>
      </c>
      <c r="T63" s="37">
        <f t="shared" si="6"/>
        <v>0</v>
      </c>
      <c r="U63" s="37">
        <f t="shared" si="6"/>
        <v>0</v>
      </c>
      <c r="V63" s="37">
        <f t="shared" si="6"/>
        <v>0</v>
      </c>
      <c r="W63" s="37">
        <f t="shared" si="6"/>
        <v>0</v>
      </c>
      <c r="X63" s="37">
        <f t="shared" si="6"/>
        <v>0</v>
      </c>
      <c r="Y63" s="37">
        <f t="shared" si="6"/>
        <v>0</v>
      </c>
      <c r="Z63" s="37">
        <f t="shared" si="6"/>
        <v>0</v>
      </c>
      <c r="AA63" s="37">
        <f t="shared" si="6"/>
        <v>0</v>
      </c>
      <c r="AB63" s="37">
        <f t="shared" si="6"/>
        <v>0</v>
      </c>
      <c r="AC63" s="37">
        <f t="shared" si="6"/>
        <v>0</v>
      </c>
      <c r="AD63" s="37">
        <f t="shared" si="6"/>
        <v>0</v>
      </c>
      <c r="AE63" s="37">
        <f t="shared" si="6"/>
        <v>0</v>
      </c>
    </row>
    <row r="64" spans="1:31" hidden="1" x14ac:dyDescent="0.25">
      <c r="C64" s="56" t="s">
        <v>360</v>
      </c>
      <c r="D64" s="56"/>
      <c r="E64" s="496"/>
      <c r="F64" s="57"/>
      <c r="G64" s="57"/>
      <c r="H64" s="37">
        <f>H63</f>
        <v>13557953</v>
      </c>
      <c r="I64" s="37">
        <f>H64+I63</f>
        <v>27115906</v>
      </c>
      <c r="J64" s="37">
        <f t="shared" ref="J64:AE64" si="7">I64+J63</f>
        <v>40673859</v>
      </c>
      <c r="K64" s="37">
        <f t="shared" si="7"/>
        <v>54231812</v>
      </c>
      <c r="L64" s="37">
        <f t="shared" si="7"/>
        <v>67789765</v>
      </c>
      <c r="M64" s="37">
        <f t="shared" si="7"/>
        <v>67789765</v>
      </c>
      <c r="N64" s="37">
        <f t="shared" si="7"/>
        <v>67789765</v>
      </c>
      <c r="O64" s="37">
        <f t="shared" si="7"/>
        <v>67789765</v>
      </c>
      <c r="P64" s="37">
        <f t="shared" si="7"/>
        <v>67789765</v>
      </c>
      <c r="Q64" s="37">
        <f t="shared" si="7"/>
        <v>67789765</v>
      </c>
      <c r="R64" s="37">
        <f t="shared" si="7"/>
        <v>67789765</v>
      </c>
      <c r="S64" s="37">
        <f t="shared" si="7"/>
        <v>67789765</v>
      </c>
      <c r="T64" s="37">
        <f t="shared" si="7"/>
        <v>67789765</v>
      </c>
      <c r="U64" s="37">
        <f t="shared" si="7"/>
        <v>67789765</v>
      </c>
      <c r="V64" s="37">
        <f t="shared" si="7"/>
        <v>67789765</v>
      </c>
      <c r="W64" s="37">
        <f t="shared" si="7"/>
        <v>67789765</v>
      </c>
      <c r="X64" s="37">
        <f t="shared" si="7"/>
        <v>67789765</v>
      </c>
      <c r="Y64" s="37">
        <f t="shared" si="7"/>
        <v>67789765</v>
      </c>
      <c r="Z64" s="37">
        <f t="shared" si="7"/>
        <v>67789765</v>
      </c>
      <c r="AA64" s="37">
        <f t="shared" si="7"/>
        <v>67789765</v>
      </c>
      <c r="AB64" s="37">
        <f t="shared" si="7"/>
        <v>67789765</v>
      </c>
      <c r="AC64" s="37">
        <f t="shared" si="7"/>
        <v>67789765</v>
      </c>
      <c r="AD64" s="37">
        <f t="shared" si="7"/>
        <v>67789765</v>
      </c>
      <c r="AE64" s="37">
        <f t="shared" si="7"/>
        <v>67789765</v>
      </c>
    </row>
    <row r="65" spans="3:31" s="47" customFormat="1" hidden="1" x14ac:dyDescent="0.25">
      <c r="C65" s="90"/>
      <c r="D65" s="90"/>
      <c r="E65" s="496"/>
      <c r="F65" s="54"/>
      <c r="G65" s="54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</row>
    <row r="66" spans="3:31" hidden="1" x14ac:dyDescent="0.25">
      <c r="C66" s="56" t="s">
        <v>369</v>
      </c>
      <c r="D66" s="56"/>
      <c r="E66" s="496"/>
      <c r="F66" s="57"/>
      <c r="G66" s="37"/>
      <c r="H66" s="37">
        <f>+H52-H63</f>
        <v>-209446036.41</v>
      </c>
      <c r="I66" s="37">
        <f t="shared" ref="I66:AE66" si="8">+I52-I63</f>
        <v>-214308249</v>
      </c>
      <c r="J66" s="37">
        <f t="shared" si="8"/>
        <v>-215645345</v>
      </c>
      <c r="K66" s="37">
        <f t="shared" si="8"/>
        <v>-216441241</v>
      </c>
      <c r="L66" s="37">
        <f t="shared" si="8"/>
        <v>-215793937</v>
      </c>
      <c r="M66" s="37">
        <f t="shared" si="8"/>
        <v>0</v>
      </c>
      <c r="N66" s="37">
        <f t="shared" si="8"/>
        <v>0</v>
      </c>
      <c r="O66" s="37">
        <f t="shared" si="8"/>
        <v>0</v>
      </c>
      <c r="P66" s="37">
        <f t="shared" si="8"/>
        <v>0</v>
      </c>
      <c r="Q66" s="37">
        <f t="shared" si="8"/>
        <v>0</v>
      </c>
      <c r="R66" s="37">
        <f t="shared" si="8"/>
        <v>0</v>
      </c>
      <c r="S66" s="37">
        <f t="shared" si="8"/>
        <v>0</v>
      </c>
      <c r="T66" s="37">
        <f t="shared" si="8"/>
        <v>0</v>
      </c>
      <c r="U66" s="37">
        <f t="shared" si="8"/>
        <v>0</v>
      </c>
      <c r="V66" s="37">
        <f t="shared" si="8"/>
        <v>0</v>
      </c>
      <c r="W66" s="37">
        <f t="shared" si="8"/>
        <v>0</v>
      </c>
      <c r="X66" s="37">
        <f t="shared" si="8"/>
        <v>0</v>
      </c>
      <c r="Y66" s="37">
        <f t="shared" si="8"/>
        <v>0</v>
      </c>
      <c r="Z66" s="37">
        <f t="shared" si="8"/>
        <v>0</v>
      </c>
      <c r="AA66" s="37">
        <f t="shared" si="8"/>
        <v>0</v>
      </c>
      <c r="AB66" s="37">
        <f t="shared" si="8"/>
        <v>0</v>
      </c>
      <c r="AC66" s="37">
        <f t="shared" si="8"/>
        <v>0</v>
      </c>
      <c r="AD66" s="37">
        <f t="shared" si="8"/>
        <v>0</v>
      </c>
      <c r="AE66" s="37">
        <f t="shared" si="8"/>
        <v>0</v>
      </c>
    </row>
    <row r="67" spans="3:31" hidden="1" x14ac:dyDescent="0.25">
      <c r="C67" s="3" t="s">
        <v>55</v>
      </c>
      <c r="D67" s="102" t="str">
        <f>+D2</f>
        <v>Flujo de caja del proyecto</v>
      </c>
      <c r="E67" s="501"/>
      <c r="F67" s="3"/>
      <c r="G67" s="59"/>
      <c r="H67" s="55">
        <f>-IF($C$2=402,-'Ppto Financiación'!E20,IF($C$2=403,-'Ppto Financiación'!E32,IF($C$2=404,-'Ppto Financiación'!E41,IF($C$2=405,-'Ppto Financiación'!E50,IF($C$2=406,-'Ppto Financiación'!E59,IF($C$2=407,-'Ppto Financiación'!E68,IF($C$2=408,-'Ppto Financiación'!E78,IF($C$2=409,-'Ppto Financiación'!E88,IF($C$2=410,-'Ppto Financiación'!E99,IF($C$2=411,-'Ppto Financiación'!E110,0))))))))))</f>
        <v>0</v>
      </c>
      <c r="I67" s="55">
        <f>-IF($C$2=402,-'Ppto Financiación'!F20,IF($C$2=403,-'Ppto Financiación'!F32,IF($C$2=404,-'Ppto Financiación'!F41,IF($C$2=405,-'Ppto Financiación'!F50,IF($C$2=406,-'Ppto Financiación'!F59,IF($C$2=407,-'Ppto Financiación'!F68,IF($C$2=408,-'Ppto Financiación'!F78,IF($C$2=409,-'Ppto Financiación'!F88,IF($C$2=410,-'Ppto Financiación'!F99,IF($C$2=411,-'Ppto Financiación'!F110,0))))))))))</f>
        <v>0</v>
      </c>
      <c r="J67" s="55">
        <f>-IF($C$2=402,-'Ppto Financiación'!G20,IF($C$2=403,-'Ppto Financiación'!G32,IF($C$2=404,-'Ppto Financiación'!G41,IF($C$2=405,-'Ppto Financiación'!G50,IF($C$2=406,-'Ppto Financiación'!G59,IF($C$2=407,-'Ppto Financiación'!G68,IF($C$2=408,-'Ppto Financiación'!G78,IF($C$2=409,-'Ppto Financiación'!G88,IF($C$2=410,-'Ppto Financiación'!G99,IF($C$2=411,-'Ppto Financiación'!G110,0))))))))))</f>
        <v>0</v>
      </c>
      <c r="K67" s="55">
        <f>-IF($C$2=402,-'Ppto Financiación'!H20,IF($C$2=403,-'Ppto Financiación'!H32,IF($C$2=404,-'Ppto Financiación'!H41,IF($C$2=405,-'Ppto Financiación'!H50,IF($C$2=406,-'Ppto Financiación'!H59,IF($C$2=407,-'Ppto Financiación'!H68,IF($C$2=408,-'Ppto Financiación'!H78,IF($C$2=409,-'Ppto Financiación'!H88,IF($C$2=410,-'Ppto Financiación'!H99,IF($C$2=411,-'Ppto Financiación'!H110,0))))))))))</f>
        <v>0</v>
      </c>
      <c r="L67" s="55">
        <f>-IF($C$2=402,-'Ppto Financiación'!I20,IF($C$2=403,-'Ppto Financiación'!I32,IF($C$2=404,-'Ppto Financiación'!I41,IF($C$2=405,-'Ppto Financiación'!I50,IF($C$2=406,-'Ppto Financiación'!I59,IF($C$2=407,-'Ppto Financiación'!I68,IF($C$2=408,-'Ppto Financiación'!I78,IF($C$2=409,-'Ppto Financiación'!I88,IF($C$2=410,-'Ppto Financiación'!I99,IF($C$2=411,-'Ppto Financiación'!I110,0))))))))))</f>
        <v>0</v>
      </c>
      <c r="M67" s="55">
        <f>-IF($C$2=402,-'Ppto Financiación'!J20,IF($C$2=403,-'Ppto Financiación'!J32,IF($C$2=404,-'Ppto Financiación'!J41,IF($C$2=405,-'Ppto Financiación'!J50,IF($C$2=406,-'Ppto Financiación'!J59,IF($C$2=407,-'Ppto Financiación'!J68,IF($C$2=408,-'Ppto Financiación'!J78,IF($C$2=409,-'Ppto Financiación'!J88,IF($C$2=410,-'Ppto Financiación'!J99,IF($C$2=411,-'Ppto Financiación'!J110,0))))))))))</f>
        <v>0</v>
      </c>
      <c r="N67" s="55">
        <f>-IF($C$2=402,-'Ppto Financiación'!K20,IF($C$2=403,-'Ppto Financiación'!K32,IF($C$2=404,-'Ppto Financiación'!K41,IF($C$2=405,-'Ppto Financiación'!K50,IF($C$2=406,-'Ppto Financiación'!K59,IF($C$2=407,-'Ppto Financiación'!K68,IF($C$2=408,-'Ppto Financiación'!K78,IF($C$2=409,-'Ppto Financiación'!K88,IF($C$2=410,-'Ppto Financiación'!K99,IF($C$2=411,-'Ppto Financiación'!K110,0))))))))))</f>
        <v>0</v>
      </c>
      <c r="O67" s="55">
        <f>-IF($C$2=402,-'Ppto Financiación'!L20,IF($C$2=403,-'Ppto Financiación'!L32,IF($C$2=404,-'Ppto Financiación'!L41,IF($C$2=405,-'Ppto Financiación'!L50,IF($C$2=406,-'Ppto Financiación'!L59,IF($C$2=407,-'Ppto Financiación'!L68,IF($C$2=408,-'Ppto Financiación'!L78,IF($C$2=409,-'Ppto Financiación'!L88,IF($C$2=410,-'Ppto Financiación'!L99,IF($C$2=411,-'Ppto Financiación'!L110,0))))))))))</f>
        <v>0</v>
      </c>
      <c r="P67" s="55">
        <f>-IF($C$2=402,-'Ppto Financiación'!M20,IF($C$2=403,-'Ppto Financiación'!M32,IF($C$2=404,-'Ppto Financiación'!M41,IF($C$2=405,-'Ppto Financiación'!M50,IF($C$2=406,-'Ppto Financiación'!M59,IF($C$2=407,-'Ppto Financiación'!M68,IF($C$2=408,-'Ppto Financiación'!M78,IF($C$2=409,-'Ppto Financiación'!M88,IF($C$2=410,-'Ppto Financiación'!M99,IF($C$2=411,-'Ppto Financiación'!M110,0))))))))))</f>
        <v>0</v>
      </c>
      <c r="Q67" s="55">
        <f>-IF($C$2=402,-'Ppto Financiación'!N20,IF($C$2=403,-'Ppto Financiación'!N32,IF($C$2=404,-'Ppto Financiación'!N41,IF($C$2=405,-'Ppto Financiación'!N50,IF($C$2=406,-'Ppto Financiación'!N59,IF($C$2=407,-'Ppto Financiación'!N68,IF($C$2=408,-'Ppto Financiación'!N78,IF($C$2=409,-'Ppto Financiación'!N88,IF($C$2=410,-'Ppto Financiación'!N99,IF($C$2=411,-'Ppto Financiación'!N110,0))))))))))</f>
        <v>0</v>
      </c>
      <c r="R67" s="55">
        <f>-IF($C$2=402,-'Ppto Financiación'!O20,IF($C$2=403,-'Ppto Financiación'!O32,IF($C$2=404,-'Ppto Financiación'!O41,IF($C$2=405,-'Ppto Financiación'!O50,IF($C$2=406,-'Ppto Financiación'!O59,IF($C$2=407,-'Ppto Financiación'!O68,IF($C$2=408,-'Ppto Financiación'!O78,IF($C$2=409,-'Ppto Financiación'!O88,IF($C$2=410,-'Ppto Financiación'!O99,IF($C$2=411,-'Ppto Financiación'!O110,0))))))))))</f>
        <v>0</v>
      </c>
      <c r="S67" s="55">
        <f>-IF($C$2=402,-'Ppto Financiación'!P20,IF($C$2=403,-'Ppto Financiación'!P32,IF($C$2=404,-'Ppto Financiación'!P41,IF($C$2=405,-'Ppto Financiación'!P50,IF($C$2=406,-'Ppto Financiación'!P59,IF($C$2=407,-'Ppto Financiación'!P68,IF($C$2=408,-'Ppto Financiación'!P78,IF($C$2=409,-'Ppto Financiación'!P88,IF($C$2=410,-'Ppto Financiación'!P99,IF($C$2=411,-'Ppto Financiación'!P110,0))))))))))</f>
        <v>0</v>
      </c>
      <c r="T67" s="55">
        <f>-IF($C$2=402,-'Ppto Financiación'!Q20,IF($C$2=403,-'Ppto Financiación'!Q32,IF($C$2=404,-'Ppto Financiación'!Q41,IF($C$2=405,-'Ppto Financiación'!Q50,IF($C$2=406,-'Ppto Financiación'!Q59,IF($C$2=407,-'Ppto Financiación'!Q68,IF($C$2=408,-'Ppto Financiación'!Q78,IF($C$2=409,-'Ppto Financiación'!Q88,IF($C$2=410,-'Ppto Financiación'!Q99,IF($C$2=411,-'Ppto Financiación'!Q110,0))))))))))</f>
        <v>0</v>
      </c>
      <c r="U67" s="55">
        <f>-IF($C$2=402,-'Ppto Financiación'!R20,IF($C$2=403,-'Ppto Financiación'!R32,IF($C$2=404,-'Ppto Financiación'!R41,IF($C$2=405,-'Ppto Financiación'!R50,IF($C$2=406,-'Ppto Financiación'!R59,IF($C$2=407,-'Ppto Financiación'!R68,IF($C$2=408,-'Ppto Financiación'!R78,IF($C$2=409,-'Ppto Financiación'!R88,IF($C$2=410,-'Ppto Financiación'!R99,IF($C$2=411,-'Ppto Financiación'!R110,0))))))))))</f>
        <v>0</v>
      </c>
      <c r="V67" s="55">
        <f>-IF($C$2=402,-'Ppto Financiación'!S20,IF($C$2=403,-'Ppto Financiación'!S32,IF($C$2=404,-'Ppto Financiación'!S41,IF($C$2=405,-'Ppto Financiación'!S50,IF($C$2=406,-'Ppto Financiación'!S59,IF($C$2=407,-'Ppto Financiación'!S68,IF($C$2=408,-'Ppto Financiación'!S78,IF($C$2=409,-'Ppto Financiación'!S88,IF($C$2=410,-'Ppto Financiación'!S99,IF($C$2=411,-'Ppto Financiación'!S110,0))))))))))</f>
        <v>0</v>
      </c>
      <c r="W67" s="55">
        <f>-IF($C$2=402,-'Ppto Financiación'!T20,IF($C$2=403,-'Ppto Financiación'!T32,IF($C$2=404,-'Ppto Financiación'!T41,IF($C$2=405,-'Ppto Financiación'!T50,IF($C$2=406,-'Ppto Financiación'!T59,IF($C$2=407,-'Ppto Financiación'!T68,IF($C$2=408,-'Ppto Financiación'!T78,IF($C$2=409,-'Ppto Financiación'!T88,IF($C$2=410,-'Ppto Financiación'!T99,IF($C$2=411,-'Ppto Financiación'!T110,0))))))))))</f>
        <v>0</v>
      </c>
      <c r="X67" s="55">
        <f>-IF($C$2=402,-'Ppto Financiación'!U20,IF($C$2=403,-'Ppto Financiación'!U32,IF($C$2=404,-'Ppto Financiación'!U41,IF($C$2=405,-'Ppto Financiación'!U50,IF($C$2=406,-'Ppto Financiación'!U59,IF($C$2=407,-'Ppto Financiación'!U68,IF($C$2=408,-'Ppto Financiación'!U78,IF($C$2=409,-'Ppto Financiación'!U88,IF($C$2=410,-'Ppto Financiación'!U99,IF($C$2=411,-'Ppto Financiación'!U110,0))))))))))</f>
        <v>0</v>
      </c>
      <c r="Y67" s="55">
        <f>-IF($C$2=402,-'Ppto Financiación'!V20,IF($C$2=403,-'Ppto Financiación'!V32,IF($C$2=404,-'Ppto Financiación'!V41,IF($C$2=405,-'Ppto Financiación'!V50,IF($C$2=406,-'Ppto Financiación'!V59,IF($C$2=407,-'Ppto Financiación'!V68,IF($C$2=408,-'Ppto Financiación'!V78,IF($C$2=409,-'Ppto Financiación'!V88,IF($C$2=410,-'Ppto Financiación'!V99,IF($C$2=411,-'Ppto Financiación'!V110,0))))))))))</f>
        <v>0</v>
      </c>
      <c r="Z67" s="55">
        <f>-IF($C$2=402,-'Ppto Financiación'!W20,IF($C$2=403,-'Ppto Financiación'!W32,IF($C$2=404,-'Ppto Financiación'!W41,IF($C$2=405,-'Ppto Financiación'!W50,IF($C$2=406,-'Ppto Financiación'!W59,IF($C$2=407,-'Ppto Financiación'!W68,IF($C$2=408,-'Ppto Financiación'!W78,IF($C$2=409,-'Ppto Financiación'!W88,IF($C$2=410,-'Ppto Financiación'!W99,IF($C$2=411,-'Ppto Financiación'!W110,0))))))))))</f>
        <v>0</v>
      </c>
      <c r="AA67" s="55">
        <f>-IF($C$2=402,-'Ppto Financiación'!X20,IF($C$2=403,-'Ppto Financiación'!X32,IF($C$2=404,-'Ppto Financiación'!X41,IF($C$2=405,-'Ppto Financiación'!X50,IF($C$2=406,-'Ppto Financiación'!X59,IF($C$2=407,-'Ppto Financiación'!X68,IF($C$2=408,-'Ppto Financiación'!X78,IF($C$2=409,-'Ppto Financiación'!X88,IF($C$2=410,-'Ppto Financiación'!X99,IF($C$2=411,-'Ppto Financiación'!X110,0))))))))))</f>
        <v>0</v>
      </c>
      <c r="AB67" s="55">
        <f>-IF($C$2=402,-'Ppto Financiación'!Y20,IF($C$2=403,-'Ppto Financiación'!Y32,IF($C$2=404,-'Ppto Financiación'!Y41,IF($C$2=405,-'Ppto Financiación'!Y50,IF($C$2=406,-'Ppto Financiación'!Y59,IF($C$2=407,-'Ppto Financiación'!Y68,IF($C$2=408,-'Ppto Financiación'!Y78,IF($C$2=409,-'Ppto Financiación'!Y88,IF($C$2=410,-'Ppto Financiación'!Y99,IF($C$2=411,-'Ppto Financiación'!Y110,0))))))))))</f>
        <v>0</v>
      </c>
      <c r="AC67" s="55">
        <f>-IF($C$2=402,-'Ppto Financiación'!Z20,IF($C$2=403,-'Ppto Financiación'!Z32,IF($C$2=404,-'Ppto Financiación'!Z41,IF($C$2=405,-'Ppto Financiación'!Z50,IF($C$2=406,-'Ppto Financiación'!Z59,IF($C$2=407,-'Ppto Financiación'!Z68,IF($C$2=408,-'Ppto Financiación'!Z78,IF($C$2=409,-'Ppto Financiación'!Z88,IF($C$2=410,-'Ppto Financiación'!Z99,IF($C$2=411,-'Ppto Financiación'!Z110,0))))))))))</f>
        <v>0</v>
      </c>
      <c r="AD67" s="55">
        <f>-IF($C$2=402,-'Ppto Financiación'!AA20,IF($C$2=403,-'Ppto Financiación'!AA32,IF($C$2=404,-'Ppto Financiación'!AA41,IF($C$2=405,-'Ppto Financiación'!AA50,IF($C$2=406,-'Ppto Financiación'!AA59,IF($C$2=407,-'Ppto Financiación'!AA68,IF($C$2=408,-'Ppto Financiación'!AA78,IF($C$2=409,-'Ppto Financiación'!AA88,IF($C$2=410,-'Ppto Financiación'!AA99,IF($C$2=411,-'Ppto Financiación'!AA110,0))))))))))</f>
        <v>0</v>
      </c>
      <c r="AE67" s="55">
        <f>-IF($C$2=402,-'Ppto Financiación'!AB20,IF($C$2=403,-'Ppto Financiación'!AB32,IF($C$2=404,-'Ppto Financiación'!AB41,IF($C$2=405,-'Ppto Financiación'!AB50,IF($C$2=406,-'Ppto Financiación'!AB59,IF($C$2=407,-'Ppto Financiación'!AB68,IF($C$2=408,-'Ppto Financiación'!AB78,IF($C$2=409,-'Ppto Financiación'!AB88,IF($C$2=410,-'Ppto Financiación'!AB99,IF($C$2=411,-'Ppto Financiación'!AB110,0))))))))))</f>
        <v>0</v>
      </c>
    </row>
    <row r="68" spans="3:31" hidden="1" x14ac:dyDescent="0.25">
      <c r="C68" s="3"/>
      <c r="D68" s="102"/>
      <c r="E68" s="501"/>
      <c r="F68" s="3"/>
      <c r="G68" s="59"/>
      <c r="H68" s="55" t="s">
        <v>326</v>
      </c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</row>
    <row r="69" spans="3:31" hidden="1" x14ac:dyDescent="0.25">
      <c r="C69" s="3" t="s">
        <v>128</v>
      </c>
      <c r="D69" s="102"/>
      <c r="E69" s="501"/>
      <c r="F69" s="3"/>
      <c r="G69" s="55">
        <f>'Ppto Ing'!D96</f>
        <v>0</v>
      </c>
      <c r="H69" s="55">
        <f>'Ppto Ing'!E96</f>
        <v>0</v>
      </c>
      <c r="I69" s="55">
        <f>'Ppto Ing'!F96</f>
        <v>0</v>
      </c>
      <c r="J69" s="55">
        <f>'Ppto Ing'!G96</f>
        <v>0</v>
      </c>
      <c r="K69" s="55">
        <f>'Ppto Ing'!H96</f>
        <v>0</v>
      </c>
      <c r="L69" s="55">
        <f>'Ppto Ing'!I96</f>
        <v>0</v>
      </c>
      <c r="M69" s="55">
        <f>'Ppto Ing'!J96</f>
        <v>0</v>
      </c>
      <c r="N69" s="55">
        <f>'Ppto Ing'!K96</f>
        <v>0</v>
      </c>
      <c r="O69" s="55">
        <f>'Ppto Ing'!L96</f>
        <v>0</v>
      </c>
      <c r="P69" s="55">
        <f>'Ppto Ing'!M96</f>
        <v>0</v>
      </c>
      <c r="Q69" s="55">
        <f>'Ppto Ing'!N96</f>
        <v>0</v>
      </c>
      <c r="R69" s="55">
        <f>'Ppto Ing'!O96</f>
        <v>0</v>
      </c>
      <c r="S69" s="55">
        <f>'Ppto Ing'!P96</f>
        <v>0</v>
      </c>
      <c r="T69" s="55">
        <f>'Ppto Ing'!Q96</f>
        <v>0</v>
      </c>
      <c r="U69" s="55">
        <f>'Ppto Ing'!R96</f>
        <v>0</v>
      </c>
      <c r="V69" s="55">
        <f>'Ppto Ing'!S96</f>
        <v>0</v>
      </c>
      <c r="W69" s="55">
        <f>'Ppto Ing'!T96</f>
        <v>0</v>
      </c>
      <c r="X69" s="55">
        <f>'Ppto Ing'!U96</f>
        <v>0</v>
      </c>
      <c r="Y69" s="55">
        <f>'Ppto Ing'!V96</f>
        <v>0</v>
      </c>
      <c r="Z69" s="55">
        <f>'Ppto Ing'!W96</f>
        <v>0</v>
      </c>
      <c r="AA69" s="55">
        <f>'Ppto Ing'!X96</f>
        <v>0</v>
      </c>
      <c r="AB69" s="55">
        <f>'Ppto Ing'!Y96</f>
        <v>0</v>
      </c>
      <c r="AC69" s="55">
        <f>'Ppto Ing'!Z96</f>
        <v>0</v>
      </c>
      <c r="AD69" s="55">
        <f>'Ppto Ing'!AA96</f>
        <v>0</v>
      </c>
      <c r="AE69" s="55">
        <f>'Ppto Ing'!AB96</f>
        <v>0</v>
      </c>
    </row>
    <row r="70" spans="3:31" hidden="1" x14ac:dyDescent="0.25">
      <c r="C70" s="3" t="s">
        <v>129</v>
      </c>
      <c r="D70" s="102"/>
      <c r="E70" s="501"/>
      <c r="F70" s="3"/>
      <c r="G70" s="59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</row>
    <row r="71" spans="3:31" hidden="1" x14ac:dyDescent="0.25">
      <c r="C71" s="3"/>
      <c r="D71" s="102"/>
      <c r="E71" s="501"/>
      <c r="F71" s="3"/>
      <c r="G71" s="59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</row>
    <row r="72" spans="3:31" hidden="1" x14ac:dyDescent="0.25">
      <c r="C72" s="56" t="s">
        <v>370</v>
      </c>
      <c r="D72" s="56"/>
      <c r="E72" s="496"/>
      <c r="F72" s="57"/>
      <c r="G72" s="37">
        <f>SUM(G67:G71)</f>
        <v>0</v>
      </c>
      <c r="H72" s="37">
        <f>+H66-H67+H69-H70</f>
        <v>-209446036.41</v>
      </c>
      <c r="I72" s="37">
        <f t="shared" ref="I72:AE72" si="9">+I66-I67+I69-I70</f>
        <v>-214308249</v>
      </c>
      <c r="J72" s="37">
        <f t="shared" si="9"/>
        <v>-215645345</v>
      </c>
      <c r="K72" s="37">
        <f t="shared" si="9"/>
        <v>-216441241</v>
      </c>
      <c r="L72" s="37">
        <f t="shared" si="9"/>
        <v>-215793937</v>
      </c>
      <c r="M72" s="37">
        <f t="shared" si="9"/>
        <v>0</v>
      </c>
      <c r="N72" s="37">
        <f t="shared" si="9"/>
        <v>0</v>
      </c>
      <c r="O72" s="37">
        <f t="shared" si="9"/>
        <v>0</v>
      </c>
      <c r="P72" s="37">
        <f t="shared" si="9"/>
        <v>0</v>
      </c>
      <c r="Q72" s="37">
        <f t="shared" si="9"/>
        <v>0</v>
      </c>
      <c r="R72" s="37">
        <f t="shared" si="9"/>
        <v>0</v>
      </c>
      <c r="S72" s="37">
        <f t="shared" si="9"/>
        <v>0</v>
      </c>
      <c r="T72" s="37">
        <f t="shared" si="9"/>
        <v>0</v>
      </c>
      <c r="U72" s="37">
        <f t="shared" si="9"/>
        <v>0</v>
      </c>
      <c r="V72" s="37">
        <f t="shared" si="9"/>
        <v>0</v>
      </c>
      <c r="W72" s="37">
        <f t="shared" si="9"/>
        <v>0</v>
      </c>
      <c r="X72" s="37">
        <f t="shared" si="9"/>
        <v>0</v>
      </c>
      <c r="Y72" s="37">
        <f t="shared" si="9"/>
        <v>0</v>
      </c>
      <c r="Z72" s="37">
        <f t="shared" si="9"/>
        <v>0</v>
      </c>
      <c r="AA72" s="37">
        <f t="shared" si="9"/>
        <v>0</v>
      </c>
      <c r="AB72" s="37">
        <f t="shared" si="9"/>
        <v>0</v>
      </c>
      <c r="AC72" s="37">
        <f t="shared" si="9"/>
        <v>0</v>
      </c>
      <c r="AD72" s="37">
        <f t="shared" si="9"/>
        <v>0</v>
      </c>
      <c r="AE72" s="37">
        <f t="shared" si="9"/>
        <v>0</v>
      </c>
    </row>
    <row r="73" spans="3:31" ht="15" customHeight="1" x14ac:dyDescent="0.25">
      <c r="C73" s="50" t="s">
        <v>24</v>
      </c>
      <c r="D73" s="60"/>
      <c r="E73" s="502"/>
      <c r="F73" s="61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</row>
    <row r="74" spans="3:31" ht="15" hidden="1" customHeight="1" x14ac:dyDescent="0.25">
      <c r="C74" s="60"/>
      <c r="D74" s="60"/>
      <c r="E74" s="502"/>
      <c r="F74" s="61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</row>
    <row r="75" spans="3:31" ht="15" hidden="1" customHeight="1" x14ac:dyDescent="0.25">
      <c r="C75" s="60" t="s">
        <v>139</v>
      </c>
      <c r="D75" s="113">
        <v>0.33</v>
      </c>
      <c r="E75" s="503"/>
      <c r="F75" s="61"/>
      <c r="G75" s="55"/>
      <c r="H75" s="55">
        <f>IF(H$72&lt;0,0,(H$72*$D75))</f>
        <v>0</v>
      </c>
      <c r="I75" s="55">
        <f t="shared" ref="I75:AE75" si="10">IF(I$72&lt;0,0,(I$72*$D75))</f>
        <v>0</v>
      </c>
      <c r="J75" s="55">
        <f t="shared" si="10"/>
        <v>0</v>
      </c>
      <c r="K75" s="55">
        <f t="shared" si="10"/>
        <v>0</v>
      </c>
      <c r="L75" s="55">
        <f t="shared" si="10"/>
        <v>0</v>
      </c>
      <c r="M75" s="55">
        <f t="shared" si="10"/>
        <v>0</v>
      </c>
      <c r="N75" s="55">
        <f t="shared" si="10"/>
        <v>0</v>
      </c>
      <c r="O75" s="55">
        <f t="shared" si="10"/>
        <v>0</v>
      </c>
      <c r="P75" s="55">
        <f t="shared" si="10"/>
        <v>0</v>
      </c>
      <c r="Q75" s="55">
        <f t="shared" si="10"/>
        <v>0</v>
      </c>
      <c r="R75" s="55">
        <f t="shared" si="10"/>
        <v>0</v>
      </c>
      <c r="S75" s="55">
        <f t="shared" si="10"/>
        <v>0</v>
      </c>
      <c r="T75" s="55">
        <f t="shared" si="10"/>
        <v>0</v>
      </c>
      <c r="U75" s="55">
        <f t="shared" si="10"/>
        <v>0</v>
      </c>
      <c r="V75" s="55">
        <f t="shared" si="10"/>
        <v>0</v>
      </c>
      <c r="W75" s="55">
        <f t="shared" si="10"/>
        <v>0</v>
      </c>
      <c r="X75" s="55">
        <f t="shared" si="10"/>
        <v>0</v>
      </c>
      <c r="Y75" s="55">
        <f t="shared" si="10"/>
        <v>0</v>
      </c>
      <c r="Z75" s="55">
        <f t="shared" si="10"/>
        <v>0</v>
      </c>
      <c r="AA75" s="55">
        <f t="shared" si="10"/>
        <v>0</v>
      </c>
      <c r="AB75" s="55">
        <f t="shared" si="10"/>
        <v>0</v>
      </c>
      <c r="AC75" s="55">
        <f t="shared" si="10"/>
        <v>0</v>
      </c>
      <c r="AD75" s="55">
        <f t="shared" si="10"/>
        <v>0</v>
      </c>
      <c r="AE75" s="55">
        <f t="shared" si="10"/>
        <v>0</v>
      </c>
    </row>
    <row r="76" spans="3:31" ht="15" hidden="1" customHeight="1" x14ac:dyDescent="0.25">
      <c r="C76" s="60"/>
      <c r="D76" s="113"/>
      <c r="E76" s="503"/>
      <c r="F76" s="61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</row>
    <row r="77" spans="3:31" ht="15" hidden="1" customHeight="1" x14ac:dyDescent="0.25">
      <c r="C77" s="60"/>
      <c r="D77" s="113"/>
      <c r="E77" s="503"/>
      <c r="F77" s="61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</row>
    <row r="78" spans="3:31" x14ac:dyDescent="0.25">
      <c r="C78" s="52" t="s">
        <v>371</v>
      </c>
      <c r="D78" s="52"/>
      <c r="E78" s="499"/>
      <c r="F78" s="35"/>
      <c r="G78" s="37">
        <f>G72+G75+G76</f>
        <v>0</v>
      </c>
      <c r="H78" s="37">
        <f>H72-H75</f>
        <v>-209446036.41</v>
      </c>
      <c r="I78" s="37">
        <f t="shared" ref="I78:AE78" si="11">I72-I75</f>
        <v>-214308249</v>
      </c>
      <c r="J78" s="37">
        <f t="shared" si="11"/>
        <v>-215645345</v>
      </c>
      <c r="K78" s="37">
        <f t="shared" si="11"/>
        <v>-216441241</v>
      </c>
      <c r="L78" s="37">
        <f t="shared" si="11"/>
        <v>-215793937</v>
      </c>
      <c r="M78" s="37">
        <f t="shared" si="11"/>
        <v>0</v>
      </c>
      <c r="N78" s="37">
        <f t="shared" si="11"/>
        <v>0</v>
      </c>
      <c r="O78" s="37">
        <f t="shared" si="11"/>
        <v>0</v>
      </c>
      <c r="P78" s="37">
        <f t="shared" si="11"/>
        <v>0</v>
      </c>
      <c r="Q78" s="37">
        <f t="shared" si="11"/>
        <v>0</v>
      </c>
      <c r="R78" s="37">
        <f t="shared" si="11"/>
        <v>0</v>
      </c>
      <c r="S78" s="37">
        <f t="shared" si="11"/>
        <v>0</v>
      </c>
      <c r="T78" s="37">
        <f t="shared" si="11"/>
        <v>0</v>
      </c>
      <c r="U78" s="37">
        <f t="shared" si="11"/>
        <v>0</v>
      </c>
      <c r="V78" s="37">
        <f t="shared" si="11"/>
        <v>0</v>
      </c>
      <c r="W78" s="37">
        <f t="shared" si="11"/>
        <v>0</v>
      </c>
      <c r="X78" s="37">
        <f t="shared" si="11"/>
        <v>0</v>
      </c>
      <c r="Y78" s="37">
        <f t="shared" si="11"/>
        <v>0</v>
      </c>
      <c r="Z78" s="37">
        <f t="shared" si="11"/>
        <v>0</v>
      </c>
      <c r="AA78" s="37">
        <f t="shared" si="11"/>
        <v>0</v>
      </c>
      <c r="AB78" s="37">
        <f t="shared" si="11"/>
        <v>0</v>
      </c>
      <c r="AC78" s="37">
        <f t="shared" si="11"/>
        <v>0</v>
      </c>
      <c r="AD78" s="37">
        <f t="shared" si="11"/>
        <v>0</v>
      </c>
      <c r="AE78" s="37">
        <f t="shared" si="11"/>
        <v>0</v>
      </c>
    </row>
    <row r="79" spans="3:31" x14ac:dyDescent="0.25">
      <c r="C79" s="112"/>
      <c r="D79" s="112"/>
      <c r="E79" s="499"/>
      <c r="F79" s="60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</row>
    <row r="80" spans="3:31" x14ac:dyDescent="0.25">
      <c r="C80" s="62" t="s">
        <v>372</v>
      </c>
      <c r="D80" s="62"/>
      <c r="E80" s="504"/>
      <c r="F80" s="60"/>
      <c r="G80" s="55">
        <f>-G63</f>
        <v>0</v>
      </c>
      <c r="H80" s="55">
        <f>H63</f>
        <v>13557953</v>
      </c>
      <c r="I80" s="55">
        <f t="shared" ref="I80:AE80" si="12">I63</f>
        <v>13557953</v>
      </c>
      <c r="J80" s="55">
        <f t="shared" si="12"/>
        <v>13557953</v>
      </c>
      <c r="K80" s="55">
        <f t="shared" si="12"/>
        <v>13557953</v>
      </c>
      <c r="L80" s="55">
        <f t="shared" si="12"/>
        <v>13557953</v>
      </c>
      <c r="M80" s="55">
        <f t="shared" si="12"/>
        <v>0</v>
      </c>
      <c r="N80" s="55">
        <f t="shared" si="12"/>
        <v>0</v>
      </c>
      <c r="O80" s="55">
        <f t="shared" si="12"/>
        <v>0</v>
      </c>
      <c r="P80" s="55">
        <f t="shared" si="12"/>
        <v>0</v>
      </c>
      <c r="Q80" s="55">
        <f t="shared" si="12"/>
        <v>0</v>
      </c>
      <c r="R80" s="55">
        <f t="shared" si="12"/>
        <v>0</v>
      </c>
      <c r="S80" s="55">
        <f t="shared" si="12"/>
        <v>0</v>
      </c>
      <c r="T80" s="55">
        <f t="shared" si="12"/>
        <v>0</v>
      </c>
      <c r="U80" s="55">
        <f t="shared" si="12"/>
        <v>0</v>
      </c>
      <c r="V80" s="55">
        <f t="shared" si="12"/>
        <v>0</v>
      </c>
      <c r="W80" s="55">
        <f t="shared" si="12"/>
        <v>0</v>
      </c>
      <c r="X80" s="55">
        <f t="shared" si="12"/>
        <v>0</v>
      </c>
      <c r="Y80" s="55">
        <f t="shared" si="12"/>
        <v>0</v>
      </c>
      <c r="Z80" s="55">
        <f t="shared" si="12"/>
        <v>0</v>
      </c>
      <c r="AA80" s="55">
        <f t="shared" si="12"/>
        <v>0</v>
      </c>
      <c r="AB80" s="55">
        <f t="shared" si="12"/>
        <v>0</v>
      </c>
      <c r="AC80" s="55">
        <f t="shared" si="12"/>
        <v>0</v>
      </c>
      <c r="AD80" s="55">
        <f t="shared" si="12"/>
        <v>0</v>
      </c>
      <c r="AE80" s="55">
        <f t="shared" si="12"/>
        <v>0</v>
      </c>
    </row>
    <row r="81" spans="3:31" x14ac:dyDescent="0.25">
      <c r="C81" s="58" t="s">
        <v>57</v>
      </c>
      <c r="D81" s="58"/>
      <c r="E81" s="505"/>
      <c r="F81" s="3"/>
      <c r="G81" s="36">
        <f>IF(C2=401,0,'Ppto Financiación'!D13)</f>
        <v>0</v>
      </c>
      <c r="H81" s="36">
        <f>IF(D2=401,0,'Ppto Financiación'!E13)</f>
        <v>0</v>
      </c>
      <c r="I81" s="36">
        <f>IF(F2=401,0,'Ppto Financiación'!F13)</f>
        <v>0</v>
      </c>
      <c r="J81" s="36">
        <f>IF(G2=401,0,'Ppto Financiación'!G13)</f>
        <v>0</v>
      </c>
      <c r="K81" s="36">
        <f>IF(H2=401,0,'Ppto Financiación'!H13)</f>
        <v>0</v>
      </c>
      <c r="L81" s="36">
        <f>IF(I2=401,0,'Ppto Financiación'!I13)</f>
        <v>0</v>
      </c>
      <c r="M81" s="36">
        <f>IF(J2=401,0,'Ppto Financiación'!J13)</f>
        <v>0</v>
      </c>
      <c r="N81" s="36">
        <f>IF(K2=401,0,'Ppto Financiación'!K13)</f>
        <v>0</v>
      </c>
      <c r="O81" s="36">
        <f>IF(L2=401,0,'Ppto Financiación'!L13)</f>
        <v>0</v>
      </c>
      <c r="P81" s="36">
        <f>IF(M2=401,0,'Ppto Financiación'!M13)</f>
        <v>0</v>
      </c>
      <c r="Q81" s="36">
        <f>IF(N2=401,0,'Ppto Financiación'!N13)</f>
        <v>0</v>
      </c>
      <c r="R81" s="36">
        <f>IF(O2=401,0,'Ppto Financiación'!O13)</f>
        <v>0</v>
      </c>
      <c r="S81" s="36">
        <f>IF(P2=401,0,'Ppto Financiación'!P13)</f>
        <v>0</v>
      </c>
      <c r="T81" s="36">
        <f>IF(Q2=401,0,'Ppto Financiación'!Q13)</f>
        <v>0</v>
      </c>
      <c r="U81" s="36">
        <f>IF(R2=401,0,'Ppto Financiación'!R13)</f>
        <v>0</v>
      </c>
      <c r="V81" s="36">
        <f>IF(S2=401,0,'Ppto Financiación'!S13)</f>
        <v>0</v>
      </c>
      <c r="W81" s="36">
        <f>IF(T2=401,0,'Ppto Financiación'!T13)</f>
        <v>0</v>
      </c>
      <c r="X81" s="36">
        <f>IF(U2=401,0,'Ppto Financiación'!U13)</f>
        <v>0</v>
      </c>
      <c r="Y81" s="36">
        <f>IF(V2=401,0,'Ppto Financiación'!V13)</f>
        <v>0</v>
      </c>
      <c r="Z81" s="36">
        <f>IF(W2=401,0,'Ppto Financiación'!W13)</f>
        <v>0</v>
      </c>
      <c r="AA81" s="36">
        <f>IF(X2=401,0,'Ppto Financiación'!X13)</f>
        <v>0</v>
      </c>
      <c r="AB81" s="36">
        <f>IF(Y2=401,0,'Ppto Financiación'!Y13)</f>
        <v>0</v>
      </c>
      <c r="AC81" s="36">
        <f>IF(Z2=401,0,'Ppto Financiación'!Z13)</f>
        <v>0</v>
      </c>
      <c r="AD81" s="36">
        <f>IF(AA2=401,0,'Ppto Financiación'!AA13)</f>
        <v>0</v>
      </c>
      <c r="AE81" s="36">
        <f>IF(AB2=401,0,'Ppto Financiación'!AB13)</f>
        <v>0</v>
      </c>
    </row>
    <row r="82" spans="3:31" x14ac:dyDescent="0.25">
      <c r="C82" s="58" t="s">
        <v>60</v>
      </c>
      <c r="D82" s="102" t="str">
        <f>+D2</f>
        <v>Flujo de caja del proyecto</v>
      </c>
      <c r="E82" s="506"/>
      <c r="G82" s="3"/>
      <c r="H82" s="55">
        <f>-(IF($C$2=402,-'Ppto Financiación'!E19,IF($C$2=403,-'Ppto Financiación'!E31,IF($C$2=404,-'Ppto Financiación'!E40,IF($C$2=405,-'Ppto Financiación'!E49,IF($C$2=406,-'Ppto Financiación'!E58,IF($C$2=407,-'Ppto Financiación'!E67,IF($C$2=408,-'Ppto Financiación'!E77,IF($C$2=409,-'Ppto Financiación'!E87,IF($C$2=410,-'Ppto Financiación'!E98-'Ppto Financiación'!E101,IF($C$2=411,-'Ppto Financiación'!E109,0)))))))))))</f>
        <v>0</v>
      </c>
      <c r="I82" s="55">
        <f>-(IF($C$2=402,-'Ppto Financiación'!F19,IF($C$2=403,-'Ppto Financiación'!F31,IF($C$2=404,-'Ppto Financiación'!F40,IF($C$2=405,-'Ppto Financiación'!F49,IF($C$2=406,-'Ppto Financiación'!F58,IF($C$2=407,-'Ppto Financiación'!F67,IF($C$2=408,-'Ppto Financiación'!F77,IF($C$2=409,-'Ppto Financiación'!F87,IF($C$2=410,-'Ppto Financiación'!F98-'Ppto Financiación'!F101,IF($C$2=411,-'Ppto Financiación'!F109,0)))))))))))</f>
        <v>0</v>
      </c>
      <c r="J82" s="55">
        <f>-(IF($C$2=402,-'Ppto Financiación'!G19,IF($C$2=403,-'Ppto Financiación'!G31,IF($C$2=404,-'Ppto Financiación'!G40,IF($C$2=405,-'Ppto Financiación'!G49,IF($C$2=406,-'Ppto Financiación'!G58,IF($C$2=407,-'Ppto Financiación'!G67,IF($C$2=408,-'Ppto Financiación'!G77,IF($C$2=409,-'Ppto Financiación'!G87,IF($C$2=410,-'Ppto Financiación'!G98-'Ppto Financiación'!G101,IF($C$2=411,-'Ppto Financiación'!G109,0)))))))))))</f>
        <v>0</v>
      </c>
      <c r="K82" s="55">
        <f>-(IF($C$2=402,-'Ppto Financiación'!H19,IF($C$2=403,-'Ppto Financiación'!H31,IF($C$2=404,-'Ppto Financiación'!H40,IF($C$2=405,-'Ppto Financiación'!H49,IF($C$2=406,-'Ppto Financiación'!H58,IF($C$2=407,-'Ppto Financiación'!H67,IF($C$2=408,-'Ppto Financiación'!H77,IF($C$2=409,-'Ppto Financiación'!H87,IF($C$2=410,-'Ppto Financiación'!H98-'Ppto Financiación'!H101,IF($C$2=411,-'Ppto Financiación'!H109,0)))))))))))</f>
        <v>0</v>
      </c>
      <c r="L82" s="55">
        <f>-(IF($C$2=402,-'Ppto Financiación'!I19,IF($C$2=403,-'Ppto Financiación'!I31,IF($C$2=404,-'Ppto Financiación'!I40,IF($C$2=405,-'Ppto Financiación'!I49,IF($C$2=406,-'Ppto Financiación'!I58,IF($C$2=407,-'Ppto Financiación'!I67,IF($C$2=408,-'Ppto Financiación'!I77,IF($C$2=409,-'Ppto Financiación'!I87,IF($C$2=410,-'Ppto Financiación'!I98-'Ppto Financiación'!I101,IF($C$2=411,-'Ppto Financiación'!I109,0)))))))))))</f>
        <v>0</v>
      </c>
      <c r="M82" s="55">
        <f>-(IF($C$2=402,-'Ppto Financiación'!J19,IF($C$2=403,-'Ppto Financiación'!J31,IF($C$2=404,-'Ppto Financiación'!J40,IF($C$2=405,-'Ppto Financiación'!J49,IF($C$2=406,-'Ppto Financiación'!J58,IF($C$2=407,-'Ppto Financiación'!J67,IF($C$2=408,-'Ppto Financiación'!J77,IF($C$2=409,-'Ppto Financiación'!J87,IF($C$2=410,-'Ppto Financiación'!J98-'Ppto Financiación'!J101,IF($C$2=411,-'Ppto Financiación'!J109,0)))))))))))</f>
        <v>0</v>
      </c>
      <c r="N82" s="55">
        <f>-(IF($C$2=402,-'Ppto Financiación'!K19,IF($C$2=403,-'Ppto Financiación'!K31,IF($C$2=404,-'Ppto Financiación'!K40,IF($C$2=405,-'Ppto Financiación'!K49,IF($C$2=406,-'Ppto Financiación'!K58,IF($C$2=407,-'Ppto Financiación'!K67,IF($C$2=408,-'Ppto Financiación'!K77,IF($C$2=409,-'Ppto Financiación'!K87,IF($C$2=410,-'Ppto Financiación'!K98-'Ppto Financiación'!K101,IF($C$2=411,-'Ppto Financiación'!K109,0)))))))))))</f>
        <v>0</v>
      </c>
      <c r="O82" s="55">
        <f>-(IF($C$2=402,-'Ppto Financiación'!L19,IF($C$2=403,-'Ppto Financiación'!L31,IF($C$2=404,-'Ppto Financiación'!L40,IF($C$2=405,-'Ppto Financiación'!L49,IF($C$2=406,-'Ppto Financiación'!L58,IF($C$2=407,-'Ppto Financiación'!L67,IF($C$2=408,-'Ppto Financiación'!L77,IF($C$2=409,-'Ppto Financiación'!L87,IF($C$2=410,-'Ppto Financiación'!L98-'Ppto Financiación'!L101,IF($C$2=411,-'Ppto Financiación'!L109,0)))))))))))</f>
        <v>0</v>
      </c>
      <c r="P82" s="55">
        <f>-(IF($C$2=402,-'Ppto Financiación'!M19,IF($C$2=403,-'Ppto Financiación'!M31,IF($C$2=404,-'Ppto Financiación'!M40,IF($C$2=405,-'Ppto Financiación'!M49,IF($C$2=406,-'Ppto Financiación'!M58,IF($C$2=407,-'Ppto Financiación'!M67,IF($C$2=408,-'Ppto Financiación'!M77,IF($C$2=409,-'Ppto Financiación'!M87,IF($C$2=410,-'Ppto Financiación'!M98-'Ppto Financiación'!M101,IF($C$2=411,-'Ppto Financiación'!M109,0)))))))))))</f>
        <v>0</v>
      </c>
      <c r="Q82" s="55">
        <f>-(IF($C$2=402,-'Ppto Financiación'!N19,IF($C$2=403,-'Ppto Financiación'!N31,IF($C$2=404,-'Ppto Financiación'!N40,IF($C$2=405,-'Ppto Financiación'!N49,IF($C$2=406,-'Ppto Financiación'!N58,IF($C$2=407,-'Ppto Financiación'!N67,IF($C$2=408,-'Ppto Financiación'!N77,IF($C$2=409,-'Ppto Financiación'!N87,IF($C$2=410,-'Ppto Financiación'!N98-'Ppto Financiación'!N101,IF($C$2=411,-'Ppto Financiación'!N109,0)))))))))))</f>
        <v>0</v>
      </c>
      <c r="R82" s="55">
        <f>-(IF($C$2=402,-'Ppto Financiación'!O19,IF($C$2=403,-'Ppto Financiación'!O31,IF($C$2=404,-'Ppto Financiación'!O40,IF($C$2=405,-'Ppto Financiación'!O49,IF($C$2=406,-'Ppto Financiación'!O58,IF($C$2=407,-'Ppto Financiación'!O67,IF($C$2=408,-'Ppto Financiación'!O77,IF($C$2=409,-'Ppto Financiación'!O87,IF($C$2=410,-'Ppto Financiación'!O98-'Ppto Financiación'!O101,IF($C$2=411,-'Ppto Financiación'!O109,0)))))))))))</f>
        <v>0</v>
      </c>
      <c r="S82" s="55">
        <f>-(IF($C$2=402,-'Ppto Financiación'!P19,IF($C$2=403,-'Ppto Financiación'!P31,IF($C$2=404,-'Ppto Financiación'!P40,IF($C$2=405,-'Ppto Financiación'!P49,IF($C$2=406,-'Ppto Financiación'!P58,IF($C$2=407,-'Ppto Financiación'!P67,IF($C$2=408,-'Ppto Financiación'!P77,IF($C$2=409,-'Ppto Financiación'!P87,IF($C$2=410,-'Ppto Financiación'!P98-'Ppto Financiación'!P101,IF($C$2=411,-'Ppto Financiación'!P109,0)))))))))))</f>
        <v>0</v>
      </c>
      <c r="T82" s="55">
        <f>-(IF($C$2=402,-'Ppto Financiación'!Q19,IF($C$2=403,-'Ppto Financiación'!Q31,IF($C$2=404,-'Ppto Financiación'!Q40,IF($C$2=405,-'Ppto Financiación'!Q49,IF($C$2=406,-'Ppto Financiación'!Q58,IF($C$2=407,-'Ppto Financiación'!Q67,IF($C$2=408,-'Ppto Financiación'!Q77,IF($C$2=409,-'Ppto Financiación'!Q87,IF($C$2=410,-'Ppto Financiación'!Q98-'Ppto Financiación'!Q101,IF($C$2=411,-'Ppto Financiación'!Q109,0)))))))))))</f>
        <v>0</v>
      </c>
      <c r="U82" s="55">
        <f>-(IF($C$2=402,-'Ppto Financiación'!R19,IF($C$2=403,-'Ppto Financiación'!R31,IF($C$2=404,-'Ppto Financiación'!R40,IF($C$2=405,-'Ppto Financiación'!R49,IF($C$2=406,-'Ppto Financiación'!R58,IF($C$2=407,-'Ppto Financiación'!R67,IF($C$2=408,-'Ppto Financiación'!R77,IF($C$2=409,-'Ppto Financiación'!R87,IF($C$2=410,-'Ppto Financiación'!R98-'Ppto Financiación'!R101,IF($C$2=411,-'Ppto Financiación'!R109,0)))))))))))</f>
        <v>0</v>
      </c>
      <c r="V82" s="55">
        <f>-(IF($C$2=402,-'Ppto Financiación'!S19,IF($C$2=403,-'Ppto Financiación'!S31,IF($C$2=404,-'Ppto Financiación'!S40,IF($C$2=405,-'Ppto Financiación'!S49,IF($C$2=406,-'Ppto Financiación'!S58,IF($C$2=407,-'Ppto Financiación'!S67,IF($C$2=408,-'Ppto Financiación'!S77,IF($C$2=409,-'Ppto Financiación'!S87,IF($C$2=410,-'Ppto Financiación'!S98-'Ppto Financiación'!S101,IF($C$2=411,-'Ppto Financiación'!S109,0)))))))))))</f>
        <v>0</v>
      </c>
      <c r="W82" s="55">
        <f>-(IF($C$2=402,-'Ppto Financiación'!T19,IF($C$2=403,-'Ppto Financiación'!T31,IF($C$2=404,-'Ppto Financiación'!T40,IF($C$2=405,-'Ppto Financiación'!T49,IF($C$2=406,-'Ppto Financiación'!T58,IF($C$2=407,-'Ppto Financiación'!T67,IF($C$2=408,-'Ppto Financiación'!T77,IF($C$2=409,-'Ppto Financiación'!T87,IF($C$2=410,-'Ppto Financiación'!T98-'Ppto Financiación'!T101,IF($C$2=411,-'Ppto Financiación'!T109,0)))))))))))</f>
        <v>0</v>
      </c>
      <c r="X82" s="55">
        <f>-(IF($C$2=402,-'Ppto Financiación'!U19,IF($C$2=403,-'Ppto Financiación'!U31,IF($C$2=404,-'Ppto Financiación'!U40,IF($C$2=405,-'Ppto Financiación'!U49,IF($C$2=406,-'Ppto Financiación'!U58,IF($C$2=407,-'Ppto Financiación'!U67,IF($C$2=408,-'Ppto Financiación'!U77,IF($C$2=409,-'Ppto Financiación'!U87,IF($C$2=410,-'Ppto Financiación'!U98-'Ppto Financiación'!U101,IF($C$2=411,-'Ppto Financiación'!U109,0)))))))))))</f>
        <v>0</v>
      </c>
      <c r="Y82" s="55">
        <f>-(IF($C$2=402,-'Ppto Financiación'!V19,IF($C$2=403,-'Ppto Financiación'!V31,IF($C$2=404,-'Ppto Financiación'!V40,IF($C$2=405,-'Ppto Financiación'!V49,IF($C$2=406,-'Ppto Financiación'!V58,IF($C$2=407,-'Ppto Financiación'!V67,IF($C$2=408,-'Ppto Financiación'!V77,IF($C$2=409,-'Ppto Financiación'!V87,IF($C$2=410,-'Ppto Financiación'!V98-'Ppto Financiación'!V101,IF($C$2=411,-'Ppto Financiación'!V109,0)))))))))))</f>
        <v>0</v>
      </c>
      <c r="Z82" s="55">
        <f>-(IF($C$2=402,-'Ppto Financiación'!W19,IF($C$2=403,-'Ppto Financiación'!W31,IF($C$2=404,-'Ppto Financiación'!W40,IF($C$2=405,-'Ppto Financiación'!W49,IF($C$2=406,-'Ppto Financiación'!W58,IF($C$2=407,-'Ppto Financiación'!W67,IF($C$2=408,-'Ppto Financiación'!W77,IF($C$2=409,-'Ppto Financiación'!W87,IF($C$2=410,-'Ppto Financiación'!W98-'Ppto Financiación'!W101,IF($C$2=411,-'Ppto Financiación'!W109,0)))))))))))</f>
        <v>0</v>
      </c>
      <c r="AA82" s="55">
        <f>-(IF($C$2=402,-'Ppto Financiación'!X19,IF($C$2=403,-'Ppto Financiación'!X31,IF($C$2=404,-'Ppto Financiación'!X40,IF($C$2=405,-'Ppto Financiación'!X49,IF($C$2=406,-'Ppto Financiación'!X58,IF($C$2=407,-'Ppto Financiación'!X67,IF($C$2=408,-'Ppto Financiación'!X77,IF($C$2=409,-'Ppto Financiación'!X87,IF($C$2=410,-'Ppto Financiación'!X98-'Ppto Financiación'!X101,IF($C$2=411,-'Ppto Financiación'!X109,0)))))))))))</f>
        <v>0</v>
      </c>
      <c r="AB82" s="55">
        <f>-(IF($C$2=402,-'Ppto Financiación'!Y19,IF($C$2=403,-'Ppto Financiación'!Y31,IF($C$2=404,-'Ppto Financiación'!Y40,IF($C$2=405,-'Ppto Financiación'!Y49,IF($C$2=406,-'Ppto Financiación'!Y58,IF($C$2=407,-'Ppto Financiación'!Y67,IF($C$2=408,-'Ppto Financiación'!Y77,IF($C$2=409,-'Ppto Financiación'!Y87,IF($C$2=410,-'Ppto Financiación'!Y98-'Ppto Financiación'!Y101,IF($C$2=411,-'Ppto Financiación'!Y109,0)))))))))))</f>
        <v>0</v>
      </c>
      <c r="AC82" s="55">
        <f>-(IF($C$2=402,-'Ppto Financiación'!Z19,IF($C$2=403,-'Ppto Financiación'!Z31,IF($C$2=404,-'Ppto Financiación'!Z40,IF($C$2=405,-'Ppto Financiación'!Z49,IF($C$2=406,-'Ppto Financiación'!Z58,IF($C$2=407,-'Ppto Financiación'!Z67,IF($C$2=408,-'Ppto Financiación'!Z77,IF($C$2=409,-'Ppto Financiación'!Z87,IF($C$2=410,-'Ppto Financiación'!Z98-'Ppto Financiación'!Z101,IF($C$2=411,-'Ppto Financiación'!Z109,0)))))))))))</f>
        <v>0</v>
      </c>
      <c r="AD82" s="55">
        <f>-(IF($C$2=402,-'Ppto Financiación'!AA19,IF($C$2=403,-'Ppto Financiación'!AA31,IF($C$2=404,-'Ppto Financiación'!AA40,IF($C$2=405,-'Ppto Financiación'!AA49,IF($C$2=406,-'Ppto Financiación'!AA58,IF($C$2=407,-'Ppto Financiación'!AA67,IF($C$2=408,-'Ppto Financiación'!AA77,IF($C$2=409,-'Ppto Financiación'!AA87,IF($C$2=410,-'Ppto Financiación'!AA98-'Ppto Financiación'!AA101,IF($C$2=411,-'Ppto Financiación'!AA109,0)))))))))))</f>
        <v>0</v>
      </c>
      <c r="AE82" s="55">
        <f>-(IF($C$2=402,-'Ppto Financiación'!AB19,IF($C$2=403,-'Ppto Financiación'!AB31,IF($C$2=404,-'Ppto Financiación'!AB40,IF($C$2=405,-'Ppto Financiación'!AB49,IF($C$2=406,-'Ppto Financiación'!AB58,IF($C$2=407,-'Ppto Financiación'!AB67,IF($C$2=408,-'Ppto Financiación'!AB77,IF($C$2=409,-'Ppto Financiación'!AB87,IF($C$2=410,-'Ppto Financiación'!AB98-'Ppto Financiación'!AB101,IF($C$2=411,-'Ppto Financiación'!AB109,0)))))))))))</f>
        <v>0</v>
      </c>
    </row>
    <row r="83" spans="3:31" x14ac:dyDescent="0.25">
      <c r="C83" s="58" t="s">
        <v>58</v>
      </c>
      <c r="D83" s="58"/>
      <c r="E83" s="50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3:31" x14ac:dyDescent="0.25">
      <c r="C84" s="3" t="str">
        <f>'Ppto Inv_Dep y Amt'!A12</f>
        <v>Terrenos</v>
      </c>
      <c r="D84" s="3"/>
      <c r="E84" s="498"/>
      <c r="F84" s="3"/>
      <c r="G84" s="36">
        <f>'Ppto Inv_Dep y Amt'!C12</f>
        <v>0</v>
      </c>
      <c r="H84" s="36">
        <f>'Ppto Inv_Dep y Amt'!D12</f>
        <v>0</v>
      </c>
      <c r="I84" s="36">
        <f>'Ppto Inv_Dep y Amt'!E12</f>
        <v>0</v>
      </c>
      <c r="J84" s="36">
        <f>'Ppto Inv_Dep y Amt'!F12</f>
        <v>0</v>
      </c>
      <c r="K84" s="36">
        <f>'Ppto Inv_Dep y Amt'!G12</f>
        <v>0</v>
      </c>
      <c r="L84" s="36">
        <f>'Ppto Inv_Dep y Amt'!H12</f>
        <v>0</v>
      </c>
      <c r="M84" s="36">
        <f>'Ppto Inv_Dep y Amt'!I12</f>
        <v>0</v>
      </c>
      <c r="N84" s="36">
        <f>'Ppto Inv_Dep y Amt'!J12</f>
        <v>0</v>
      </c>
      <c r="O84" s="36">
        <f>'Ppto Inv_Dep y Amt'!K12</f>
        <v>0</v>
      </c>
      <c r="P84" s="36">
        <f>'Ppto Inv_Dep y Amt'!L12</f>
        <v>0</v>
      </c>
      <c r="Q84" s="36">
        <f>'Ppto Inv_Dep y Amt'!M12</f>
        <v>0</v>
      </c>
      <c r="R84" s="36">
        <f>'Ppto Inv_Dep y Amt'!N12</f>
        <v>0</v>
      </c>
      <c r="S84" s="36">
        <f>'Ppto Inv_Dep y Amt'!O12</f>
        <v>0</v>
      </c>
      <c r="T84" s="36">
        <f>'Ppto Inv_Dep y Amt'!P12</f>
        <v>0</v>
      </c>
      <c r="U84" s="36">
        <f>'Ppto Inv_Dep y Amt'!Q12</f>
        <v>0</v>
      </c>
      <c r="V84" s="36">
        <f>'Ppto Inv_Dep y Amt'!R12</f>
        <v>0</v>
      </c>
      <c r="W84" s="36">
        <f>'Ppto Inv_Dep y Amt'!S12</f>
        <v>0</v>
      </c>
      <c r="X84" s="36">
        <f>'Ppto Inv_Dep y Amt'!T12</f>
        <v>0</v>
      </c>
      <c r="Y84" s="36">
        <f>'Ppto Inv_Dep y Amt'!U12</f>
        <v>0</v>
      </c>
      <c r="Z84" s="36">
        <f>'Ppto Inv_Dep y Amt'!V12</f>
        <v>0</v>
      </c>
      <c r="AA84" s="36">
        <f>'Ppto Inv_Dep y Amt'!W12</f>
        <v>0</v>
      </c>
      <c r="AB84" s="36">
        <f>'Ppto Inv_Dep y Amt'!X12</f>
        <v>0</v>
      </c>
      <c r="AC84" s="36">
        <f>'Ppto Inv_Dep y Amt'!Y12</f>
        <v>0</v>
      </c>
      <c r="AD84" s="36">
        <f>'Ppto Inv_Dep y Amt'!Z12</f>
        <v>0</v>
      </c>
      <c r="AE84" s="36">
        <f>'Ppto Inv_Dep y Amt'!AA12</f>
        <v>0</v>
      </c>
    </row>
    <row r="85" spans="3:31" ht="15" customHeight="1" x14ac:dyDescent="0.25">
      <c r="C85" s="3" t="str">
        <f>+C55</f>
        <v>Adecuación de Infraestructura</v>
      </c>
      <c r="D85" s="3"/>
      <c r="E85" s="496">
        <v>0.90500000000000003</v>
      </c>
      <c r="F85" s="3"/>
      <c r="G85" s="36">
        <f>'Ppto Inv_Dep y Amt'!C15*E85</f>
        <v>108978037.50500001</v>
      </c>
      <c r="H85" s="36">
        <f>'Ppto Inv_Dep y Amt'!D15</f>
        <v>0</v>
      </c>
      <c r="I85" s="36">
        <f>'Ppto Inv_Dep y Amt'!E15</f>
        <v>0</v>
      </c>
      <c r="J85" s="36">
        <f>'Ppto Inv_Dep y Amt'!F15</f>
        <v>0</v>
      </c>
      <c r="K85" s="36">
        <f>'Ppto Inv_Dep y Amt'!G15</f>
        <v>0</v>
      </c>
      <c r="L85" s="36">
        <f>'Ppto Inv_Dep y Amt'!H15</f>
        <v>0</v>
      </c>
      <c r="M85" s="36">
        <f>'Ppto Inv_Dep y Amt'!I15</f>
        <v>0</v>
      </c>
      <c r="N85" s="36">
        <f>'Ppto Inv_Dep y Amt'!J15</f>
        <v>0</v>
      </c>
      <c r="O85" s="36">
        <f>'Ppto Inv_Dep y Amt'!K15</f>
        <v>0</v>
      </c>
      <c r="P85" s="36">
        <f>'Ppto Inv_Dep y Amt'!L15</f>
        <v>0</v>
      </c>
      <c r="Q85" s="36">
        <f>'Ppto Inv_Dep y Amt'!M15</f>
        <v>0</v>
      </c>
      <c r="R85" s="36">
        <f>'Ppto Inv_Dep y Amt'!N15</f>
        <v>0</v>
      </c>
      <c r="S85" s="36">
        <f>'Ppto Inv_Dep y Amt'!O15</f>
        <v>0</v>
      </c>
      <c r="T85" s="36">
        <f>'Ppto Inv_Dep y Amt'!P15</f>
        <v>0</v>
      </c>
      <c r="U85" s="36">
        <f>'Ppto Inv_Dep y Amt'!Q15</f>
        <v>0</v>
      </c>
      <c r="V85" s="36">
        <f>'Ppto Inv_Dep y Amt'!R15</f>
        <v>0</v>
      </c>
      <c r="W85" s="36">
        <f>'Ppto Inv_Dep y Amt'!S15</f>
        <v>0</v>
      </c>
      <c r="X85" s="36">
        <f>'Ppto Inv_Dep y Amt'!T15</f>
        <v>0</v>
      </c>
      <c r="Y85" s="36">
        <f>'Ppto Inv_Dep y Amt'!U15</f>
        <v>0</v>
      </c>
      <c r="Z85" s="36">
        <f>'Ppto Inv_Dep y Amt'!V15</f>
        <v>0</v>
      </c>
      <c r="AA85" s="36">
        <f>'Ppto Inv_Dep y Amt'!W15</f>
        <v>0</v>
      </c>
      <c r="AB85" s="36">
        <f>'Ppto Inv_Dep y Amt'!X15</f>
        <v>0</v>
      </c>
      <c r="AC85" s="36">
        <f>'Ppto Inv_Dep y Amt'!Y15</f>
        <v>0</v>
      </c>
      <c r="AD85" s="36">
        <f>'Ppto Inv_Dep y Amt'!Z15</f>
        <v>0</v>
      </c>
      <c r="AE85" s="36">
        <f>'Ppto Inv_Dep y Amt'!AA15</f>
        <v>0</v>
      </c>
    </row>
    <row r="86" spans="3:31" ht="15" customHeight="1" x14ac:dyDescent="0.25">
      <c r="C86" s="14" t="str">
        <f t="shared" ref="C86" si="13">+C56</f>
        <v xml:space="preserve"> Equipos, Muebles y Enseres</v>
      </c>
      <c r="D86" s="3"/>
      <c r="E86" s="498"/>
      <c r="F86" s="3"/>
      <c r="G86" s="36">
        <f>+SUM(G87:G90)</f>
        <v>44297284.605000004</v>
      </c>
      <c r="H86" s="36">
        <f>'Ppto Inv_Dep y Amt'!D22</f>
        <v>0</v>
      </c>
      <c r="I86" s="36">
        <f>'Ppto Inv_Dep y Amt'!E22</f>
        <v>0</v>
      </c>
      <c r="J86" s="36">
        <f>'Ppto Inv_Dep y Amt'!F22</f>
        <v>0</v>
      </c>
      <c r="K86" s="36">
        <f>'Ppto Inv_Dep y Amt'!G22</f>
        <v>0</v>
      </c>
      <c r="L86" s="36">
        <f>'Ppto Inv_Dep y Amt'!H22</f>
        <v>0</v>
      </c>
      <c r="M86" s="36">
        <f>'Ppto Inv_Dep y Amt'!I22</f>
        <v>0</v>
      </c>
      <c r="N86" s="36">
        <f>'Ppto Inv_Dep y Amt'!J22</f>
        <v>0</v>
      </c>
      <c r="O86" s="36">
        <f>'Ppto Inv_Dep y Amt'!K22</f>
        <v>0</v>
      </c>
      <c r="P86" s="36">
        <f>'Ppto Inv_Dep y Amt'!L22</f>
        <v>0</v>
      </c>
      <c r="Q86" s="36">
        <f>'Ppto Inv_Dep y Amt'!M22</f>
        <v>0</v>
      </c>
      <c r="R86" s="36">
        <f>'Ppto Inv_Dep y Amt'!N22</f>
        <v>0</v>
      </c>
      <c r="S86" s="36">
        <f>'Ppto Inv_Dep y Amt'!O22</f>
        <v>0</v>
      </c>
      <c r="T86" s="36">
        <f>'Ppto Inv_Dep y Amt'!P22</f>
        <v>0</v>
      </c>
      <c r="U86" s="36">
        <f>'Ppto Inv_Dep y Amt'!Q22</f>
        <v>0</v>
      </c>
      <c r="V86" s="36">
        <f>'Ppto Inv_Dep y Amt'!R22</f>
        <v>0</v>
      </c>
      <c r="W86" s="36">
        <f>'Ppto Inv_Dep y Amt'!S22</f>
        <v>0</v>
      </c>
      <c r="X86" s="36">
        <f>'Ppto Inv_Dep y Amt'!T22</f>
        <v>0</v>
      </c>
      <c r="Y86" s="36">
        <f>'Ppto Inv_Dep y Amt'!U22</f>
        <v>0</v>
      </c>
      <c r="Z86" s="36">
        <f>'Ppto Inv_Dep y Amt'!V22</f>
        <v>0</v>
      </c>
      <c r="AA86" s="36">
        <f>'Ppto Inv_Dep y Amt'!W22</f>
        <v>0</v>
      </c>
      <c r="AB86" s="36">
        <f>'Ppto Inv_Dep y Amt'!X22</f>
        <v>0</v>
      </c>
      <c r="AC86" s="36">
        <f>'Ppto Inv_Dep y Amt'!Y22</f>
        <v>0</v>
      </c>
      <c r="AD86" s="36">
        <f>'Ppto Inv_Dep y Amt'!Z22</f>
        <v>0</v>
      </c>
      <c r="AE86" s="36">
        <f>'Ppto Inv_Dep y Amt'!AA22</f>
        <v>0</v>
      </c>
    </row>
    <row r="87" spans="3:31" ht="15" customHeight="1" x14ac:dyDescent="0.25">
      <c r="C87" s="508" t="s">
        <v>405</v>
      </c>
      <c r="D87" s="3"/>
      <c r="E87" s="496">
        <v>0.86099999999999999</v>
      </c>
      <c r="F87" s="3"/>
      <c r="G87" s="509">
        <f>+'[1]Muebles y enseres'!$D$9+'[1]Muebles y enseres'!$D$16*E87</f>
        <v>16223152.25</v>
      </c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3:31" ht="15" customHeight="1" x14ac:dyDescent="0.25">
      <c r="C88" s="508" t="s">
        <v>406</v>
      </c>
      <c r="D88" s="3"/>
      <c r="E88" s="496">
        <v>0.90100000000000002</v>
      </c>
      <c r="F88" s="3"/>
      <c r="G88" s="509">
        <f>+'[1]Articulos de cocina'!$D$21*E88</f>
        <v>2664671.46</v>
      </c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3:31" ht="15" customHeight="1" x14ac:dyDescent="0.25">
      <c r="C89" s="3" t="s">
        <v>407</v>
      </c>
      <c r="D89" s="3"/>
      <c r="E89" s="496">
        <v>0.78700000000000003</v>
      </c>
      <c r="F89" s="3"/>
      <c r="G89" s="509">
        <f>+'[1]Tera Recreativos y deportivos '!$D$38*E89</f>
        <v>16776073.695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3:31" ht="15" customHeight="1" x14ac:dyDescent="0.25">
      <c r="C90" s="3" t="s">
        <v>408</v>
      </c>
      <c r="D90" s="3"/>
      <c r="E90" s="496">
        <v>0.76</v>
      </c>
      <c r="F90" s="3"/>
      <c r="G90" s="509">
        <f>+'[1]artísticas y culturales '!$D$26*E90</f>
        <v>8633387.1999999993</v>
      </c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3:31" ht="15" customHeight="1" x14ac:dyDescent="0.25">
      <c r="C91" s="3" t="str">
        <f>+C57</f>
        <v>Empaques y Herramientas</v>
      </c>
      <c r="D91" s="3"/>
      <c r="E91" s="496"/>
      <c r="F91" s="3"/>
      <c r="G91" s="36">
        <f>'Ppto Inv_Dep y Amt'!C29</f>
        <v>0</v>
      </c>
      <c r="H91" s="36">
        <f>'Ppto Inv_Dep y Amt'!D29</f>
        <v>0</v>
      </c>
      <c r="I91" s="36">
        <f>'Ppto Inv_Dep y Amt'!E29</f>
        <v>0</v>
      </c>
      <c r="J91" s="36">
        <f>'Ppto Inv_Dep y Amt'!F29</f>
        <v>0</v>
      </c>
      <c r="K91" s="36">
        <f>'Ppto Inv_Dep y Amt'!G29</f>
        <v>0</v>
      </c>
      <c r="L91" s="36">
        <f>'Ppto Inv_Dep y Amt'!H29</f>
        <v>0</v>
      </c>
      <c r="M91" s="36">
        <f>'Ppto Inv_Dep y Amt'!I29</f>
        <v>0</v>
      </c>
      <c r="N91" s="36">
        <f>'Ppto Inv_Dep y Amt'!J29</f>
        <v>0</v>
      </c>
      <c r="O91" s="36">
        <f>'Ppto Inv_Dep y Amt'!K29</f>
        <v>0</v>
      </c>
      <c r="P91" s="36">
        <f>'Ppto Inv_Dep y Amt'!L29</f>
        <v>0</v>
      </c>
      <c r="Q91" s="36">
        <f>'Ppto Inv_Dep y Amt'!M29</f>
        <v>0</v>
      </c>
      <c r="R91" s="36">
        <f>'Ppto Inv_Dep y Amt'!N29</f>
        <v>0</v>
      </c>
      <c r="S91" s="36">
        <f>'Ppto Inv_Dep y Amt'!O29</f>
        <v>0</v>
      </c>
      <c r="T91" s="36">
        <f>'Ppto Inv_Dep y Amt'!P29</f>
        <v>0</v>
      </c>
      <c r="U91" s="36">
        <f>'Ppto Inv_Dep y Amt'!Q29</f>
        <v>0</v>
      </c>
      <c r="V91" s="36">
        <f>'Ppto Inv_Dep y Amt'!R29</f>
        <v>0</v>
      </c>
      <c r="W91" s="36">
        <f>'Ppto Inv_Dep y Amt'!S29</f>
        <v>0</v>
      </c>
      <c r="X91" s="36">
        <f>'Ppto Inv_Dep y Amt'!T29</f>
        <v>0</v>
      </c>
      <c r="Y91" s="36">
        <f>'Ppto Inv_Dep y Amt'!U29</f>
        <v>0</v>
      </c>
      <c r="Z91" s="36">
        <f>'Ppto Inv_Dep y Amt'!V29</f>
        <v>0</v>
      </c>
      <c r="AA91" s="36">
        <f>'Ppto Inv_Dep y Amt'!W29</f>
        <v>0</v>
      </c>
      <c r="AB91" s="36">
        <f>'Ppto Inv_Dep y Amt'!X29</f>
        <v>0</v>
      </c>
      <c r="AC91" s="36">
        <f>'Ppto Inv_Dep y Amt'!Y29</f>
        <v>0</v>
      </c>
      <c r="AD91" s="36">
        <f>'Ppto Inv_Dep y Amt'!Z29</f>
        <v>0</v>
      </c>
      <c r="AE91" s="36">
        <f>'Ppto Inv_Dep y Amt'!AA29</f>
        <v>0</v>
      </c>
    </row>
    <row r="92" spans="3:31" ht="15" customHeight="1" x14ac:dyDescent="0.25">
      <c r="C92" s="14" t="str">
        <f>+C58</f>
        <v>Equipos de Computo, Comunicaciones, Redes de Datos</v>
      </c>
      <c r="D92" s="3"/>
      <c r="E92" s="496">
        <v>0.99099999999999999</v>
      </c>
      <c r="F92" s="3"/>
      <c r="G92" s="36">
        <f>'Ppto Inv_Dep y Amt'!C36*E92</f>
        <v>14478559.550000001</v>
      </c>
      <c r="H92" s="36">
        <f>'Ppto Inv_Dep y Amt'!D36</f>
        <v>0</v>
      </c>
      <c r="I92" s="36">
        <f>'Ppto Inv_Dep y Amt'!E36</f>
        <v>0</v>
      </c>
      <c r="J92" s="36">
        <f>'Ppto Inv_Dep y Amt'!F36</f>
        <v>0</v>
      </c>
      <c r="K92" s="36">
        <f>'Ppto Inv_Dep y Amt'!G36</f>
        <v>0</v>
      </c>
      <c r="L92" s="36">
        <f>'Ppto Inv_Dep y Amt'!H36</f>
        <v>0</v>
      </c>
      <c r="M92" s="36">
        <f>'Ppto Inv_Dep y Amt'!I36</f>
        <v>0</v>
      </c>
      <c r="N92" s="36">
        <f>'Ppto Inv_Dep y Amt'!J36</f>
        <v>0</v>
      </c>
      <c r="O92" s="36">
        <f>'Ppto Inv_Dep y Amt'!K36</f>
        <v>0</v>
      </c>
      <c r="P92" s="36">
        <f>'Ppto Inv_Dep y Amt'!L36</f>
        <v>0</v>
      </c>
      <c r="Q92" s="36">
        <f>'Ppto Inv_Dep y Amt'!M36</f>
        <v>0</v>
      </c>
      <c r="R92" s="36">
        <f>'Ppto Inv_Dep y Amt'!N36</f>
        <v>0</v>
      </c>
      <c r="S92" s="36">
        <f>'Ppto Inv_Dep y Amt'!O36</f>
        <v>0</v>
      </c>
      <c r="T92" s="36">
        <f>'Ppto Inv_Dep y Amt'!P36</f>
        <v>0</v>
      </c>
      <c r="U92" s="36">
        <f>'Ppto Inv_Dep y Amt'!Q36</f>
        <v>0</v>
      </c>
      <c r="V92" s="36">
        <f>'Ppto Inv_Dep y Amt'!R36</f>
        <v>0</v>
      </c>
      <c r="W92" s="36">
        <f>'Ppto Inv_Dep y Amt'!S36</f>
        <v>0</v>
      </c>
      <c r="X92" s="36">
        <f>'Ppto Inv_Dep y Amt'!T36</f>
        <v>0</v>
      </c>
      <c r="Y92" s="36">
        <f>'Ppto Inv_Dep y Amt'!U36</f>
        <v>0</v>
      </c>
      <c r="Z92" s="36">
        <f>'Ppto Inv_Dep y Amt'!V36</f>
        <v>0</v>
      </c>
      <c r="AA92" s="36">
        <f>'Ppto Inv_Dep y Amt'!W36</f>
        <v>0</v>
      </c>
      <c r="AB92" s="36">
        <f>'Ppto Inv_Dep y Amt'!X36</f>
        <v>0</v>
      </c>
      <c r="AC92" s="36">
        <f>'Ppto Inv_Dep y Amt'!Y36</f>
        <v>0</v>
      </c>
      <c r="AD92" s="36">
        <f>'Ppto Inv_Dep y Amt'!Z36</f>
        <v>0</v>
      </c>
      <c r="AE92" s="36">
        <f>'Ppto Inv_Dep y Amt'!AA36</f>
        <v>0</v>
      </c>
    </row>
    <row r="93" spans="3:31" ht="15" hidden="1" customHeight="1" x14ac:dyDescent="0.25">
      <c r="C93" s="3" t="str">
        <f>+C59</f>
        <v>Licencias</v>
      </c>
      <c r="D93" s="3"/>
      <c r="E93" s="498"/>
      <c r="F93" s="3"/>
      <c r="G93" s="36">
        <f>'Ppto Inv_Dep y Amt'!C45</f>
        <v>0</v>
      </c>
      <c r="H93" s="36">
        <f>'Ppto Inv_Dep y Amt'!D45</f>
        <v>0</v>
      </c>
      <c r="I93" s="36">
        <f>'Ppto Inv_Dep y Amt'!E45</f>
        <v>0</v>
      </c>
      <c r="J93" s="36">
        <f>'Ppto Inv_Dep y Amt'!F45</f>
        <v>0</v>
      </c>
      <c r="K93" s="36">
        <f>'Ppto Inv_Dep y Amt'!G45</f>
        <v>0</v>
      </c>
      <c r="L93" s="36">
        <f>'Ppto Inv_Dep y Amt'!H45</f>
        <v>0</v>
      </c>
      <c r="M93" s="36">
        <f>'Ppto Inv_Dep y Amt'!I45</f>
        <v>0</v>
      </c>
      <c r="N93" s="36">
        <f>'Ppto Inv_Dep y Amt'!J45</f>
        <v>0</v>
      </c>
      <c r="O93" s="36">
        <f>'Ppto Inv_Dep y Amt'!K45</f>
        <v>0</v>
      </c>
      <c r="P93" s="36">
        <f>'Ppto Inv_Dep y Amt'!L45</f>
        <v>0</v>
      </c>
      <c r="Q93" s="36">
        <f>'Ppto Inv_Dep y Amt'!M45</f>
        <v>0</v>
      </c>
      <c r="R93" s="36">
        <f>'Ppto Inv_Dep y Amt'!N45</f>
        <v>0</v>
      </c>
      <c r="S93" s="36">
        <f>'Ppto Inv_Dep y Amt'!O45</f>
        <v>0</v>
      </c>
      <c r="T93" s="36">
        <f>'Ppto Inv_Dep y Amt'!P45</f>
        <v>0</v>
      </c>
      <c r="U93" s="36">
        <f>'Ppto Inv_Dep y Amt'!Q45</f>
        <v>0</v>
      </c>
      <c r="V93" s="36">
        <f>'Ppto Inv_Dep y Amt'!R45</f>
        <v>0</v>
      </c>
      <c r="W93" s="36">
        <f>'Ppto Inv_Dep y Amt'!S45</f>
        <v>0</v>
      </c>
      <c r="X93" s="36">
        <f>'Ppto Inv_Dep y Amt'!T45</f>
        <v>0</v>
      </c>
      <c r="Y93" s="36">
        <f>'Ppto Inv_Dep y Amt'!U45</f>
        <v>0</v>
      </c>
      <c r="Z93" s="36">
        <f>'Ppto Inv_Dep y Amt'!V45</f>
        <v>0</v>
      </c>
      <c r="AA93" s="36">
        <f>'Ppto Inv_Dep y Amt'!W45</f>
        <v>0</v>
      </c>
      <c r="AB93" s="36">
        <f>'Ppto Inv_Dep y Amt'!X45</f>
        <v>0</v>
      </c>
      <c r="AC93" s="36">
        <f>'Ppto Inv_Dep y Amt'!Y45</f>
        <v>0</v>
      </c>
      <c r="AD93" s="36">
        <f>'Ppto Inv_Dep y Amt'!Z45</f>
        <v>0</v>
      </c>
      <c r="AE93" s="36">
        <f>'Ppto Inv_Dep y Amt'!AA45</f>
        <v>0</v>
      </c>
    </row>
    <row r="94" spans="3:31" ht="15" hidden="1" customHeight="1" x14ac:dyDescent="0.25">
      <c r="C94" s="3" t="str">
        <f>+C60</f>
        <v>Estudios</v>
      </c>
      <c r="D94" s="3"/>
      <c r="E94" s="498"/>
      <c r="F94" s="3"/>
      <c r="G94" s="36">
        <f>'Ppto Inv_Dep y Amt'!C51</f>
        <v>0</v>
      </c>
      <c r="H94" s="36">
        <f>'Ppto Inv_Dep y Amt'!D51</f>
        <v>0</v>
      </c>
      <c r="I94" s="36">
        <f>'Ppto Inv_Dep y Amt'!E51</f>
        <v>0</v>
      </c>
      <c r="J94" s="36">
        <f>'Ppto Inv_Dep y Amt'!F51</f>
        <v>0</v>
      </c>
      <c r="K94" s="36">
        <f>'Ppto Inv_Dep y Amt'!G51</f>
        <v>0</v>
      </c>
      <c r="L94" s="36">
        <f>'Ppto Inv_Dep y Amt'!H51</f>
        <v>0</v>
      </c>
      <c r="M94" s="36">
        <f>'Ppto Inv_Dep y Amt'!I51</f>
        <v>0</v>
      </c>
      <c r="N94" s="36">
        <f>'Ppto Inv_Dep y Amt'!J51</f>
        <v>0</v>
      </c>
      <c r="O94" s="36">
        <f>'Ppto Inv_Dep y Amt'!K51</f>
        <v>0</v>
      </c>
      <c r="P94" s="36">
        <f>'Ppto Inv_Dep y Amt'!L51</f>
        <v>0</v>
      </c>
      <c r="Q94" s="36">
        <f>'Ppto Inv_Dep y Amt'!M51</f>
        <v>0</v>
      </c>
      <c r="R94" s="36">
        <f>'Ppto Inv_Dep y Amt'!N51</f>
        <v>0</v>
      </c>
      <c r="S94" s="36">
        <f>'Ppto Inv_Dep y Amt'!O51</f>
        <v>0</v>
      </c>
      <c r="T94" s="36">
        <f>'Ppto Inv_Dep y Amt'!P51</f>
        <v>0</v>
      </c>
      <c r="U94" s="36">
        <f>'Ppto Inv_Dep y Amt'!Q51</f>
        <v>0</v>
      </c>
      <c r="V94" s="36">
        <f>'Ppto Inv_Dep y Amt'!R51</f>
        <v>0</v>
      </c>
      <c r="W94" s="36">
        <f>'Ppto Inv_Dep y Amt'!S51</f>
        <v>0</v>
      </c>
      <c r="X94" s="36">
        <f>'Ppto Inv_Dep y Amt'!T51</f>
        <v>0</v>
      </c>
      <c r="Y94" s="36">
        <f>'Ppto Inv_Dep y Amt'!U51</f>
        <v>0</v>
      </c>
      <c r="Z94" s="36">
        <f>'Ppto Inv_Dep y Amt'!V51</f>
        <v>0</v>
      </c>
      <c r="AA94" s="36">
        <f>'Ppto Inv_Dep y Amt'!W51</f>
        <v>0</v>
      </c>
      <c r="AB94" s="36">
        <f>'Ppto Inv_Dep y Amt'!X51</f>
        <v>0</v>
      </c>
      <c r="AC94" s="36">
        <f>'Ppto Inv_Dep y Amt'!Y51</f>
        <v>0</v>
      </c>
      <c r="AD94" s="36">
        <f>'Ppto Inv_Dep y Amt'!Z51</f>
        <v>0</v>
      </c>
      <c r="AE94" s="36">
        <f>'Ppto Inv_Dep y Amt'!AA51</f>
        <v>0</v>
      </c>
    </row>
    <row r="95" spans="3:31" ht="15" hidden="1" customHeight="1" x14ac:dyDescent="0.25">
      <c r="C95" s="3" t="str">
        <f>+C61</f>
        <v>Franquicias</v>
      </c>
      <c r="D95" s="3"/>
      <c r="E95" s="498"/>
      <c r="F95" s="3"/>
      <c r="G95" s="36">
        <f>'Ppto Inv_Dep y Amt'!C57</f>
        <v>0</v>
      </c>
      <c r="H95" s="36">
        <f>'Ppto Inv_Dep y Amt'!D57</f>
        <v>0</v>
      </c>
      <c r="I95" s="36">
        <f>'Ppto Inv_Dep y Amt'!E57</f>
        <v>0</v>
      </c>
      <c r="J95" s="36">
        <f>'Ppto Inv_Dep y Amt'!F57</f>
        <v>0</v>
      </c>
      <c r="K95" s="36">
        <f>'Ppto Inv_Dep y Amt'!G57</f>
        <v>0</v>
      </c>
      <c r="L95" s="36">
        <f>'Ppto Inv_Dep y Amt'!H57</f>
        <v>0</v>
      </c>
      <c r="M95" s="36">
        <f>'Ppto Inv_Dep y Amt'!I57</f>
        <v>0</v>
      </c>
      <c r="N95" s="36">
        <f>'Ppto Inv_Dep y Amt'!J57</f>
        <v>0</v>
      </c>
      <c r="O95" s="36">
        <f>'Ppto Inv_Dep y Amt'!K57</f>
        <v>0</v>
      </c>
      <c r="P95" s="36">
        <f>'Ppto Inv_Dep y Amt'!L57</f>
        <v>0</v>
      </c>
      <c r="Q95" s="36">
        <f>'Ppto Inv_Dep y Amt'!M57</f>
        <v>0</v>
      </c>
      <c r="R95" s="36">
        <f>'Ppto Inv_Dep y Amt'!N57</f>
        <v>0</v>
      </c>
      <c r="S95" s="36">
        <f>'Ppto Inv_Dep y Amt'!O57</f>
        <v>0</v>
      </c>
      <c r="T95" s="36">
        <f>'Ppto Inv_Dep y Amt'!P57</f>
        <v>0</v>
      </c>
      <c r="U95" s="36">
        <f>'Ppto Inv_Dep y Amt'!Q57</f>
        <v>0</v>
      </c>
      <c r="V95" s="36">
        <f>'Ppto Inv_Dep y Amt'!R57</f>
        <v>0</v>
      </c>
      <c r="W95" s="36">
        <f>'Ppto Inv_Dep y Amt'!S57</f>
        <v>0</v>
      </c>
      <c r="X95" s="36">
        <f>'Ppto Inv_Dep y Amt'!T57</f>
        <v>0</v>
      </c>
      <c r="Y95" s="36">
        <f>'Ppto Inv_Dep y Amt'!U57</f>
        <v>0</v>
      </c>
      <c r="Z95" s="36">
        <f>'Ppto Inv_Dep y Amt'!V57</f>
        <v>0</v>
      </c>
      <c r="AA95" s="36">
        <f>'Ppto Inv_Dep y Amt'!W57</f>
        <v>0</v>
      </c>
      <c r="AB95" s="36">
        <f>'Ppto Inv_Dep y Amt'!X57</f>
        <v>0</v>
      </c>
      <c r="AC95" s="36">
        <f>'Ppto Inv_Dep y Amt'!Y57</f>
        <v>0</v>
      </c>
      <c r="AD95" s="36">
        <f>'Ppto Inv_Dep y Amt'!Z57</f>
        <v>0</v>
      </c>
      <c r="AE95" s="36">
        <f>'Ppto Inv_Dep y Amt'!AA57</f>
        <v>0</v>
      </c>
    </row>
    <row r="96" spans="3:31" hidden="1" x14ac:dyDescent="0.25">
      <c r="C96" s="3"/>
      <c r="D96" s="3"/>
      <c r="E96" s="498"/>
      <c r="F96" s="3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3:31" x14ac:dyDescent="0.25">
      <c r="C97" s="465" t="s">
        <v>150</v>
      </c>
      <c r="D97" s="465"/>
      <c r="E97" s="512"/>
      <c r="F97" s="465"/>
      <c r="G97" s="466"/>
      <c r="H97" s="466">
        <f>-'Capital de Trabajo'!D5</f>
        <v>-132000000</v>
      </c>
      <c r="I97" s="466">
        <f>-'Capital de Trabajo'!E5</f>
        <v>-136620000</v>
      </c>
      <c r="J97" s="466">
        <f>-'Capital de Trabajo'!F5</f>
        <v>-141401700</v>
      </c>
      <c r="K97" s="466">
        <f>-'Capital de Trabajo'!G5</f>
        <v>-146350759.5</v>
      </c>
      <c r="L97" s="466">
        <f>-'Capital de Trabajo'!H5</f>
        <v>-151473036.08250001</v>
      </c>
      <c r="M97" s="466"/>
      <c r="N97" s="466"/>
      <c r="O97" s="466"/>
      <c r="P97" s="466"/>
      <c r="Q97" s="466"/>
      <c r="R97" s="466"/>
      <c r="S97" s="466"/>
      <c r="T97" s="466"/>
      <c r="U97" s="466"/>
      <c r="V97" s="466"/>
      <c r="W97" s="466"/>
      <c r="X97" s="466"/>
      <c r="Y97" s="466"/>
      <c r="Z97" s="466"/>
      <c r="AA97" s="466"/>
      <c r="AB97" s="466"/>
      <c r="AC97" s="466"/>
      <c r="AD97" s="466"/>
      <c r="AE97" s="466"/>
    </row>
    <row r="98" spans="3:31" x14ac:dyDescent="0.25">
      <c r="C98" s="465" t="s">
        <v>151</v>
      </c>
      <c r="D98" s="465"/>
      <c r="E98" s="512"/>
      <c r="F98" s="465"/>
      <c r="G98" s="466"/>
      <c r="H98" s="466"/>
      <c r="I98" s="466"/>
      <c r="J98" s="466"/>
      <c r="K98" s="466"/>
      <c r="L98" s="466"/>
      <c r="M98" s="466"/>
      <c r="N98" s="466"/>
      <c r="O98" s="466"/>
      <c r="P98" s="466"/>
      <c r="Q98" s="466"/>
      <c r="R98" s="466"/>
      <c r="S98" s="466"/>
      <c r="T98" s="466"/>
      <c r="U98" s="466"/>
      <c r="V98" s="466"/>
      <c r="W98" s="466"/>
      <c r="X98" s="466"/>
      <c r="Y98" s="466"/>
      <c r="Z98" s="466"/>
      <c r="AA98" s="466"/>
      <c r="AB98" s="466"/>
      <c r="AC98" s="466"/>
      <c r="AD98" s="466"/>
      <c r="AE98" s="466"/>
    </row>
    <row r="99" spans="3:31" x14ac:dyDescent="0.25">
      <c r="C99" s="52" t="s">
        <v>59</v>
      </c>
      <c r="D99" s="52"/>
      <c r="E99" s="513"/>
      <c r="F99" s="52"/>
      <c r="G99" s="37">
        <f>G92+G86+G85</f>
        <v>167753881.66000003</v>
      </c>
      <c r="H99" s="37">
        <f t="shared" ref="H99:AE99" si="14">SUM(H84:H98)</f>
        <v>-132000000</v>
      </c>
      <c r="I99" s="37">
        <f t="shared" si="14"/>
        <v>-136620000</v>
      </c>
      <c r="J99" s="37">
        <f t="shared" si="14"/>
        <v>-141401700</v>
      </c>
      <c r="K99" s="37">
        <f t="shared" si="14"/>
        <v>-146350759.5</v>
      </c>
      <c r="L99" s="37">
        <f t="shared" si="14"/>
        <v>-151473036.08250001</v>
      </c>
      <c r="M99" s="37">
        <f t="shared" si="14"/>
        <v>0</v>
      </c>
      <c r="N99" s="37">
        <f t="shared" si="14"/>
        <v>0</v>
      </c>
      <c r="O99" s="37">
        <f t="shared" si="14"/>
        <v>0</v>
      </c>
      <c r="P99" s="37">
        <f t="shared" si="14"/>
        <v>0</v>
      </c>
      <c r="Q99" s="37">
        <f t="shared" si="14"/>
        <v>0</v>
      </c>
      <c r="R99" s="37">
        <f t="shared" si="14"/>
        <v>0</v>
      </c>
      <c r="S99" s="37">
        <f t="shared" si="14"/>
        <v>0</v>
      </c>
      <c r="T99" s="37">
        <f t="shared" si="14"/>
        <v>0</v>
      </c>
      <c r="U99" s="37">
        <f t="shared" si="14"/>
        <v>0</v>
      </c>
      <c r="V99" s="37">
        <f t="shared" si="14"/>
        <v>0</v>
      </c>
      <c r="W99" s="37">
        <f t="shared" si="14"/>
        <v>0</v>
      </c>
      <c r="X99" s="37">
        <f t="shared" si="14"/>
        <v>0</v>
      </c>
      <c r="Y99" s="37">
        <f t="shared" si="14"/>
        <v>0</v>
      </c>
      <c r="Z99" s="37">
        <f t="shared" si="14"/>
        <v>0</v>
      </c>
      <c r="AA99" s="37">
        <f t="shared" si="14"/>
        <v>0</v>
      </c>
      <c r="AB99" s="37">
        <f t="shared" si="14"/>
        <v>0</v>
      </c>
      <c r="AC99" s="37">
        <f t="shared" si="14"/>
        <v>0</v>
      </c>
      <c r="AD99" s="37">
        <f t="shared" si="14"/>
        <v>0</v>
      </c>
      <c r="AE99" s="37">
        <f t="shared" si="14"/>
        <v>0</v>
      </c>
    </row>
    <row r="100" spans="3:31" x14ac:dyDescent="0.25">
      <c r="C100" s="3" t="s">
        <v>115</v>
      </c>
      <c r="D100" s="98" t="str">
        <f>IF(C2=401,"DEL PROYECTO","DEL INVERSIONISTA")</f>
        <v>DEL PROYECTO</v>
      </c>
      <c r="E100" s="515"/>
      <c r="F100" s="3"/>
      <c r="G100" s="37">
        <f t="shared" ref="G100:AE100" si="15">+G78+G80+G81-G82-G99</f>
        <v>-167753881.66000003</v>
      </c>
      <c r="H100" s="37">
        <f t="shared" si="15"/>
        <v>-63888083.409999996</v>
      </c>
      <c r="I100" s="37">
        <f t="shared" si="15"/>
        <v>-64130296</v>
      </c>
      <c r="J100" s="37">
        <f t="shared" si="15"/>
        <v>-60685692</v>
      </c>
      <c r="K100" s="37">
        <f t="shared" si="15"/>
        <v>-56532528.5</v>
      </c>
      <c r="L100" s="37">
        <f t="shared" si="15"/>
        <v>-50762947.917499989</v>
      </c>
      <c r="M100" s="37">
        <f t="shared" si="15"/>
        <v>0</v>
      </c>
      <c r="N100" s="37">
        <f t="shared" si="15"/>
        <v>0</v>
      </c>
      <c r="O100" s="37">
        <f t="shared" si="15"/>
        <v>0</v>
      </c>
      <c r="P100" s="37">
        <f t="shared" si="15"/>
        <v>0</v>
      </c>
      <c r="Q100" s="37">
        <f t="shared" si="15"/>
        <v>0</v>
      </c>
      <c r="R100" s="37">
        <f t="shared" si="15"/>
        <v>0</v>
      </c>
      <c r="S100" s="37">
        <f t="shared" si="15"/>
        <v>0</v>
      </c>
      <c r="T100" s="37">
        <f t="shared" si="15"/>
        <v>0</v>
      </c>
      <c r="U100" s="37">
        <f t="shared" si="15"/>
        <v>0</v>
      </c>
      <c r="V100" s="37">
        <f t="shared" si="15"/>
        <v>0</v>
      </c>
      <c r="W100" s="37">
        <f t="shared" si="15"/>
        <v>0</v>
      </c>
      <c r="X100" s="37">
        <f t="shared" si="15"/>
        <v>0</v>
      </c>
      <c r="Y100" s="37">
        <f t="shared" si="15"/>
        <v>0</v>
      </c>
      <c r="Z100" s="37">
        <f t="shared" si="15"/>
        <v>0</v>
      </c>
      <c r="AA100" s="37">
        <f t="shared" si="15"/>
        <v>0</v>
      </c>
      <c r="AB100" s="37">
        <f t="shared" si="15"/>
        <v>0</v>
      </c>
      <c r="AC100" s="37">
        <f t="shared" si="15"/>
        <v>0</v>
      </c>
      <c r="AD100" s="37">
        <f t="shared" si="15"/>
        <v>0</v>
      </c>
      <c r="AE100" s="37">
        <f t="shared" si="15"/>
        <v>0</v>
      </c>
    </row>
    <row r="101" spans="3:31" x14ac:dyDescent="0.25">
      <c r="C101" s="3" t="s">
        <v>61</v>
      </c>
      <c r="D101" s="3"/>
      <c r="E101" s="512"/>
      <c r="F101" s="22">
        <v>0.1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3:31" x14ac:dyDescent="0.25">
      <c r="C102" s="3" t="s">
        <v>103</v>
      </c>
      <c r="D102" s="3"/>
      <c r="E102" s="512"/>
      <c r="F102" s="22">
        <v>0.1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3:31" x14ac:dyDescent="0.25">
      <c r="C103" s="3" t="s">
        <v>62</v>
      </c>
      <c r="D103" s="3"/>
      <c r="E103" s="516" t="e">
        <f>IRR(F100:K100)</f>
        <v>#NUM!</v>
      </c>
      <c r="F103" s="25" t="s">
        <v>361</v>
      </c>
      <c r="G103" s="495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3:31" ht="26.25" x14ac:dyDescent="0.4">
      <c r="C104" s="101" t="str">
        <f>IF(E101=E102,"TER","TIRM")</f>
        <v>TER</v>
      </c>
      <c r="D104" s="3"/>
      <c r="E104" s="516">
        <f>MIRR(G100:L100,F101,F102)</f>
        <v>-1</v>
      </c>
      <c r="F104" s="470" t="str">
        <f>+F103</f>
        <v>5 años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3:31" x14ac:dyDescent="0.25">
      <c r="C105" s="3" t="s">
        <v>63</v>
      </c>
      <c r="D105" s="3"/>
      <c r="E105" s="517">
        <f>NPV(F101,G100:K100)</f>
        <v>-330037034.8629415</v>
      </c>
      <c r="F105" s="470" t="str">
        <f t="shared" ref="F105:F106" si="16">+F104</f>
        <v>5 años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3:31" ht="15" customHeight="1" x14ac:dyDescent="0.25">
      <c r="C106" s="3" t="str">
        <f>IF(E106&lt;0,"CAUE","BAUE")</f>
        <v>CAUE</v>
      </c>
      <c r="D106" s="3"/>
      <c r="E106" s="517">
        <f>PMT(TIO,L5,-VPN)</f>
        <v>-87062938.365811527</v>
      </c>
      <c r="F106" s="470" t="str">
        <f t="shared" si="16"/>
        <v>5 años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3:31" ht="15" customHeight="1" x14ac:dyDescent="0.25">
      <c r="C107" s="3" t="s">
        <v>45</v>
      </c>
      <c r="D107" s="136">
        <f>-NPV(TIO,H107:L107)-G107</f>
        <v>394560535.13255274</v>
      </c>
      <c r="E107" s="517"/>
      <c r="G107" s="37">
        <f>+IF(FC_0&lt;0,FC_0,0)</f>
        <v>-167753881.66000003</v>
      </c>
      <c r="H107" s="37">
        <f>+IF(FC_1&lt;0,FC_1,0)</f>
        <v>-63888083.409999996</v>
      </c>
      <c r="I107" s="37">
        <f>+IF(FC_2&lt;0,FC_2,0)</f>
        <v>-64130296</v>
      </c>
      <c r="J107" s="37">
        <f>+IF(FC_3&lt;0,FC_3,0)</f>
        <v>-60685692</v>
      </c>
      <c r="K107" s="37">
        <f>+IF(FC_4&lt;0,FC_4,0)</f>
        <v>-56532528.5</v>
      </c>
      <c r="L107" s="37">
        <f>+IF(FC_5&lt;0,FC_5,0)</f>
        <v>-50762947.917499989</v>
      </c>
      <c r="M107" s="37">
        <f t="shared" ref="M107:AD107" si="17">+IF(FC_6&lt;0,FC_6,0)</f>
        <v>0</v>
      </c>
      <c r="N107" s="37">
        <f t="shared" si="17"/>
        <v>0</v>
      </c>
      <c r="O107" s="37">
        <f t="shared" si="17"/>
        <v>0</v>
      </c>
      <c r="P107" s="37">
        <f t="shared" si="17"/>
        <v>0</v>
      </c>
      <c r="Q107" s="37">
        <f t="shared" si="17"/>
        <v>0</v>
      </c>
      <c r="R107" s="37">
        <f t="shared" si="17"/>
        <v>0</v>
      </c>
      <c r="S107" s="37">
        <f t="shared" si="17"/>
        <v>0</v>
      </c>
      <c r="T107" s="37">
        <f t="shared" si="17"/>
        <v>0</v>
      </c>
      <c r="U107" s="37">
        <f t="shared" si="17"/>
        <v>0</v>
      </c>
      <c r="V107" s="37">
        <f t="shared" si="17"/>
        <v>0</v>
      </c>
      <c r="W107" s="37">
        <f t="shared" si="17"/>
        <v>0</v>
      </c>
      <c r="X107" s="37">
        <f t="shared" si="17"/>
        <v>0</v>
      </c>
      <c r="Y107" s="37">
        <f t="shared" si="17"/>
        <v>0</v>
      </c>
      <c r="Z107" s="37">
        <f t="shared" si="17"/>
        <v>0</v>
      </c>
      <c r="AA107" s="37">
        <f t="shared" si="17"/>
        <v>0</v>
      </c>
      <c r="AB107" s="37">
        <f t="shared" si="17"/>
        <v>0</v>
      </c>
      <c r="AC107" s="37">
        <f t="shared" si="17"/>
        <v>0</v>
      </c>
      <c r="AD107" s="37">
        <f t="shared" si="17"/>
        <v>0</v>
      </c>
      <c r="AE107" s="37">
        <f t="shared" ref="AE107" si="18">+IF(FC_6&lt;0,FC_6,0)</f>
        <v>0</v>
      </c>
    </row>
    <row r="108" spans="3:31" ht="15" customHeight="1" x14ac:dyDescent="0.25">
      <c r="C108" s="3" t="s">
        <v>39</v>
      </c>
      <c r="D108" s="136">
        <f>NPV(TIO,H108:L108)+G108</f>
        <v>0</v>
      </c>
      <c r="E108" s="517"/>
      <c r="G108" s="37">
        <f>+IF(FC_0&gt;0,FC_0,0)</f>
        <v>0</v>
      </c>
      <c r="H108" s="37">
        <f>+IF(FC_1&gt;0,FC_1,0)</f>
        <v>0</v>
      </c>
      <c r="I108" s="37">
        <f>+IF(FC_2&gt;0,FC_2,0)</f>
        <v>0</v>
      </c>
      <c r="J108" s="37">
        <f>+IF(FC_3&gt;0,FC_3,0)</f>
        <v>0</v>
      </c>
      <c r="K108" s="37">
        <f>+IF(FC_4&gt;0,FC_4,0)</f>
        <v>0</v>
      </c>
      <c r="L108" s="37">
        <f>+IF(FC_5&gt;0,FC_5,0)</f>
        <v>0</v>
      </c>
      <c r="M108" s="37">
        <f t="shared" ref="M108:AD108" si="19">+IF(FC_6&gt;0,FC_6,0)</f>
        <v>0</v>
      </c>
      <c r="N108" s="37">
        <f t="shared" si="19"/>
        <v>0</v>
      </c>
      <c r="O108" s="37">
        <f t="shared" si="19"/>
        <v>0</v>
      </c>
      <c r="P108" s="37">
        <f t="shared" si="19"/>
        <v>0</v>
      </c>
      <c r="Q108" s="37">
        <f t="shared" si="19"/>
        <v>0</v>
      </c>
      <c r="R108" s="37">
        <f t="shared" si="19"/>
        <v>0</v>
      </c>
      <c r="S108" s="37">
        <f t="shared" si="19"/>
        <v>0</v>
      </c>
      <c r="T108" s="37">
        <f t="shared" si="19"/>
        <v>0</v>
      </c>
      <c r="U108" s="37">
        <f t="shared" si="19"/>
        <v>0</v>
      </c>
      <c r="V108" s="37">
        <f t="shared" si="19"/>
        <v>0</v>
      </c>
      <c r="W108" s="37">
        <f t="shared" si="19"/>
        <v>0</v>
      </c>
      <c r="X108" s="37">
        <f t="shared" si="19"/>
        <v>0</v>
      </c>
      <c r="Y108" s="37">
        <f t="shared" si="19"/>
        <v>0</v>
      </c>
      <c r="Z108" s="37">
        <f t="shared" si="19"/>
        <v>0</v>
      </c>
      <c r="AA108" s="37">
        <f t="shared" si="19"/>
        <v>0</v>
      </c>
      <c r="AB108" s="37">
        <f t="shared" si="19"/>
        <v>0</v>
      </c>
      <c r="AC108" s="37">
        <f t="shared" si="19"/>
        <v>0</v>
      </c>
      <c r="AD108" s="37">
        <f t="shared" si="19"/>
        <v>0</v>
      </c>
      <c r="AE108" s="37">
        <f t="shared" ref="AE108" si="20">+IF(FC_6&gt;0,FC_6,0)</f>
        <v>0</v>
      </c>
    </row>
    <row r="109" spans="3:31" x14ac:dyDescent="0.25">
      <c r="C109" s="3" t="s">
        <v>64</v>
      </c>
      <c r="E109" s="518">
        <f>+D108/D107</f>
        <v>0</v>
      </c>
      <c r="F109" s="470" t="str">
        <f>+F103</f>
        <v>5 años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3:31" x14ac:dyDescent="0.25">
      <c r="C110" s="3" t="s">
        <v>63</v>
      </c>
      <c r="D110" s="3"/>
      <c r="E110" s="519">
        <f>+D107-D108</f>
        <v>394560535.13255274</v>
      </c>
    </row>
    <row r="112" spans="3:31" ht="35.25" customHeight="1" x14ac:dyDescent="0.25">
      <c r="F112" s="65" t="s">
        <v>87</v>
      </c>
      <c r="G112" s="64">
        <f>FC_0</f>
        <v>-167753881.66000003</v>
      </c>
      <c r="H112" s="64">
        <f>NPV(F101,FC_1)+FC_0</f>
        <v>-225833957.48727274</v>
      </c>
      <c r="I112" s="64">
        <f>NPV(F101,$H$100:I100)+FC_0</f>
        <v>-278834202.11537194</v>
      </c>
      <c r="J112" s="64">
        <f>NPV(F101,$H$100:J100)+FC_0</f>
        <v>-324428260.71792638</v>
      </c>
      <c r="K112" s="64">
        <f>NPV(F101,$H$100:K100)+FC_0</f>
        <v>-363040738.34923571</v>
      </c>
      <c r="L112" s="64">
        <f>NPV(F101,$H$100:L100)+FC_0</f>
        <v>-394560535.13255274</v>
      </c>
      <c r="M112" s="64">
        <f>NPV(TIO,$H$100:M100)+FC_0</f>
        <v>-394560535.13255274</v>
      </c>
      <c r="N112" s="64">
        <f>NPV(TIO,$H$100:N100)+FC_0</f>
        <v>-394560535.13255274</v>
      </c>
      <c r="O112" s="64">
        <f>NPV(TIO,$H$100:O100)+FC_0</f>
        <v>-394560535.13255274</v>
      </c>
      <c r="P112" s="64">
        <f>NPV(TIO,$H$100:P100)+FC_0</f>
        <v>-394560535.13255274</v>
      </c>
      <c r="Q112" s="64">
        <f>NPV(TIO,$H$100:Q100)+FC_0</f>
        <v>-394560535.13255274</v>
      </c>
      <c r="R112" s="64">
        <f>NPV(TIO,$H$100:R100)+FC_0</f>
        <v>-394560535.13255274</v>
      </c>
      <c r="S112" s="64">
        <f>NPV(TIO,$H$100:S100)+FC_0</f>
        <v>-394560535.13255274</v>
      </c>
      <c r="T112" s="64">
        <f>NPV(TIO,$H$100:T100)+FC_0</f>
        <v>-394560535.13255274</v>
      </c>
      <c r="U112" s="64">
        <f>NPV(TIO,$H$100:U100)+FC_0</f>
        <v>-394560535.13255274</v>
      </c>
      <c r="V112" s="64">
        <f>NPV(TIO,$H$100:V100)+FC_0</f>
        <v>-394560535.13255274</v>
      </c>
      <c r="W112" s="64">
        <f>NPV(TIO,$H$100:W100)+FC_0</f>
        <v>-394560535.13255274</v>
      </c>
      <c r="X112" s="64">
        <f>NPV(TIO,$H$100:X100)+FC_0</f>
        <v>-394560535.13255274</v>
      </c>
      <c r="Y112" s="64">
        <f>NPV(TIO,$H$100:Y100)+FC_0</f>
        <v>-394560535.13255274</v>
      </c>
      <c r="Z112" s="64">
        <f>NPV(TIO,$H$100:Z100)+FC_0</f>
        <v>-394560535.13255274</v>
      </c>
      <c r="AA112" s="64">
        <f>NPV(TIO,$H$100:AA100)+FC_0</f>
        <v>-394560535.13255274</v>
      </c>
      <c r="AB112" s="64">
        <f>NPV(TIO,$H$100:AB100)+FC_0</f>
        <v>-394560535.13255274</v>
      </c>
      <c r="AC112" s="64">
        <f>NPV(TIO,$H$100:AC100)+FC_0</f>
        <v>-394560535.13255274</v>
      </c>
      <c r="AD112" s="64">
        <f>NPV(TIO,$H$100:AD100)+FC_0</f>
        <v>-394560535.13255274</v>
      </c>
      <c r="AE112" s="64">
        <f>NPV(TIO,$H$100:AE100)+FC_0</f>
        <v>-394560535.13255274</v>
      </c>
    </row>
    <row r="113" spans="4:16" ht="15" customHeight="1" x14ac:dyDescent="0.25">
      <c r="F113" s="126"/>
      <c r="G113" s="127"/>
      <c r="H113" s="127"/>
      <c r="I113" s="127"/>
      <c r="J113" s="127"/>
      <c r="K113" s="127"/>
      <c r="L113" s="127"/>
    </row>
    <row r="114" spans="4:16" ht="28.5" x14ac:dyDescent="0.45">
      <c r="F114" s="471" t="s">
        <v>246</v>
      </c>
    </row>
    <row r="115" spans="4:16" ht="15" customHeight="1" x14ac:dyDescent="0.25">
      <c r="F115" s="1" t="s">
        <v>127</v>
      </c>
      <c r="G115" s="472" t="s">
        <v>363</v>
      </c>
      <c r="H115" s="41">
        <v>1000000</v>
      </c>
      <c r="I115" s="41">
        <v>1000000</v>
      </c>
      <c r="J115" s="41">
        <v>1000000</v>
      </c>
      <c r="K115" s="41">
        <v>1000000</v>
      </c>
      <c r="L115" s="41">
        <v>1000000</v>
      </c>
      <c r="M115" s="41">
        <v>1000000</v>
      </c>
      <c r="N115" s="41">
        <v>1000000</v>
      </c>
      <c r="O115" s="41">
        <v>1000000</v>
      </c>
      <c r="P115" s="41">
        <v>1000000</v>
      </c>
    </row>
    <row r="116" spans="4:16" x14ac:dyDescent="0.25">
      <c r="F116" s="63">
        <f>+VPN</f>
        <v>-330037034.8629415</v>
      </c>
      <c r="G116" s="41">
        <v>20000000</v>
      </c>
      <c r="H116" s="44">
        <f>G116+H115</f>
        <v>21000000</v>
      </c>
      <c r="I116" s="44">
        <f t="shared" ref="I116:P116" si="21">H116+I115</f>
        <v>22000000</v>
      </c>
      <c r="J116" s="44">
        <f t="shared" si="21"/>
        <v>23000000</v>
      </c>
      <c r="K116" s="44">
        <f t="shared" si="21"/>
        <v>24000000</v>
      </c>
      <c r="L116" s="44">
        <f t="shared" si="21"/>
        <v>25000000</v>
      </c>
      <c r="M116" s="44">
        <f t="shared" si="21"/>
        <v>26000000</v>
      </c>
      <c r="N116" s="44">
        <f t="shared" si="21"/>
        <v>27000000</v>
      </c>
      <c r="O116" s="44">
        <f t="shared" si="21"/>
        <v>28000000</v>
      </c>
      <c r="P116" s="44">
        <f t="shared" si="21"/>
        <v>29000000</v>
      </c>
    </row>
    <row r="117" spans="4:16" x14ac:dyDescent="0.25">
      <c r="D117" s="22">
        <v>0.01</v>
      </c>
      <c r="E117" s="514"/>
      <c r="F117" s="22">
        <v>0.01</v>
      </c>
      <c r="G117" s="40">
        <v>-1139955530.8268075</v>
      </c>
      <c r="H117" s="40">
        <v>-1138965431.8169065</v>
      </c>
      <c r="I117" s="40">
        <v>-1137975332.8070054</v>
      </c>
      <c r="J117" s="40">
        <v>-1136985233.7971044</v>
      </c>
      <c r="K117" s="40">
        <v>-1135995134.7872036</v>
      </c>
      <c r="L117" s="40">
        <v>-1135005035.7773025</v>
      </c>
      <c r="M117" s="40">
        <v>-1134014936.7674017</v>
      </c>
      <c r="N117" s="40">
        <v>-1133024837.7575006</v>
      </c>
      <c r="O117" s="40">
        <v>-1132034738.7475996</v>
      </c>
      <c r="P117" s="40">
        <v>-1131044639.7376986</v>
      </c>
    </row>
    <row r="118" spans="4:16" x14ac:dyDescent="0.25">
      <c r="F118" s="142">
        <f>+F117+$D$117</f>
        <v>0.02</v>
      </c>
      <c r="G118" s="40">
        <v>-1111989409.7757761</v>
      </c>
      <c r="H118" s="40">
        <v>-1111009017.6189132</v>
      </c>
      <c r="I118" s="40">
        <v>-1110028625.4620504</v>
      </c>
      <c r="J118" s="40">
        <v>-1109048233.3051877</v>
      </c>
      <c r="K118" s="40">
        <v>-1108067841.148325</v>
      </c>
      <c r="L118" s="40">
        <v>-1107087448.9914622</v>
      </c>
      <c r="M118" s="40">
        <v>-1106107056.8345995</v>
      </c>
      <c r="N118" s="40">
        <v>-1105126664.6777368</v>
      </c>
      <c r="O118" s="40">
        <v>-1104146272.520874</v>
      </c>
      <c r="P118" s="40">
        <v>-1103165880.3640113</v>
      </c>
    </row>
    <row r="119" spans="4:16" x14ac:dyDescent="0.25">
      <c r="F119" s="142">
        <f t="shared" ref="F119:F140" si="22">+F118+$D$117</f>
        <v>0.03</v>
      </c>
      <c r="G119" s="40">
        <v>-1085273080.9223619</v>
      </c>
      <c r="H119" s="40">
        <v>-1084302207.1359544</v>
      </c>
      <c r="I119" s="40">
        <v>-1083331333.3495464</v>
      </c>
      <c r="J119" s="40">
        <v>-1082360459.5631387</v>
      </c>
      <c r="K119" s="40">
        <v>-1081389585.776731</v>
      </c>
      <c r="L119" s="40">
        <v>-1080418711.9903231</v>
      </c>
      <c r="M119" s="40">
        <v>-1079447838.2039154</v>
      </c>
      <c r="N119" s="40">
        <v>-1078476964.4175076</v>
      </c>
      <c r="O119" s="40">
        <v>-1077506090.6310997</v>
      </c>
      <c r="P119" s="40">
        <v>-1076535216.8446922</v>
      </c>
    </row>
    <row r="120" spans="4:16" x14ac:dyDescent="0.25">
      <c r="F120" s="142">
        <f t="shared" si="22"/>
        <v>0.04</v>
      </c>
      <c r="G120" s="40">
        <v>-1059735676.0008887</v>
      </c>
      <c r="H120" s="40">
        <v>-1058774137.5393503</v>
      </c>
      <c r="I120" s="40">
        <v>-1057812599.0778117</v>
      </c>
      <c r="J120" s="40">
        <v>-1056851060.6162733</v>
      </c>
      <c r="K120" s="40">
        <v>-1055889522.1547348</v>
      </c>
      <c r="L120" s="40">
        <v>-1054927983.6931964</v>
      </c>
      <c r="M120" s="40">
        <v>-1053966445.2316579</v>
      </c>
      <c r="N120" s="40">
        <v>-1053004906.7701194</v>
      </c>
      <c r="O120" s="40">
        <v>-1052043368.308581</v>
      </c>
      <c r="P120" s="40">
        <v>-1051081829.8470426</v>
      </c>
    </row>
    <row r="121" spans="4:16" x14ac:dyDescent="0.25">
      <c r="F121" s="142">
        <f t="shared" si="22"/>
        <v>0.05</v>
      </c>
      <c r="G121" s="40">
        <v>-1035311097.1986455</v>
      </c>
      <c r="H121" s="40">
        <v>-1034358716.2462646</v>
      </c>
      <c r="I121" s="40">
        <v>-1033406335.2938836</v>
      </c>
      <c r="J121" s="40">
        <v>-1032453954.3415027</v>
      </c>
      <c r="K121" s="40">
        <v>-1031501573.3891217</v>
      </c>
      <c r="L121" s="40">
        <v>-1030549192.4367408</v>
      </c>
      <c r="M121" s="40">
        <v>-1029596811.4843597</v>
      </c>
      <c r="N121" s="40">
        <v>-1028644430.5319788</v>
      </c>
      <c r="O121" s="40">
        <v>-1027692049.5795979</v>
      </c>
      <c r="P121" s="40">
        <v>-1026739668.6272171</v>
      </c>
    </row>
    <row r="122" spans="4:16" x14ac:dyDescent="0.25">
      <c r="F122" s="142">
        <f t="shared" si="22"/>
        <v>6.0000000000000005E-2</v>
      </c>
      <c r="G122" s="40">
        <v>-1011937649.1560146</v>
      </c>
      <c r="H122" s="40">
        <v>-1010994252.9295994</v>
      </c>
      <c r="I122" s="40">
        <v>-1010050856.7031844</v>
      </c>
      <c r="J122" s="40">
        <v>-1009107460.4767692</v>
      </c>
      <c r="K122" s="40">
        <v>-1008164064.2503542</v>
      </c>
      <c r="L122" s="40">
        <v>-1007220668.023939</v>
      </c>
      <c r="M122" s="40">
        <v>-1006277271.797524</v>
      </c>
      <c r="N122" s="40">
        <v>-1005333875.5711088</v>
      </c>
      <c r="O122" s="40">
        <v>-1004390479.3446938</v>
      </c>
      <c r="P122" s="40">
        <v>-1003447083.1182786</v>
      </c>
    </row>
    <row r="123" spans="4:16" x14ac:dyDescent="0.25">
      <c r="F123" s="142">
        <f t="shared" si="22"/>
        <v>7.0000000000000007E-2</v>
      </c>
      <c r="G123" s="40">
        <v>-989557702.78170455</v>
      </c>
      <c r="H123" s="40">
        <v>-988623123.34245217</v>
      </c>
      <c r="I123" s="40">
        <v>-987688543.90319979</v>
      </c>
      <c r="J123" s="40">
        <v>-986753964.46394753</v>
      </c>
      <c r="K123" s="40">
        <v>-985819385.02469516</v>
      </c>
      <c r="L123" s="40">
        <v>-984884805.58544278</v>
      </c>
      <c r="M123" s="40">
        <v>-983950226.14619052</v>
      </c>
      <c r="N123" s="40">
        <v>-983015646.70693815</v>
      </c>
      <c r="O123" s="40">
        <v>-982081067.26768577</v>
      </c>
      <c r="P123" s="40">
        <v>-981146487.82843351</v>
      </c>
    </row>
    <row r="124" spans="4:16" x14ac:dyDescent="0.25">
      <c r="F124" s="142">
        <f t="shared" si="22"/>
        <v>0.08</v>
      </c>
      <c r="G124" s="40">
        <v>-968117387.84827304</v>
      </c>
      <c r="H124" s="40">
        <v>-967191461.92234707</v>
      </c>
      <c r="I124" s="40">
        <v>-966265535.9964211</v>
      </c>
      <c r="J124" s="40">
        <v>-965339610.07049525</v>
      </c>
      <c r="K124" s="40">
        <v>-964413684.14456928</v>
      </c>
      <c r="L124" s="40">
        <v>-963487758.21864331</v>
      </c>
      <c r="M124" s="40">
        <v>-962561832.29271746</v>
      </c>
      <c r="N124" s="40">
        <v>-961635906.36679149</v>
      </c>
      <c r="O124" s="40">
        <v>-960709980.44086552</v>
      </c>
      <c r="P124" s="40">
        <v>-959784054.51493967</v>
      </c>
    </row>
    <row r="125" spans="4:16" x14ac:dyDescent="0.25">
      <c r="F125" s="142">
        <f t="shared" si="22"/>
        <v>0.09</v>
      </c>
      <c r="G125" s="40">
        <v>-947566311.64881539</v>
      </c>
      <c r="H125" s="40">
        <v>-946648880.45615482</v>
      </c>
      <c r="I125" s="40">
        <v>-945731449.26349437</v>
      </c>
      <c r="J125" s="40">
        <v>-944814018.0708338</v>
      </c>
      <c r="K125" s="40">
        <v>-943896586.87817323</v>
      </c>
      <c r="L125" s="40">
        <v>-942979155.68551266</v>
      </c>
      <c r="M125" s="40">
        <v>-942061724.49285209</v>
      </c>
      <c r="N125" s="40">
        <v>-941144293.30019152</v>
      </c>
      <c r="O125" s="40">
        <v>-940226862.10753107</v>
      </c>
      <c r="P125" s="40">
        <v>-939309430.9148705</v>
      </c>
    </row>
    <row r="126" spans="4:16" x14ac:dyDescent="0.25">
      <c r="F126" s="142">
        <f t="shared" si="22"/>
        <v>9.9999999999999992E-2</v>
      </c>
      <c r="G126" s="40">
        <v>-927857301.27590621</v>
      </c>
      <c r="H126" s="40">
        <v>-926948210.36681521</v>
      </c>
      <c r="I126" s="40">
        <v>-926039119.45772433</v>
      </c>
      <c r="J126" s="40">
        <v>-925130028.54863346</v>
      </c>
      <c r="K126" s="40">
        <v>-924220937.63954258</v>
      </c>
      <c r="L126" s="40">
        <v>-923311846.73045158</v>
      </c>
      <c r="M126" s="40">
        <v>-922402755.82136071</v>
      </c>
      <c r="N126" s="40">
        <v>-921493664.91226983</v>
      </c>
      <c r="O126" s="40">
        <v>-920584574.00317883</v>
      </c>
      <c r="P126" s="40">
        <v>-919675483.09408796</v>
      </c>
    </row>
    <row r="127" spans="4:16" x14ac:dyDescent="0.25">
      <c r="F127" s="142">
        <f t="shared" si="22"/>
        <v>0.10999999999999999</v>
      </c>
      <c r="G127" s="40">
        <v>-908946167.33288646</v>
      </c>
      <c r="H127" s="40">
        <v>-908045266.4319855</v>
      </c>
      <c r="I127" s="40">
        <v>-907144365.53108466</v>
      </c>
      <c r="J127" s="40">
        <v>-906243464.6301837</v>
      </c>
      <c r="K127" s="40">
        <v>-905342563.72928286</v>
      </c>
      <c r="L127" s="40">
        <v>-904441662.8283819</v>
      </c>
      <c r="M127" s="40">
        <v>-903540761.92748106</v>
      </c>
      <c r="N127" s="40">
        <v>-902639861.0265801</v>
      </c>
      <c r="O127" s="40">
        <v>-901738960.12567925</v>
      </c>
      <c r="P127" s="40">
        <v>-900838059.22477829</v>
      </c>
    </row>
    <row r="128" spans="4:16" x14ac:dyDescent="0.25">
      <c r="F128" s="142">
        <f t="shared" si="22"/>
        <v>0.11999999999999998</v>
      </c>
      <c r="G128" s="40">
        <v>-890791487.10909915</v>
      </c>
      <c r="H128" s="40">
        <v>-889898629.96624196</v>
      </c>
      <c r="I128" s="40">
        <v>-889005772.82338488</v>
      </c>
      <c r="J128" s="40">
        <v>-888112915.68052769</v>
      </c>
      <c r="K128" s="40">
        <v>-887220058.53767061</v>
      </c>
      <c r="L128" s="40">
        <v>-886327201.39481342</v>
      </c>
      <c r="M128" s="40">
        <v>-885434344.25195622</v>
      </c>
      <c r="N128" s="40">
        <v>-884541487.10909915</v>
      </c>
      <c r="O128" s="40">
        <v>-883648629.96624196</v>
      </c>
      <c r="P128" s="40">
        <v>-882755772.82338488</v>
      </c>
    </row>
    <row r="129" spans="6:23" x14ac:dyDescent="0.25">
      <c r="F129" s="142">
        <f t="shared" si="22"/>
        <v>0.12999999999999998</v>
      </c>
      <c r="G129" s="40">
        <v>-873354405.44799006</v>
      </c>
      <c r="H129" s="40">
        <v>-872469449.69577765</v>
      </c>
      <c r="I129" s="40">
        <v>-871584493.94356525</v>
      </c>
      <c r="J129" s="40">
        <v>-870699538.19135296</v>
      </c>
      <c r="K129" s="40">
        <v>-869814582.43914056</v>
      </c>
      <c r="L129" s="40">
        <v>-868929626.68692815</v>
      </c>
      <c r="M129" s="40">
        <v>-868044670.93471575</v>
      </c>
      <c r="N129" s="40">
        <v>-867159715.18250334</v>
      </c>
      <c r="O129" s="40">
        <v>-866274759.43029094</v>
      </c>
      <c r="P129" s="40">
        <v>-865389803.67807853</v>
      </c>
    </row>
    <row r="130" spans="6:23" x14ac:dyDescent="0.25">
      <c r="F130" s="142">
        <f t="shared" si="22"/>
        <v>0.13999999999999999</v>
      </c>
      <c r="G130" s="40">
        <v>-856598451.71288133</v>
      </c>
      <c r="H130" s="40">
        <v>-855721258.73042524</v>
      </c>
      <c r="I130" s="40">
        <v>-854844065.74796903</v>
      </c>
      <c r="J130" s="40">
        <v>-853966872.76551294</v>
      </c>
      <c r="K130" s="40">
        <v>-853089679.78305674</v>
      </c>
      <c r="L130" s="40">
        <v>-852212486.80060065</v>
      </c>
      <c r="M130" s="40">
        <v>-851335293.81814456</v>
      </c>
      <c r="N130" s="40">
        <v>-850458100.83568835</v>
      </c>
      <c r="O130" s="40">
        <v>-849580907.85323226</v>
      </c>
      <c r="P130" s="40">
        <v>-848703714.87077606</v>
      </c>
    </row>
    <row r="131" spans="6:23" x14ac:dyDescent="0.25">
      <c r="F131" s="142">
        <f t="shared" si="22"/>
        <v>0.15</v>
      </c>
      <c r="G131" s="40">
        <v>-840489371.41225994</v>
      </c>
      <c r="H131" s="40">
        <v>-839619806.19486856</v>
      </c>
      <c r="I131" s="40">
        <v>-838750240.97747731</v>
      </c>
      <c r="J131" s="40">
        <v>-837880675.76008594</v>
      </c>
      <c r="K131" s="40">
        <v>-837011110.54269469</v>
      </c>
      <c r="L131" s="40">
        <v>-836141545.32530332</v>
      </c>
      <c r="M131" s="40">
        <v>-835271980.10791206</v>
      </c>
      <c r="N131" s="40">
        <v>-834402414.89052069</v>
      </c>
      <c r="O131" s="40">
        <v>-833532849.67312944</v>
      </c>
      <c r="P131" s="40">
        <v>-832663284.45573819</v>
      </c>
    </row>
    <row r="132" spans="6:23" x14ac:dyDescent="0.25">
      <c r="F132" s="142">
        <f t="shared" si="22"/>
        <v>0.16</v>
      </c>
      <c r="G132" s="40">
        <v>-824994971.18671501</v>
      </c>
      <c r="H132" s="40">
        <v>-824132902.22119772</v>
      </c>
      <c r="I132" s="40">
        <v>-823270833.25568056</v>
      </c>
      <c r="J132" s="40">
        <v>-822408764.29016328</v>
      </c>
      <c r="K132" s="40">
        <v>-821546695.324646</v>
      </c>
      <c r="L132" s="40">
        <v>-820684626.35912883</v>
      </c>
      <c r="M132" s="40">
        <v>-819822557.39361155</v>
      </c>
      <c r="N132" s="40">
        <v>-818960488.42809427</v>
      </c>
      <c r="O132" s="40">
        <v>-818098419.4625771</v>
      </c>
      <c r="P132" s="40">
        <v>-817236350.49705982</v>
      </c>
    </row>
    <row r="133" spans="6:23" x14ac:dyDescent="0.25">
      <c r="F133" s="142">
        <f t="shared" si="22"/>
        <v>0.17</v>
      </c>
      <c r="G133" s="40">
        <v>-810084975.98515534</v>
      </c>
      <c r="H133" s="40">
        <v>-809230275.13045454</v>
      </c>
      <c r="I133" s="40">
        <v>-808375574.27575362</v>
      </c>
      <c r="J133" s="40">
        <v>-807520873.42105281</v>
      </c>
      <c r="K133" s="40">
        <v>-806666172.56635201</v>
      </c>
      <c r="L133" s="40">
        <v>-805811471.71165109</v>
      </c>
      <c r="M133" s="40">
        <v>-804956770.85695028</v>
      </c>
      <c r="N133" s="40">
        <v>-804102070.00224936</v>
      </c>
      <c r="O133" s="40">
        <v>-803247369.14754856</v>
      </c>
      <c r="P133" s="40">
        <v>-802392668.29284763</v>
      </c>
    </row>
    <row r="134" spans="6:23" x14ac:dyDescent="0.25">
      <c r="F134" s="142">
        <f t="shared" si="22"/>
        <v>0.18000000000000002</v>
      </c>
      <c r="G134" s="40">
        <v>-795730897.37029958</v>
      </c>
      <c r="H134" s="40">
        <v>-794883439.74318087</v>
      </c>
      <c r="I134" s="40">
        <v>-794035982.11606228</v>
      </c>
      <c r="J134" s="40">
        <v>-793188524.48894358</v>
      </c>
      <c r="K134" s="40">
        <v>-792341066.86182499</v>
      </c>
      <c r="L134" s="40">
        <v>-791493609.23470628</v>
      </c>
      <c r="M134" s="40">
        <v>-790646151.6075877</v>
      </c>
      <c r="N134" s="40">
        <v>-789798693.98046911</v>
      </c>
      <c r="O134" s="40">
        <v>-788951236.3533504</v>
      </c>
      <c r="P134" s="40">
        <v>-788103778.72623181</v>
      </c>
    </row>
    <row r="135" spans="6:23" x14ac:dyDescent="0.25">
      <c r="F135" s="142">
        <f t="shared" si="22"/>
        <v>0.19000000000000003</v>
      </c>
      <c r="G135" s="40">
        <v>-781905911.99414635</v>
      </c>
      <c r="H135" s="40">
        <v>-781065575.85969257</v>
      </c>
      <c r="I135" s="40">
        <v>-780225239.72523868</v>
      </c>
      <c r="J135" s="40">
        <v>-779384903.59078491</v>
      </c>
      <c r="K135" s="40">
        <v>-778544567.45633113</v>
      </c>
      <c r="L135" s="40">
        <v>-777704231.32187736</v>
      </c>
      <c r="M135" s="40">
        <v>-776863895.18742359</v>
      </c>
      <c r="N135" s="40">
        <v>-776023559.05296981</v>
      </c>
      <c r="O135" s="40">
        <v>-775183222.91851604</v>
      </c>
      <c r="P135" s="40">
        <v>-774342886.78406227</v>
      </c>
    </row>
    <row r="136" spans="6:23" x14ac:dyDescent="0.25">
      <c r="F136" s="142">
        <f t="shared" si="22"/>
        <v>0.20000000000000004</v>
      </c>
      <c r="G136" s="40">
        <v>-768584749.37448561</v>
      </c>
      <c r="H136" s="40">
        <v>-767751416.04115224</v>
      </c>
      <c r="I136" s="40">
        <v>-766918082.70781898</v>
      </c>
      <c r="J136" s="40">
        <v>-766084749.37448561</v>
      </c>
      <c r="K136" s="40">
        <v>-765251416.04115224</v>
      </c>
      <c r="L136" s="40">
        <v>-764418082.70781898</v>
      </c>
      <c r="M136" s="40">
        <v>-763584749.37448561</v>
      </c>
      <c r="N136" s="40">
        <v>-762751416.04115224</v>
      </c>
      <c r="O136" s="40">
        <v>-761918082.70781898</v>
      </c>
      <c r="P136" s="40">
        <v>-761084749.37448561</v>
      </c>
    </row>
    <row r="137" spans="6:23" x14ac:dyDescent="0.25">
      <c r="F137" s="142">
        <f t="shared" si="22"/>
        <v>0.21000000000000005</v>
      </c>
      <c r="G137" s="40">
        <v>-755743588.18465817</v>
      </c>
      <c r="H137" s="40">
        <v>-754917141.90366638</v>
      </c>
      <c r="I137" s="40">
        <v>-754090695.6226747</v>
      </c>
      <c r="J137" s="40">
        <v>-753264249.34168291</v>
      </c>
      <c r="K137" s="40">
        <v>-752437803.06069124</v>
      </c>
      <c r="L137" s="40">
        <v>-751611356.77969944</v>
      </c>
      <c r="M137" s="40">
        <v>-750784910.49870777</v>
      </c>
      <c r="N137" s="40">
        <v>-749958464.21771598</v>
      </c>
      <c r="O137" s="40">
        <v>-749132017.93672419</v>
      </c>
      <c r="P137" s="40">
        <v>-748305571.65573251</v>
      </c>
    </row>
    <row r="138" spans="6:23" x14ac:dyDescent="0.25">
      <c r="F138" s="142">
        <f t="shared" si="22"/>
        <v>0.22000000000000006</v>
      </c>
      <c r="G138" s="40">
        <v>-743359960.3417033</v>
      </c>
      <c r="H138" s="40">
        <v>-742540288.21055567</v>
      </c>
      <c r="I138" s="40">
        <v>-741720616.07940817</v>
      </c>
      <c r="J138" s="40">
        <v>-740900943.94826066</v>
      </c>
      <c r="K138" s="40">
        <v>-740081271.81711304</v>
      </c>
      <c r="L138" s="40">
        <v>-739261599.68596554</v>
      </c>
      <c r="M138" s="40">
        <v>-738441927.55481803</v>
      </c>
      <c r="N138" s="40">
        <v>-737622255.42367041</v>
      </c>
      <c r="O138" s="40">
        <v>-736802583.29252291</v>
      </c>
      <c r="P138" s="40">
        <v>-735982911.1613754</v>
      </c>
    </row>
    <row r="139" spans="6:23" x14ac:dyDescent="0.25">
      <c r="F139" s="142">
        <f t="shared" si="22"/>
        <v>0.23000000000000007</v>
      </c>
      <c r="G139" s="40">
        <v>-731412662.24367452</v>
      </c>
      <c r="H139" s="40">
        <v>-730599654.11359322</v>
      </c>
      <c r="I139" s="40">
        <v>-729786645.98351192</v>
      </c>
      <c r="J139" s="40">
        <v>-728973637.85343063</v>
      </c>
      <c r="K139" s="40">
        <v>-728160629.72334933</v>
      </c>
      <c r="L139" s="40">
        <v>-727347621.59326804</v>
      </c>
      <c r="M139" s="40">
        <v>-726534613.46318674</v>
      </c>
      <c r="N139" s="40">
        <v>-725721605.33310544</v>
      </c>
      <c r="O139" s="40">
        <v>-724908597.20302415</v>
      </c>
      <c r="P139" s="40">
        <v>-724095589.07294285</v>
      </c>
    </row>
    <row r="140" spans="6:23" x14ac:dyDescent="0.25">
      <c r="F140" s="142">
        <f t="shared" si="22"/>
        <v>0.24000000000000007</v>
      </c>
      <c r="G140" s="40">
        <v>-719881672.56599355</v>
      </c>
      <c r="H140" s="40">
        <v>-719075220.95309019</v>
      </c>
      <c r="I140" s="40">
        <v>-718268769.34018707</v>
      </c>
      <c r="J140" s="40">
        <v>-717462317.72728384</v>
      </c>
      <c r="K140" s="40">
        <v>-716655866.1143806</v>
      </c>
      <c r="L140" s="40">
        <v>-715849414.50147736</v>
      </c>
      <c r="M140" s="40">
        <v>-715042962.88857412</v>
      </c>
      <c r="N140" s="40">
        <v>-714236511.27567089</v>
      </c>
      <c r="O140" s="40">
        <v>-713430059.66276765</v>
      </c>
      <c r="P140" s="40">
        <v>-712623608.04986453</v>
      </c>
    </row>
    <row r="142" spans="6:23" ht="18.75" x14ac:dyDescent="0.3">
      <c r="R142" s="92" t="s">
        <v>104</v>
      </c>
    </row>
    <row r="143" spans="6:23" x14ac:dyDescent="0.25">
      <c r="R143" s="14" t="s">
        <v>41</v>
      </c>
      <c r="S143" s="14" t="s">
        <v>63</v>
      </c>
      <c r="T143" s="14" t="s">
        <v>62</v>
      </c>
      <c r="U143" s="14" t="s">
        <v>102</v>
      </c>
      <c r="V143" s="14" t="s">
        <v>77</v>
      </c>
      <c r="W143" s="14" t="s">
        <v>105</v>
      </c>
    </row>
    <row r="144" spans="6:23" x14ac:dyDescent="0.25">
      <c r="R144" s="3"/>
      <c r="S144" s="40"/>
      <c r="T144" s="95"/>
      <c r="U144" s="95"/>
      <c r="V144" s="96"/>
      <c r="W144" s="40"/>
    </row>
    <row r="145" spans="17:23" x14ac:dyDescent="0.25">
      <c r="R145" s="100">
        <v>2000</v>
      </c>
      <c r="S145" s="40"/>
      <c r="T145" s="95"/>
      <c r="U145" s="95"/>
      <c r="V145" s="96"/>
      <c r="W145" s="40"/>
    </row>
    <row r="146" spans="17:23" x14ac:dyDescent="0.25">
      <c r="Q146" s="100">
        <v>200</v>
      </c>
      <c r="R146" s="97">
        <f>R145+$Q$146</f>
        <v>2200</v>
      </c>
      <c r="S146" s="40"/>
      <c r="T146" s="95"/>
      <c r="U146" s="95"/>
      <c r="V146" s="96"/>
      <c r="W146" s="40"/>
    </row>
    <row r="147" spans="17:23" x14ac:dyDescent="0.25">
      <c r="R147" s="97">
        <f t="shared" ref="R147:R161" si="23">R146+$Q$146</f>
        <v>2400</v>
      </c>
      <c r="S147" s="40"/>
      <c r="T147" s="95"/>
      <c r="U147" s="95"/>
      <c r="V147" s="96"/>
      <c r="W147" s="40"/>
    </row>
    <row r="148" spans="17:23" x14ac:dyDescent="0.25">
      <c r="R148" s="97">
        <f t="shared" si="23"/>
        <v>2600</v>
      </c>
      <c r="S148" s="40"/>
      <c r="T148" s="95"/>
      <c r="U148" s="95"/>
      <c r="V148" s="96"/>
      <c r="W148" s="40"/>
    </row>
    <row r="149" spans="17:23" x14ac:dyDescent="0.25">
      <c r="R149" s="97">
        <f t="shared" si="23"/>
        <v>2800</v>
      </c>
      <c r="S149" s="40"/>
      <c r="T149" s="95"/>
      <c r="U149" s="95"/>
      <c r="V149" s="96"/>
      <c r="W149" s="40"/>
    </row>
    <row r="150" spans="17:23" x14ac:dyDescent="0.25">
      <c r="R150" s="97">
        <f t="shared" si="23"/>
        <v>3000</v>
      </c>
      <c r="S150" s="40"/>
      <c r="T150" s="95"/>
      <c r="U150" s="95"/>
      <c r="V150" s="96"/>
      <c r="W150" s="40"/>
    </row>
    <row r="151" spans="17:23" x14ac:dyDescent="0.25">
      <c r="R151" s="97">
        <f t="shared" si="23"/>
        <v>3200</v>
      </c>
      <c r="S151" s="40"/>
      <c r="T151" s="95"/>
      <c r="U151" s="95"/>
      <c r="V151" s="96"/>
      <c r="W151" s="40"/>
    </row>
    <row r="152" spans="17:23" x14ac:dyDescent="0.25">
      <c r="R152" s="97">
        <f t="shared" si="23"/>
        <v>3400</v>
      </c>
      <c r="S152" s="40"/>
      <c r="T152" s="95"/>
      <c r="U152" s="95"/>
      <c r="V152" s="96"/>
      <c r="W152" s="40"/>
    </row>
    <row r="153" spans="17:23" x14ac:dyDescent="0.25">
      <c r="R153" s="97">
        <f t="shared" si="23"/>
        <v>3600</v>
      </c>
      <c r="S153" s="40"/>
      <c r="T153" s="95"/>
      <c r="U153" s="95"/>
      <c r="V153" s="96"/>
      <c r="W153" s="40"/>
    </row>
    <row r="154" spans="17:23" x14ac:dyDescent="0.25">
      <c r="R154" s="97">
        <f t="shared" si="23"/>
        <v>3800</v>
      </c>
      <c r="S154" s="40"/>
      <c r="T154" s="95"/>
      <c r="U154" s="95"/>
      <c r="V154" s="96"/>
      <c r="W154" s="40"/>
    </row>
    <row r="155" spans="17:23" x14ac:dyDescent="0.25">
      <c r="R155" s="97">
        <f t="shared" si="23"/>
        <v>4000</v>
      </c>
      <c r="S155" s="40"/>
      <c r="T155" s="95"/>
      <c r="U155" s="95"/>
      <c r="V155" s="96"/>
      <c r="W155" s="40"/>
    </row>
    <row r="156" spans="17:23" x14ac:dyDescent="0.25">
      <c r="R156" s="97">
        <f t="shared" si="23"/>
        <v>4200</v>
      </c>
      <c r="S156" s="40"/>
      <c r="T156" s="95"/>
      <c r="U156" s="95"/>
      <c r="V156" s="96"/>
      <c r="W156" s="40"/>
    </row>
    <row r="157" spans="17:23" x14ac:dyDescent="0.25">
      <c r="R157" s="97">
        <f t="shared" si="23"/>
        <v>4400</v>
      </c>
      <c r="S157" s="40"/>
      <c r="T157" s="95"/>
      <c r="U157" s="95"/>
      <c r="V157" s="96"/>
      <c r="W157" s="40"/>
    </row>
    <row r="158" spans="17:23" x14ac:dyDescent="0.25">
      <c r="R158" s="97">
        <f t="shared" si="23"/>
        <v>4600</v>
      </c>
      <c r="S158" s="40"/>
      <c r="T158" s="95"/>
      <c r="U158" s="95"/>
      <c r="V158" s="96"/>
      <c r="W158" s="40"/>
    </row>
    <row r="159" spans="17:23" x14ac:dyDescent="0.25">
      <c r="R159" s="97">
        <f t="shared" si="23"/>
        <v>4800</v>
      </c>
      <c r="S159" s="40"/>
      <c r="T159" s="95"/>
      <c r="U159" s="95"/>
      <c r="V159" s="96"/>
      <c r="W159" s="40"/>
    </row>
    <row r="160" spans="17:23" x14ac:dyDescent="0.25">
      <c r="R160" s="97">
        <f t="shared" si="23"/>
        <v>5000</v>
      </c>
      <c r="S160" s="40"/>
      <c r="T160" s="95"/>
      <c r="U160" s="95"/>
      <c r="V160" s="96"/>
      <c r="W160" s="40"/>
    </row>
    <row r="161" spans="18:23" x14ac:dyDescent="0.25">
      <c r="R161" s="97">
        <f t="shared" si="23"/>
        <v>5200</v>
      </c>
      <c r="S161" s="40"/>
      <c r="T161" s="95"/>
      <c r="U161" s="95"/>
      <c r="V161" s="96"/>
      <c r="W161" s="40"/>
    </row>
    <row r="179" spans="24:26" x14ac:dyDescent="0.25">
      <c r="X179" s="3" t="s">
        <v>106</v>
      </c>
      <c r="Y179" s="40"/>
    </row>
    <row r="180" spans="24:26" x14ac:dyDescent="0.25">
      <c r="X180" s="3" t="s">
        <v>107</v>
      </c>
      <c r="Y180" s="40"/>
    </row>
    <row r="181" spans="24:26" x14ac:dyDescent="0.25">
      <c r="X181" s="3"/>
      <c r="Y181" s="3" t="s">
        <v>108</v>
      </c>
      <c r="Z181" s="3" t="s">
        <v>63</v>
      </c>
    </row>
    <row r="182" spans="24:26" x14ac:dyDescent="0.25">
      <c r="X182" s="3">
        <v>1</v>
      </c>
      <c r="Y182" s="97"/>
      <c r="Z182" s="97"/>
    </row>
    <row r="183" spans="24:26" x14ac:dyDescent="0.25">
      <c r="X183" s="3">
        <v>2</v>
      </c>
      <c r="Y183" s="97"/>
      <c r="Z183" s="97"/>
    </row>
    <row r="184" spans="24:26" x14ac:dyDescent="0.25">
      <c r="Y184" s="94"/>
    </row>
    <row r="185" spans="24:26" x14ac:dyDescent="0.25">
      <c r="X185" s="541" t="s">
        <v>109</v>
      </c>
      <c r="Y185" s="541"/>
    </row>
    <row r="186" spans="24:26" x14ac:dyDescent="0.25">
      <c r="X186" s="3" t="s">
        <v>110</v>
      </c>
      <c r="Y186" s="97"/>
    </row>
    <row r="187" spans="24:26" x14ac:dyDescent="0.25">
      <c r="X187" s="3" t="s">
        <v>111</v>
      </c>
      <c r="Y187" s="97"/>
    </row>
    <row r="188" spans="24:26" x14ac:dyDescent="0.25">
      <c r="X188" s="3" t="s">
        <v>112</v>
      </c>
      <c r="Y188" s="40"/>
      <c r="Z188" s="93"/>
    </row>
    <row r="189" spans="24:26" x14ac:dyDescent="0.25">
      <c r="X189" s="3" t="s">
        <v>113</v>
      </c>
      <c r="Y189" s="40"/>
      <c r="Z189" s="93"/>
    </row>
    <row r="191" spans="24:26" x14ac:dyDescent="0.25">
      <c r="X191" s="3" t="s">
        <v>114</v>
      </c>
      <c r="Y191" s="3"/>
    </row>
  </sheetData>
  <mergeCells count="1">
    <mergeCell ref="X185:Y185"/>
  </mergeCells>
  <conditionalFormatting sqref="G117:P140">
    <cfRule type="cellIs" dxfId="23" priority="16" operator="between">
      <formula>0</formula>
      <formula>1999999</formula>
    </cfRule>
    <cfRule type="cellIs" dxfId="22" priority="17" operator="greaterThan">
      <formula>2000000</formula>
    </cfRule>
    <cfRule type="cellIs" dxfId="21" priority="18" operator="greaterThan">
      <formula>2000000</formula>
    </cfRule>
    <cfRule type="cellIs" dxfId="20" priority="19" operator="greaterThan">
      <formula>0</formula>
    </cfRule>
    <cfRule type="cellIs" dxfId="19" priority="20" operator="lessThan">
      <formula>0</formula>
    </cfRule>
    <cfRule type="cellIs" dxfId="18" priority="23" operator="lessThan">
      <formula>0</formula>
    </cfRule>
    <cfRule type="cellIs" dxfId="17" priority="24" operator="greaterThanOrEqual">
      <formula>0</formula>
    </cfRule>
  </conditionalFormatting>
  <conditionalFormatting sqref="S144:S161">
    <cfRule type="cellIs" dxfId="16" priority="10" operator="greaterThan">
      <formula>0</formula>
    </cfRule>
    <cfRule type="cellIs" dxfId="15" priority="11" operator="lessThan">
      <formula>0</formula>
    </cfRule>
    <cfRule type="cellIs" dxfId="14" priority="21" operator="greaterThan">
      <formula>0</formula>
    </cfRule>
    <cfRule type="cellIs" dxfId="13" priority="22" operator="lessThan">
      <formula>0</formula>
    </cfRule>
  </conditionalFormatting>
  <conditionalFormatting sqref="T144:T161">
    <cfRule type="cellIs" dxfId="12" priority="14" operator="greaterThan">
      <formula>$F$101</formula>
    </cfRule>
    <cfRule type="cellIs" dxfId="11" priority="15" operator="lessThan">
      <formula>$F$101</formula>
    </cfRule>
  </conditionalFormatting>
  <conditionalFormatting sqref="U144:U161">
    <cfRule type="cellIs" dxfId="10" priority="12" operator="greaterThan">
      <formula>$F$101</formula>
    </cfRule>
    <cfRule type="cellIs" dxfId="9" priority="13" operator="lessThan">
      <formula>$F$101</formula>
    </cfRule>
  </conditionalFormatting>
  <conditionalFormatting sqref="V144:V161">
    <cfRule type="cellIs" dxfId="8" priority="8" operator="greaterThan">
      <formula>1</formula>
    </cfRule>
    <cfRule type="cellIs" dxfId="7" priority="9" operator="lessThan">
      <formula>1</formula>
    </cfRule>
  </conditionalFormatting>
  <conditionalFormatting sqref="W144:W161">
    <cfRule type="cellIs" dxfId="6" priority="4" operator="greaterThan">
      <formula>0</formula>
    </cfRule>
    <cfRule type="cellIs" dxfId="5" priority="5" operator="lessThan">
      <formula>0</formula>
    </cfRule>
    <cfRule type="cellIs" dxfId="4" priority="6" operator="greaterThan">
      <formula>0</formula>
    </cfRule>
    <cfRule type="cellIs" dxfId="3" priority="7" operator="lessThan">
      <formula>0</formula>
    </cfRule>
  </conditionalFormatting>
  <conditionalFormatting sqref="G99:L100">
    <cfRule type="cellIs" dxfId="2" priority="2" operator="lessThan">
      <formula>-10252257</formula>
    </cfRule>
    <cfRule type="cellIs" dxfId="1" priority="3" operator="greaterThan">
      <formula>0</formula>
    </cfRule>
  </conditionalFormatting>
  <conditionalFormatting sqref="G107:L107">
    <cfRule type="cellIs" dxfId="0" priority="1" operator="lessThan">
      <formula>-193325811</formula>
    </cfRule>
  </conditionalFormatting>
  <dataValidations count="2">
    <dataValidation allowBlank="1" showInputMessage="1" showErrorMessage="1" promptTitle="Tasa de Impuesto" prompt="Debe entrar el porcentaje de la tasa de impuesto que aplica para el proyecto." sqref="F73:F77" xr:uid="{9E974B59-B862-45F1-868E-1936004EA595}"/>
    <dataValidation allowBlank="1" showInputMessage="1" showErrorMessage="1" promptTitle="Tipo Prestamo" prompt="En este campo se entra el codigo del tipo de prestamo." sqref="C2" xr:uid="{1BCF3E1A-3902-4D0E-BF0F-7202DF1AAF7D}"/>
  </dataValidations>
  <hyperlinks>
    <hyperlink ref="C1" location="Menu!A1" display="Menu" xr:uid="{EDA33E9B-2063-457B-A434-37187E6AA78F}"/>
  </hyperlinks>
  <pageMargins left="0.7" right="0.7" top="0.75" bottom="0.75" header="0.3" footer="0.3"/>
  <pageSetup paperSize="9" scale="32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Spinner 1">
              <controlPr defaultSize="0" autoPict="0">
                <anchor moveWithCells="1" sizeWithCells="1">
                  <from>
                    <xdr:col>12</xdr:col>
                    <xdr:colOff>0</xdr:colOff>
                    <xdr:row>5</xdr:row>
                    <xdr:rowOff>38100</xdr:rowOff>
                  </from>
                  <to>
                    <xdr:col>12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Spinner 2">
              <controlPr defaultSize="0" autoPict="0">
                <anchor moveWithCells="1" sizeWithCells="1">
                  <from>
                    <xdr:col>0</xdr:col>
                    <xdr:colOff>38100</xdr:colOff>
                    <xdr:row>1</xdr:row>
                    <xdr:rowOff>28575</xdr:rowOff>
                  </from>
                  <to>
                    <xdr:col>0</xdr:col>
                    <xdr:colOff>371475</xdr:colOff>
                    <xdr:row>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Spinner 3">
              <controlPr defaultSize="0" autoPict="0" altText="Diferentes formas de depreciar_x000a__x000a_101 Linea Recta - LR_x000a_102 Sistema de Digitos Acumulado - SDA_x000a_103 Reducción de Saldos - RS_x000a_104 Unidades Producidas - UP">
                <anchor moveWithCells="1" sizeWithCells="1">
                  <from>
                    <xdr:col>1</xdr:col>
                    <xdr:colOff>200025</xdr:colOff>
                    <xdr:row>2</xdr:row>
                    <xdr:rowOff>47625</xdr:rowOff>
                  </from>
                  <to>
                    <xdr:col>1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81022-DF30-445B-8676-D7530B3802E4}">
  <dimension ref="B2:AA48"/>
  <sheetViews>
    <sheetView topLeftCell="C35" workbookViewId="0">
      <selection activeCell="J38" sqref="J38"/>
    </sheetView>
  </sheetViews>
  <sheetFormatPr baseColWidth="10" defaultRowHeight="15" x14ac:dyDescent="0.25"/>
  <cols>
    <col min="2" max="2" width="30.7109375" bestFit="1" customWidth="1"/>
    <col min="3" max="18" width="13.5703125" bestFit="1" customWidth="1"/>
    <col min="19" max="21" width="14.85546875" bestFit="1" customWidth="1"/>
    <col min="22" max="27" width="15.140625" bestFit="1" customWidth="1"/>
  </cols>
  <sheetData>
    <row r="2" spans="2:27" ht="18" x14ac:dyDescent="0.25">
      <c r="B2" s="291" t="s">
        <v>237</v>
      </c>
    </row>
    <row r="3" spans="2:27" x14ac:dyDescent="0.25">
      <c r="B3" s="477" t="s">
        <v>373</v>
      </c>
      <c r="C3" s="3">
        <f>+'[2]EdeR y F de C'!F5</f>
        <v>0</v>
      </c>
      <c r="D3" s="3">
        <f>+C3+1</f>
        <v>1</v>
      </c>
      <c r="E3" s="3">
        <f t="shared" ref="E3:AA3" si="0">+D3+1</f>
        <v>2</v>
      </c>
      <c r="F3" s="3">
        <f t="shared" si="0"/>
        <v>3</v>
      </c>
      <c r="G3" s="3">
        <f t="shared" si="0"/>
        <v>4</v>
      </c>
      <c r="H3" s="3">
        <f t="shared" si="0"/>
        <v>5</v>
      </c>
      <c r="I3" s="3">
        <f t="shared" si="0"/>
        <v>6</v>
      </c>
      <c r="J3" s="3">
        <f t="shared" si="0"/>
        <v>7</v>
      </c>
      <c r="K3" s="3">
        <f t="shared" si="0"/>
        <v>8</v>
      </c>
      <c r="L3" s="3">
        <f t="shared" si="0"/>
        <v>9</v>
      </c>
      <c r="M3" s="3">
        <f t="shared" si="0"/>
        <v>10</v>
      </c>
      <c r="N3" s="3">
        <f t="shared" si="0"/>
        <v>11</v>
      </c>
      <c r="O3" s="3">
        <f t="shared" si="0"/>
        <v>12</v>
      </c>
      <c r="P3" s="3">
        <f t="shared" si="0"/>
        <v>13</v>
      </c>
      <c r="Q3" s="3">
        <f t="shared" si="0"/>
        <v>14</v>
      </c>
      <c r="R3" s="3">
        <f t="shared" si="0"/>
        <v>15</v>
      </c>
      <c r="S3" s="3">
        <f t="shared" si="0"/>
        <v>16</v>
      </c>
      <c r="T3" s="3">
        <f t="shared" si="0"/>
        <v>17</v>
      </c>
      <c r="U3" s="3">
        <f t="shared" si="0"/>
        <v>18</v>
      </c>
      <c r="V3" s="3">
        <f t="shared" si="0"/>
        <v>19</v>
      </c>
      <c r="W3" s="3">
        <f t="shared" si="0"/>
        <v>20</v>
      </c>
      <c r="X3" s="3">
        <f t="shared" si="0"/>
        <v>21</v>
      </c>
      <c r="Y3" s="3">
        <f t="shared" si="0"/>
        <v>22</v>
      </c>
      <c r="Z3" s="3">
        <f t="shared" si="0"/>
        <v>23</v>
      </c>
      <c r="AA3" s="3">
        <f t="shared" si="0"/>
        <v>24</v>
      </c>
    </row>
    <row r="4" spans="2:27" x14ac:dyDescent="0.25">
      <c r="B4" s="3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478"/>
      <c r="R4" s="478"/>
      <c r="S4" s="478"/>
      <c r="T4" s="478"/>
      <c r="U4" s="478"/>
      <c r="V4" s="478"/>
      <c r="W4" s="478"/>
      <c r="X4" s="478"/>
      <c r="Y4" s="478"/>
      <c r="Z4" s="478"/>
      <c r="AA4" s="478"/>
    </row>
    <row r="5" spans="2:27" x14ac:dyDescent="0.25">
      <c r="B5" s="165" t="s">
        <v>374</v>
      </c>
      <c r="C5" s="479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480"/>
      <c r="S5" s="480"/>
      <c r="T5" s="480"/>
      <c r="U5" s="480"/>
      <c r="V5" s="480"/>
      <c r="W5" s="480"/>
      <c r="X5" s="480"/>
      <c r="Y5" s="480"/>
      <c r="Z5" s="480"/>
      <c r="AA5" s="480"/>
    </row>
    <row r="6" spans="2:27" x14ac:dyDescent="0.25">
      <c r="B6" s="481" t="s">
        <v>375</v>
      </c>
      <c r="C6" s="480">
        <f>+'Flujo de Efectivo'!C42</f>
        <v>0</v>
      </c>
      <c r="D6" s="480">
        <f>+'Flujo de Efectivo'!D42</f>
        <v>-198226990</v>
      </c>
      <c r="E6" s="480">
        <f>+'Flujo de Efectivo'!E42</f>
        <v>-401342990</v>
      </c>
      <c r="F6" s="480">
        <f>+'Flujo de Efectivo'!F42</f>
        <v>-605864990</v>
      </c>
      <c r="G6" s="480">
        <f>+'Flujo de Efectivo'!G42</f>
        <v>-811251790</v>
      </c>
      <c r="H6" s="480">
        <f>+'Flujo de Efectivo'!H42</f>
        <v>-1016060190</v>
      </c>
      <c r="I6" s="480">
        <f>+'Flujo de Efectivo'!I42</f>
        <v>-1016060190</v>
      </c>
      <c r="J6" s="480">
        <f>+'Flujo de Efectivo'!J42</f>
        <v>-1016060190</v>
      </c>
      <c r="K6" s="480">
        <f>+'Flujo de Efectivo'!K42</f>
        <v>-1016060190</v>
      </c>
      <c r="L6" s="480">
        <f>+'Flujo de Efectivo'!L42</f>
        <v>-1016060190</v>
      </c>
      <c r="M6" s="480">
        <f>+'Flujo de Efectivo'!M42</f>
        <v>-1016060190</v>
      </c>
      <c r="N6" s="480">
        <f>+'Flujo de Efectivo'!N42</f>
        <v>-1016060190</v>
      </c>
      <c r="O6" s="480">
        <f>+'Flujo de Efectivo'!O42</f>
        <v>-1016060190</v>
      </c>
      <c r="P6" s="480">
        <f>+'Flujo de Efectivo'!P42</f>
        <v>-1016060190</v>
      </c>
      <c r="Q6" s="480">
        <f>+'Flujo de Efectivo'!Q42</f>
        <v>-1016060190</v>
      </c>
      <c r="R6" s="480">
        <f>+'Flujo de Efectivo'!R42</f>
        <v>-1016060190</v>
      </c>
      <c r="S6" s="480">
        <f>+'Flujo de Efectivo'!S42</f>
        <v>-1016060190</v>
      </c>
      <c r="T6" s="480">
        <f>+'Flujo de Efectivo'!T42</f>
        <v>-1016060190</v>
      </c>
      <c r="U6" s="480">
        <f>+'Flujo de Efectivo'!U42</f>
        <v>-1016060190</v>
      </c>
      <c r="V6" s="480">
        <f>+'Flujo de Efectivo'!V42</f>
        <v>-1016060190</v>
      </c>
      <c r="W6" s="480">
        <f>+'Flujo de Efectivo'!W42</f>
        <v>-1016060190</v>
      </c>
      <c r="X6" s="480">
        <f>+'Flujo de Efectivo'!X42</f>
        <v>-1016060190</v>
      </c>
      <c r="Y6" s="480">
        <f>+'Flujo de Efectivo'!Y42</f>
        <v>-1016060190</v>
      </c>
      <c r="Z6" s="480">
        <f>+'Flujo de Efectivo'!Z42</f>
        <v>-1016060190</v>
      </c>
      <c r="AA6" s="480">
        <f>+'Flujo de Efectivo'!AA42</f>
        <v>-1016060190</v>
      </c>
    </row>
    <row r="7" spans="2:27" x14ac:dyDescent="0.25">
      <c r="B7" s="481" t="s">
        <v>376</v>
      </c>
      <c r="C7" s="480">
        <f>+'Flujo de Efectivo'!C9</f>
        <v>0</v>
      </c>
      <c r="D7" s="480">
        <f>+'Flujo de Efectivo'!D9</f>
        <v>0</v>
      </c>
      <c r="E7" s="480">
        <f>+'Flujo de Efectivo'!E9</f>
        <v>0</v>
      </c>
      <c r="F7" s="480">
        <f>+'Flujo de Efectivo'!F9</f>
        <v>0</v>
      </c>
      <c r="G7" s="480">
        <f>+'Flujo de Efectivo'!G9</f>
        <v>0</v>
      </c>
      <c r="H7" s="480">
        <f>+'Flujo de Efectivo'!H9</f>
        <v>0</v>
      </c>
      <c r="I7" s="480">
        <f>+'Flujo de Efectivo'!I9</f>
        <v>0</v>
      </c>
      <c r="J7" s="480">
        <f>+'Flujo de Efectivo'!J9</f>
        <v>0</v>
      </c>
      <c r="K7" s="480">
        <f>+'Flujo de Efectivo'!K9</f>
        <v>0</v>
      </c>
      <c r="L7" s="480">
        <f>+'Flujo de Efectivo'!L9</f>
        <v>0</v>
      </c>
      <c r="M7" s="480">
        <f>+'Flujo de Efectivo'!M9</f>
        <v>0</v>
      </c>
      <c r="N7" s="480">
        <f>+'Flujo de Efectivo'!N9</f>
        <v>0</v>
      </c>
      <c r="O7" s="480">
        <f>+'Flujo de Efectivo'!O9</f>
        <v>0</v>
      </c>
      <c r="P7" s="480">
        <f>+'Flujo de Efectivo'!P9</f>
        <v>0</v>
      </c>
      <c r="Q7" s="480">
        <f>+'Flujo de Efectivo'!Q9</f>
        <v>0</v>
      </c>
      <c r="R7" s="480">
        <f>+'Flujo de Efectivo'!R9</f>
        <v>0</v>
      </c>
      <c r="S7" s="480">
        <f>+'Flujo de Efectivo'!S9</f>
        <v>0</v>
      </c>
      <c r="T7" s="480">
        <f>+'Flujo de Efectivo'!T9</f>
        <v>0</v>
      </c>
      <c r="U7" s="480">
        <f>+'Flujo de Efectivo'!U9</f>
        <v>0</v>
      </c>
      <c r="V7" s="480">
        <f>+'Flujo de Efectivo'!V9</f>
        <v>0</v>
      </c>
      <c r="W7" s="480">
        <f>+'Flujo de Efectivo'!W9</f>
        <v>0</v>
      </c>
      <c r="X7" s="480">
        <f>+'Flujo de Efectivo'!X9</f>
        <v>0</v>
      </c>
      <c r="Y7" s="480">
        <f>+'Flujo de Efectivo'!Y9</f>
        <v>0</v>
      </c>
      <c r="Z7" s="480">
        <f>+'Flujo de Efectivo'!Z9</f>
        <v>0</v>
      </c>
      <c r="AA7" s="480">
        <f>+'Flujo de Efectivo'!AA9</f>
        <v>0</v>
      </c>
    </row>
    <row r="8" spans="2:27" x14ac:dyDescent="0.25">
      <c r="B8" s="481" t="s">
        <v>179</v>
      </c>
      <c r="C8" s="480"/>
      <c r="D8" s="480"/>
      <c r="E8" s="480"/>
      <c r="F8" s="480"/>
      <c r="G8" s="480"/>
      <c r="H8" s="480"/>
      <c r="I8" s="480"/>
      <c r="J8" s="480"/>
      <c r="K8" s="480"/>
      <c r="L8" s="480"/>
      <c r="M8" s="480"/>
      <c r="N8" s="480"/>
      <c r="O8" s="480"/>
      <c r="P8" s="480"/>
      <c r="Q8" s="480"/>
      <c r="R8" s="480"/>
      <c r="S8" s="480"/>
      <c r="T8" s="480"/>
      <c r="U8" s="480"/>
      <c r="V8" s="480"/>
      <c r="W8" s="480"/>
      <c r="X8" s="480"/>
      <c r="Y8" s="480"/>
      <c r="Z8" s="480"/>
      <c r="AA8" s="480"/>
    </row>
    <row r="9" spans="2:27" x14ac:dyDescent="0.25">
      <c r="B9" s="481" t="s">
        <v>377</v>
      </c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Q9" s="480"/>
      <c r="R9" s="480"/>
      <c r="S9" s="480"/>
      <c r="T9" s="480"/>
      <c r="U9" s="480"/>
      <c r="V9" s="480"/>
      <c r="W9" s="480"/>
      <c r="X9" s="480"/>
      <c r="Y9" s="480"/>
      <c r="Z9" s="480"/>
      <c r="AA9" s="480"/>
    </row>
    <row r="10" spans="2:27" x14ac:dyDescent="0.25">
      <c r="B10" s="482" t="s">
        <v>378</v>
      </c>
      <c r="C10" s="483">
        <f>SUM(C6:C9)</f>
        <v>0</v>
      </c>
      <c r="D10" s="483">
        <f t="shared" ref="D10:AA10" si="1">SUM(D6:D9)</f>
        <v>-198226990</v>
      </c>
      <c r="E10" s="483">
        <f t="shared" si="1"/>
        <v>-401342990</v>
      </c>
      <c r="F10" s="483">
        <f t="shared" si="1"/>
        <v>-605864990</v>
      </c>
      <c r="G10" s="483">
        <f t="shared" si="1"/>
        <v>-811251790</v>
      </c>
      <c r="H10" s="483">
        <f t="shared" si="1"/>
        <v>-1016060190</v>
      </c>
      <c r="I10" s="483">
        <f t="shared" si="1"/>
        <v>-1016060190</v>
      </c>
      <c r="J10" s="483">
        <f t="shared" si="1"/>
        <v>-1016060190</v>
      </c>
      <c r="K10" s="483">
        <f t="shared" si="1"/>
        <v>-1016060190</v>
      </c>
      <c r="L10" s="483">
        <f t="shared" si="1"/>
        <v>-1016060190</v>
      </c>
      <c r="M10" s="483">
        <f t="shared" si="1"/>
        <v>-1016060190</v>
      </c>
      <c r="N10" s="483">
        <f t="shared" si="1"/>
        <v>-1016060190</v>
      </c>
      <c r="O10" s="483">
        <f t="shared" si="1"/>
        <v>-1016060190</v>
      </c>
      <c r="P10" s="483">
        <f t="shared" si="1"/>
        <v>-1016060190</v>
      </c>
      <c r="Q10" s="483">
        <f t="shared" si="1"/>
        <v>-1016060190</v>
      </c>
      <c r="R10" s="483">
        <f t="shared" si="1"/>
        <v>-1016060190</v>
      </c>
      <c r="S10" s="483">
        <f t="shared" si="1"/>
        <v>-1016060190</v>
      </c>
      <c r="T10" s="483">
        <f t="shared" si="1"/>
        <v>-1016060190</v>
      </c>
      <c r="U10" s="483">
        <f t="shared" si="1"/>
        <v>-1016060190</v>
      </c>
      <c r="V10" s="483">
        <f t="shared" si="1"/>
        <v>-1016060190</v>
      </c>
      <c r="W10" s="483">
        <f t="shared" si="1"/>
        <v>-1016060190</v>
      </c>
      <c r="X10" s="483">
        <f t="shared" si="1"/>
        <v>-1016060190</v>
      </c>
      <c r="Y10" s="483">
        <f t="shared" si="1"/>
        <v>-1016060190</v>
      </c>
      <c r="Z10" s="483">
        <f t="shared" si="1"/>
        <v>-1016060190</v>
      </c>
      <c r="AA10" s="483">
        <f t="shared" si="1"/>
        <v>-1016060190</v>
      </c>
    </row>
    <row r="11" spans="2:27" x14ac:dyDescent="0.25">
      <c r="B11" s="156"/>
      <c r="C11" s="480"/>
      <c r="D11" s="480"/>
      <c r="E11" s="480"/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80"/>
      <c r="AA11" s="480"/>
    </row>
    <row r="12" spans="2:27" x14ac:dyDescent="0.25">
      <c r="B12" s="481" t="s">
        <v>379</v>
      </c>
      <c r="C12" s="480">
        <f>+'Ppto Inv_Dep y Amt'!C3+'Ppto Inv_Dep y Amt'!C6</f>
        <v>188207486</v>
      </c>
      <c r="D12" s="480">
        <f>+'Ppto Inv_Dep y Amt'!D3+'Ppto Inv_Dep y Amt'!D6</f>
        <v>188207486</v>
      </c>
      <c r="E12" s="480">
        <f>+'Ppto Inv_Dep y Amt'!E3+'Ppto Inv_Dep y Amt'!E6</f>
        <v>188207486</v>
      </c>
      <c r="F12" s="480">
        <f>+'Ppto Inv_Dep y Amt'!F3+'Ppto Inv_Dep y Amt'!F6</f>
        <v>188207486</v>
      </c>
      <c r="G12" s="480">
        <f>+'Ppto Inv_Dep y Amt'!G3+'Ppto Inv_Dep y Amt'!G6</f>
        <v>188207486</v>
      </c>
      <c r="H12" s="480">
        <f>+'Ppto Inv_Dep y Amt'!H3+'Ppto Inv_Dep y Amt'!H6</f>
        <v>188207486</v>
      </c>
      <c r="I12" s="480">
        <f>+'Ppto Inv_Dep y Amt'!I3+'Ppto Inv_Dep y Amt'!I6</f>
        <v>188207486</v>
      </c>
      <c r="J12" s="480">
        <f>+'Ppto Inv_Dep y Amt'!J3+'Ppto Inv_Dep y Amt'!J6</f>
        <v>188207486</v>
      </c>
      <c r="K12" s="480">
        <f>+'Ppto Inv_Dep y Amt'!K3+'Ppto Inv_Dep y Amt'!K6</f>
        <v>188207486</v>
      </c>
      <c r="L12" s="480">
        <f>+'Ppto Inv_Dep y Amt'!L3+'Ppto Inv_Dep y Amt'!L6</f>
        <v>188207486</v>
      </c>
      <c r="M12" s="480">
        <f>+'Ppto Inv_Dep y Amt'!M3+'Ppto Inv_Dep y Amt'!M6</f>
        <v>188207486</v>
      </c>
      <c r="N12" s="480">
        <f>+'Ppto Inv_Dep y Amt'!N3+'Ppto Inv_Dep y Amt'!N6</f>
        <v>188207486</v>
      </c>
      <c r="O12" s="480">
        <f>+'Ppto Inv_Dep y Amt'!O3+'Ppto Inv_Dep y Amt'!O6</f>
        <v>188207486</v>
      </c>
      <c r="P12" s="480">
        <f>+'Ppto Inv_Dep y Amt'!P3+'Ppto Inv_Dep y Amt'!P6</f>
        <v>188207486</v>
      </c>
      <c r="Q12" s="480">
        <f>+'Ppto Inv_Dep y Amt'!Q3+'Ppto Inv_Dep y Amt'!Q6</f>
        <v>188207486</v>
      </c>
      <c r="R12" s="480">
        <f>+'Ppto Inv_Dep y Amt'!R3+'Ppto Inv_Dep y Amt'!R6</f>
        <v>188207486</v>
      </c>
      <c r="S12" s="480">
        <f>+'Ppto Inv_Dep y Amt'!S3+'Ppto Inv_Dep y Amt'!S6</f>
        <v>188207486</v>
      </c>
      <c r="T12" s="480">
        <f>+'Ppto Inv_Dep y Amt'!T3+'Ppto Inv_Dep y Amt'!T6</f>
        <v>188207486</v>
      </c>
      <c r="U12" s="480">
        <f>+'Ppto Inv_Dep y Amt'!U3+'Ppto Inv_Dep y Amt'!U6</f>
        <v>188207486</v>
      </c>
      <c r="V12" s="480">
        <f>+'Ppto Inv_Dep y Amt'!V3+'Ppto Inv_Dep y Amt'!V6</f>
        <v>188207486</v>
      </c>
      <c r="W12" s="480">
        <f>+'Ppto Inv_Dep y Amt'!W3+'Ppto Inv_Dep y Amt'!W6</f>
        <v>188207486</v>
      </c>
      <c r="X12" s="480">
        <f>+'Ppto Inv_Dep y Amt'!X3+'Ppto Inv_Dep y Amt'!X6</f>
        <v>188207486</v>
      </c>
      <c r="Y12" s="480">
        <f>+'Ppto Inv_Dep y Amt'!Y3+'Ppto Inv_Dep y Amt'!Y6</f>
        <v>188207486</v>
      </c>
      <c r="Z12" s="480">
        <f>+'Ppto Inv_Dep y Amt'!Z3+'Ppto Inv_Dep y Amt'!Z6</f>
        <v>188207486</v>
      </c>
      <c r="AA12" s="480">
        <f>+'Ppto Inv_Dep y Amt'!AA3+'Ppto Inv_Dep y Amt'!AA6</f>
        <v>188207486</v>
      </c>
    </row>
    <row r="13" spans="2:27" x14ac:dyDescent="0.25">
      <c r="B13" s="481" t="s">
        <v>380</v>
      </c>
      <c r="C13" s="480">
        <f>'EdeR y F de C'!F58</f>
        <v>0</v>
      </c>
      <c r="D13" s="480">
        <f>'EdeR y F de C'!G58</f>
        <v>13557953</v>
      </c>
      <c r="E13" s="480">
        <f>'EdeR y F de C'!H58</f>
        <v>27115906</v>
      </c>
      <c r="F13" s="480">
        <f>'EdeR y F de C'!I58</f>
        <v>40673859</v>
      </c>
      <c r="G13" s="480">
        <f>'EdeR y F de C'!J58</f>
        <v>54231812</v>
      </c>
      <c r="H13" s="480">
        <f>'EdeR y F de C'!K58</f>
        <v>67789765</v>
      </c>
      <c r="I13" s="480">
        <f>'EdeR y F de C'!L58</f>
        <v>67789765</v>
      </c>
      <c r="J13" s="480">
        <f>'EdeR y F de C'!M58</f>
        <v>67789765</v>
      </c>
      <c r="K13" s="480">
        <f>'EdeR y F de C'!N58</f>
        <v>67789765</v>
      </c>
      <c r="L13" s="480">
        <f>'EdeR y F de C'!O58</f>
        <v>67789765</v>
      </c>
      <c r="M13" s="480">
        <f>'EdeR y F de C'!P58</f>
        <v>67789765</v>
      </c>
      <c r="N13" s="480">
        <f>'EdeR y F de C'!Q58</f>
        <v>67789765</v>
      </c>
      <c r="O13" s="480">
        <f>'EdeR y F de C'!R58</f>
        <v>67789765</v>
      </c>
      <c r="P13" s="480">
        <f>'EdeR y F de C'!S58</f>
        <v>67789765</v>
      </c>
      <c r="Q13" s="480">
        <f>'EdeR y F de C'!T58</f>
        <v>67789765</v>
      </c>
      <c r="R13" s="480">
        <f>'EdeR y F de C'!U58</f>
        <v>67789765</v>
      </c>
      <c r="S13" s="480">
        <f>'EdeR y F de C'!V58</f>
        <v>67789765</v>
      </c>
      <c r="T13" s="480">
        <f>'EdeR y F de C'!W58</f>
        <v>67789765</v>
      </c>
      <c r="U13" s="480">
        <f>'EdeR y F de C'!X58</f>
        <v>67789765</v>
      </c>
      <c r="V13" s="480">
        <f>'EdeR y F de C'!Y58</f>
        <v>67789765</v>
      </c>
      <c r="W13" s="480">
        <f>'EdeR y F de C'!Z58</f>
        <v>67789765</v>
      </c>
      <c r="X13" s="480">
        <f>'EdeR y F de C'!AA58</f>
        <v>67789765</v>
      </c>
      <c r="Y13" s="480">
        <f>'EdeR y F de C'!AB58</f>
        <v>67789765</v>
      </c>
      <c r="Z13" s="480">
        <f>'EdeR y F de C'!AC58</f>
        <v>67789765</v>
      </c>
      <c r="AA13" s="480">
        <f>'EdeR y F de C'!AD58</f>
        <v>67789765</v>
      </c>
    </row>
    <row r="14" spans="2:27" x14ac:dyDescent="0.25">
      <c r="B14" s="482" t="s">
        <v>381</v>
      </c>
      <c r="C14" s="483">
        <f>C12-C13</f>
        <v>188207486</v>
      </c>
      <c r="D14" s="483">
        <f t="shared" ref="D14:AA14" si="2">D12-D13</f>
        <v>174649533</v>
      </c>
      <c r="E14" s="483">
        <f t="shared" si="2"/>
        <v>161091580</v>
      </c>
      <c r="F14" s="483">
        <f t="shared" si="2"/>
        <v>147533627</v>
      </c>
      <c r="G14" s="483">
        <f t="shared" si="2"/>
        <v>133975674</v>
      </c>
      <c r="H14" s="483">
        <f t="shared" si="2"/>
        <v>120417721</v>
      </c>
      <c r="I14" s="483">
        <f t="shared" si="2"/>
        <v>120417721</v>
      </c>
      <c r="J14" s="483">
        <f t="shared" si="2"/>
        <v>120417721</v>
      </c>
      <c r="K14" s="483">
        <f t="shared" si="2"/>
        <v>120417721</v>
      </c>
      <c r="L14" s="483">
        <f t="shared" si="2"/>
        <v>120417721</v>
      </c>
      <c r="M14" s="483">
        <f t="shared" si="2"/>
        <v>120417721</v>
      </c>
      <c r="N14" s="483">
        <f t="shared" si="2"/>
        <v>120417721</v>
      </c>
      <c r="O14" s="483">
        <f t="shared" si="2"/>
        <v>120417721</v>
      </c>
      <c r="P14" s="483">
        <f t="shared" si="2"/>
        <v>120417721</v>
      </c>
      <c r="Q14" s="483">
        <f t="shared" si="2"/>
        <v>120417721</v>
      </c>
      <c r="R14" s="483">
        <f t="shared" si="2"/>
        <v>120417721</v>
      </c>
      <c r="S14" s="483">
        <f t="shared" si="2"/>
        <v>120417721</v>
      </c>
      <c r="T14" s="483">
        <f t="shared" si="2"/>
        <v>120417721</v>
      </c>
      <c r="U14" s="483">
        <f t="shared" si="2"/>
        <v>120417721</v>
      </c>
      <c r="V14" s="483">
        <f t="shared" si="2"/>
        <v>120417721</v>
      </c>
      <c r="W14" s="483">
        <f t="shared" si="2"/>
        <v>120417721</v>
      </c>
      <c r="X14" s="483">
        <f t="shared" si="2"/>
        <v>120417721</v>
      </c>
      <c r="Y14" s="483">
        <f t="shared" si="2"/>
        <v>120417721</v>
      </c>
      <c r="Z14" s="483">
        <f t="shared" si="2"/>
        <v>120417721</v>
      </c>
      <c r="AA14" s="483">
        <f t="shared" si="2"/>
        <v>120417721</v>
      </c>
    </row>
    <row r="15" spans="2:27" x14ac:dyDescent="0.25">
      <c r="B15" s="156"/>
      <c r="C15" s="480"/>
      <c r="D15" s="480"/>
      <c r="E15" s="480"/>
      <c r="F15" s="480"/>
      <c r="G15" s="480"/>
      <c r="H15" s="480"/>
      <c r="I15" s="480"/>
      <c r="J15" s="480"/>
      <c r="K15" s="480"/>
      <c r="L15" s="480"/>
      <c r="M15" s="480"/>
      <c r="N15" s="480"/>
      <c r="O15" s="480"/>
      <c r="P15" s="480"/>
      <c r="Q15" s="480"/>
      <c r="R15" s="480"/>
      <c r="S15" s="480"/>
      <c r="T15" s="480"/>
      <c r="U15" s="480"/>
      <c r="V15" s="480"/>
      <c r="W15" s="480"/>
      <c r="X15" s="480"/>
      <c r="Y15" s="480"/>
      <c r="Z15" s="480"/>
      <c r="AA15" s="480"/>
    </row>
    <row r="16" spans="2:27" x14ac:dyDescent="0.25">
      <c r="B16" s="481"/>
      <c r="C16" s="480"/>
      <c r="D16" s="480"/>
      <c r="E16" s="480"/>
      <c r="F16" s="480"/>
      <c r="G16" s="480"/>
      <c r="H16" s="480"/>
      <c r="I16" s="480"/>
      <c r="J16" s="480"/>
      <c r="K16" s="480"/>
      <c r="L16" s="480"/>
      <c r="M16" s="480"/>
      <c r="N16" s="480"/>
      <c r="O16" s="480"/>
      <c r="P16" s="480"/>
      <c r="Q16" s="480"/>
      <c r="R16" s="480"/>
      <c r="S16" s="480"/>
      <c r="T16" s="480"/>
      <c r="U16" s="480"/>
      <c r="V16" s="480"/>
      <c r="W16" s="480"/>
      <c r="X16" s="480"/>
      <c r="Y16" s="480"/>
      <c r="Z16" s="480"/>
      <c r="AA16" s="480"/>
    </row>
    <row r="17" spans="2:27" x14ac:dyDescent="0.25">
      <c r="B17" s="481"/>
      <c r="C17" s="480"/>
      <c r="D17" s="480"/>
      <c r="E17" s="480"/>
      <c r="F17" s="480"/>
      <c r="G17" s="480"/>
      <c r="H17" s="480"/>
      <c r="I17" s="480"/>
      <c r="J17" s="480"/>
      <c r="K17" s="480"/>
      <c r="L17" s="480"/>
      <c r="M17" s="480"/>
      <c r="N17" s="480"/>
      <c r="O17" s="480"/>
      <c r="P17" s="480"/>
      <c r="Q17" s="480"/>
      <c r="R17" s="480"/>
      <c r="S17" s="480"/>
      <c r="T17" s="480"/>
      <c r="U17" s="480"/>
      <c r="V17" s="480"/>
      <c r="W17" s="480"/>
      <c r="X17" s="480"/>
      <c r="Y17" s="480"/>
      <c r="Z17" s="480"/>
      <c r="AA17" s="480"/>
    </row>
    <row r="18" spans="2:27" x14ac:dyDescent="0.25">
      <c r="B18" s="482" t="s">
        <v>382</v>
      </c>
      <c r="C18" s="483">
        <f>C16-C17</f>
        <v>0</v>
      </c>
      <c r="D18" s="483">
        <f t="shared" ref="D18:AA18" si="3">D16-D17</f>
        <v>0</v>
      </c>
      <c r="E18" s="483">
        <f t="shared" si="3"/>
        <v>0</v>
      </c>
      <c r="F18" s="483">
        <f t="shared" si="3"/>
        <v>0</v>
      </c>
      <c r="G18" s="483">
        <f t="shared" si="3"/>
        <v>0</v>
      </c>
      <c r="H18" s="483">
        <f t="shared" si="3"/>
        <v>0</v>
      </c>
      <c r="I18" s="483">
        <f t="shared" si="3"/>
        <v>0</v>
      </c>
      <c r="J18" s="483">
        <f t="shared" si="3"/>
        <v>0</v>
      </c>
      <c r="K18" s="483">
        <f t="shared" si="3"/>
        <v>0</v>
      </c>
      <c r="L18" s="483">
        <f t="shared" si="3"/>
        <v>0</v>
      </c>
      <c r="M18" s="483">
        <f t="shared" si="3"/>
        <v>0</v>
      </c>
      <c r="N18" s="483">
        <f t="shared" si="3"/>
        <v>0</v>
      </c>
      <c r="O18" s="483">
        <f t="shared" si="3"/>
        <v>0</v>
      </c>
      <c r="P18" s="483">
        <f t="shared" si="3"/>
        <v>0</v>
      </c>
      <c r="Q18" s="483">
        <f t="shared" si="3"/>
        <v>0</v>
      </c>
      <c r="R18" s="483">
        <f t="shared" si="3"/>
        <v>0</v>
      </c>
      <c r="S18" s="483">
        <f t="shared" si="3"/>
        <v>0</v>
      </c>
      <c r="T18" s="483">
        <f t="shared" si="3"/>
        <v>0</v>
      </c>
      <c r="U18" s="483">
        <f t="shared" si="3"/>
        <v>0</v>
      </c>
      <c r="V18" s="483">
        <f t="shared" si="3"/>
        <v>0</v>
      </c>
      <c r="W18" s="483">
        <f t="shared" si="3"/>
        <v>0</v>
      </c>
      <c r="X18" s="483">
        <f t="shared" si="3"/>
        <v>0</v>
      </c>
      <c r="Y18" s="483">
        <f t="shared" si="3"/>
        <v>0</v>
      </c>
      <c r="Z18" s="483">
        <f t="shared" si="3"/>
        <v>0</v>
      </c>
      <c r="AA18" s="483">
        <f t="shared" si="3"/>
        <v>0</v>
      </c>
    </row>
    <row r="19" spans="2:27" x14ac:dyDescent="0.25">
      <c r="B19" s="3"/>
      <c r="C19" s="480"/>
      <c r="D19" s="480"/>
      <c r="E19" s="480"/>
      <c r="F19" s="480"/>
      <c r="G19" s="480"/>
      <c r="H19" s="480"/>
      <c r="I19" s="480"/>
      <c r="J19" s="480"/>
      <c r="K19" s="480"/>
      <c r="L19" s="480"/>
      <c r="M19" s="480"/>
      <c r="N19" s="480"/>
      <c r="O19" s="480"/>
      <c r="P19" s="480"/>
      <c r="Q19" s="480"/>
      <c r="R19" s="480"/>
      <c r="S19" s="480"/>
      <c r="T19" s="480"/>
      <c r="U19" s="480"/>
      <c r="V19" s="480"/>
      <c r="W19" s="480"/>
      <c r="X19" s="480"/>
      <c r="Y19" s="480"/>
      <c r="Z19" s="480"/>
      <c r="AA19" s="480"/>
    </row>
    <row r="20" spans="2:27" x14ac:dyDescent="0.25">
      <c r="B20" s="482" t="s">
        <v>383</v>
      </c>
      <c r="C20" s="483">
        <f t="shared" ref="C20:AA20" si="4">C10+C14+C18</f>
        <v>188207486</v>
      </c>
      <c r="D20" s="483">
        <f t="shared" si="4"/>
        <v>-23577457</v>
      </c>
      <c r="E20" s="483">
        <f t="shared" si="4"/>
        <v>-240251410</v>
      </c>
      <c r="F20" s="483">
        <f t="shared" si="4"/>
        <v>-458331363</v>
      </c>
      <c r="G20" s="483">
        <f t="shared" si="4"/>
        <v>-677276116</v>
      </c>
      <c r="H20" s="483">
        <f t="shared" si="4"/>
        <v>-895642469</v>
      </c>
      <c r="I20" s="483">
        <f t="shared" si="4"/>
        <v>-895642469</v>
      </c>
      <c r="J20" s="483">
        <f t="shared" si="4"/>
        <v>-895642469</v>
      </c>
      <c r="K20" s="483">
        <f t="shared" si="4"/>
        <v>-895642469</v>
      </c>
      <c r="L20" s="483">
        <f t="shared" si="4"/>
        <v>-895642469</v>
      </c>
      <c r="M20" s="483">
        <f t="shared" si="4"/>
        <v>-895642469</v>
      </c>
      <c r="N20" s="483">
        <f t="shared" si="4"/>
        <v>-895642469</v>
      </c>
      <c r="O20" s="483">
        <f t="shared" si="4"/>
        <v>-895642469</v>
      </c>
      <c r="P20" s="483">
        <f t="shared" si="4"/>
        <v>-895642469</v>
      </c>
      <c r="Q20" s="483">
        <f t="shared" si="4"/>
        <v>-895642469</v>
      </c>
      <c r="R20" s="483">
        <f t="shared" si="4"/>
        <v>-895642469</v>
      </c>
      <c r="S20" s="483">
        <f t="shared" si="4"/>
        <v>-895642469</v>
      </c>
      <c r="T20" s="483">
        <f t="shared" si="4"/>
        <v>-895642469</v>
      </c>
      <c r="U20" s="483">
        <f t="shared" si="4"/>
        <v>-895642469</v>
      </c>
      <c r="V20" s="483">
        <f t="shared" si="4"/>
        <v>-895642469</v>
      </c>
      <c r="W20" s="483">
        <f t="shared" si="4"/>
        <v>-895642469</v>
      </c>
      <c r="X20" s="483">
        <f t="shared" si="4"/>
        <v>-895642469</v>
      </c>
      <c r="Y20" s="483">
        <f t="shared" si="4"/>
        <v>-895642469</v>
      </c>
      <c r="Z20" s="483">
        <f t="shared" si="4"/>
        <v>-895642469</v>
      </c>
      <c r="AA20" s="483">
        <f t="shared" si="4"/>
        <v>-895642469</v>
      </c>
    </row>
    <row r="21" spans="2:27" x14ac:dyDescent="0.25">
      <c r="B21" s="3"/>
      <c r="C21" s="480"/>
      <c r="D21" s="480"/>
      <c r="E21" s="480"/>
      <c r="F21" s="480"/>
      <c r="G21" s="480"/>
      <c r="H21" s="480"/>
      <c r="I21" s="480"/>
      <c r="J21" s="480"/>
      <c r="K21" s="480"/>
      <c r="L21" s="480"/>
      <c r="M21" s="480"/>
      <c r="N21" s="480"/>
      <c r="O21" s="480"/>
      <c r="P21" s="480"/>
      <c r="Q21" s="480"/>
      <c r="R21" s="480"/>
      <c r="S21" s="480"/>
      <c r="T21" s="480"/>
      <c r="U21" s="480"/>
      <c r="V21" s="480"/>
      <c r="W21" s="480"/>
      <c r="X21" s="480"/>
      <c r="Y21" s="480"/>
      <c r="Z21" s="480"/>
      <c r="AA21" s="480"/>
    </row>
    <row r="22" spans="2:27" x14ac:dyDescent="0.25">
      <c r="B22" s="165" t="s">
        <v>384</v>
      </c>
      <c r="C22" s="479"/>
      <c r="D22" s="480"/>
      <c r="E22" s="480"/>
      <c r="F22" s="480"/>
      <c r="G22" s="480"/>
      <c r="H22" s="480"/>
      <c r="I22" s="480"/>
      <c r="J22" s="480"/>
      <c r="K22" s="480"/>
      <c r="L22" s="480"/>
      <c r="M22" s="480"/>
      <c r="N22" s="480"/>
      <c r="O22" s="480"/>
      <c r="P22" s="480"/>
      <c r="Q22" s="480"/>
      <c r="R22" s="480"/>
      <c r="S22" s="480"/>
      <c r="T22" s="480"/>
      <c r="U22" s="480"/>
      <c r="V22" s="480"/>
      <c r="W22" s="480"/>
      <c r="X22" s="480"/>
      <c r="Y22" s="480"/>
      <c r="Z22" s="480"/>
      <c r="AA22" s="480"/>
    </row>
    <row r="23" spans="2:27" x14ac:dyDescent="0.25">
      <c r="B23" s="481" t="s">
        <v>385</v>
      </c>
      <c r="C23" s="480">
        <f>+'Flujo de Efectivo'!C20</f>
        <v>0</v>
      </c>
      <c r="D23" s="480">
        <f>+'Flujo de Efectivo'!D20</f>
        <v>0</v>
      </c>
      <c r="E23" s="480">
        <f>+'Flujo de Efectivo'!E20</f>
        <v>0</v>
      </c>
      <c r="F23" s="480">
        <f>+'Flujo de Efectivo'!F20</f>
        <v>0</v>
      </c>
      <c r="G23" s="480">
        <f>+'Flujo de Efectivo'!G20</f>
        <v>0</v>
      </c>
      <c r="H23" s="480">
        <f>+'Flujo de Efectivo'!H20</f>
        <v>0</v>
      </c>
      <c r="I23" s="480">
        <f>+'Flujo de Efectivo'!I20</f>
        <v>0</v>
      </c>
      <c r="J23" s="480">
        <f>+'Flujo de Efectivo'!J20</f>
        <v>0</v>
      </c>
      <c r="K23" s="480">
        <f>+'Flujo de Efectivo'!K20</f>
        <v>0</v>
      </c>
      <c r="L23" s="480">
        <f>+'Flujo de Efectivo'!L20</f>
        <v>0</v>
      </c>
      <c r="M23" s="480">
        <f>+'Flujo de Efectivo'!M20</f>
        <v>0</v>
      </c>
      <c r="N23" s="480">
        <f>+'Flujo de Efectivo'!N20</f>
        <v>0</v>
      </c>
      <c r="O23" s="480">
        <f>+'Flujo de Efectivo'!O20</f>
        <v>0</v>
      </c>
      <c r="P23" s="480">
        <f>+'Flujo de Efectivo'!P20</f>
        <v>0</v>
      </c>
      <c r="Q23" s="480">
        <f>+'Flujo de Efectivo'!Q20</f>
        <v>0</v>
      </c>
      <c r="R23" s="480">
        <f>+'Flujo de Efectivo'!R20</f>
        <v>0</v>
      </c>
      <c r="S23" s="480">
        <f>+'Flujo de Efectivo'!S20</f>
        <v>0</v>
      </c>
      <c r="T23" s="480">
        <f>+'Flujo de Efectivo'!T20</f>
        <v>0</v>
      </c>
      <c r="U23" s="480">
        <f>+'Flujo de Efectivo'!U20</f>
        <v>0</v>
      </c>
      <c r="V23" s="480">
        <f>+'Flujo de Efectivo'!V20</f>
        <v>0</v>
      </c>
      <c r="W23" s="480">
        <f>+'Flujo de Efectivo'!W20</f>
        <v>0</v>
      </c>
      <c r="X23" s="480">
        <f>+'Flujo de Efectivo'!X20</f>
        <v>0</v>
      </c>
      <c r="Y23" s="480">
        <f>+'Flujo de Efectivo'!Y20</f>
        <v>0</v>
      </c>
      <c r="Z23" s="480">
        <f>+'Flujo de Efectivo'!Z20</f>
        <v>0</v>
      </c>
      <c r="AA23" s="480">
        <f>+'Flujo de Efectivo'!AA20</f>
        <v>0</v>
      </c>
    </row>
    <row r="24" spans="2:27" x14ac:dyDescent="0.25">
      <c r="B24" s="481" t="s">
        <v>386</v>
      </c>
      <c r="C24" s="480">
        <f>'EdeR y F de C'!F69</f>
        <v>0</v>
      </c>
      <c r="D24" s="480">
        <f>'EdeR y F de C'!G69</f>
        <v>0</v>
      </c>
      <c r="E24" s="480">
        <f>'EdeR y F de C'!H69</f>
        <v>0</v>
      </c>
      <c r="F24" s="480">
        <f>'EdeR y F de C'!I69</f>
        <v>0</v>
      </c>
      <c r="G24" s="480">
        <f>'EdeR y F de C'!J69</f>
        <v>0</v>
      </c>
      <c r="H24" s="480">
        <f>'EdeR y F de C'!K69</f>
        <v>0</v>
      </c>
      <c r="I24" s="480">
        <f>'EdeR y F de C'!L69</f>
        <v>0</v>
      </c>
      <c r="J24" s="480">
        <f>'EdeR y F de C'!M69</f>
        <v>0</v>
      </c>
      <c r="K24" s="480">
        <f>'EdeR y F de C'!N69</f>
        <v>0</v>
      </c>
      <c r="L24" s="480">
        <f>'EdeR y F de C'!O69</f>
        <v>0</v>
      </c>
      <c r="M24" s="480">
        <f>'EdeR y F de C'!P69</f>
        <v>0</v>
      </c>
      <c r="N24" s="480">
        <f>'EdeR y F de C'!Q69</f>
        <v>0</v>
      </c>
      <c r="O24" s="480">
        <f>'EdeR y F de C'!R69</f>
        <v>0</v>
      </c>
      <c r="P24" s="480">
        <f>'EdeR y F de C'!S69</f>
        <v>0</v>
      </c>
      <c r="Q24" s="480">
        <f>'EdeR y F de C'!T69</f>
        <v>0</v>
      </c>
      <c r="R24" s="480">
        <f>'EdeR y F de C'!U69</f>
        <v>0</v>
      </c>
      <c r="S24" s="480">
        <f>'EdeR y F de C'!V69</f>
        <v>0</v>
      </c>
      <c r="T24" s="480">
        <f>'EdeR y F de C'!W69</f>
        <v>0</v>
      </c>
      <c r="U24" s="480">
        <f>'EdeR y F de C'!X69</f>
        <v>0</v>
      </c>
      <c r="V24" s="480">
        <f>'EdeR y F de C'!Y69</f>
        <v>0</v>
      </c>
      <c r="W24" s="480">
        <f>'EdeR y F de C'!Z69</f>
        <v>0</v>
      </c>
      <c r="X24" s="480">
        <f>'EdeR y F de C'!AA69</f>
        <v>0</v>
      </c>
      <c r="Y24" s="480">
        <f>'EdeR y F de C'!AB69</f>
        <v>0</v>
      </c>
      <c r="Z24" s="480">
        <f>'EdeR y F de C'!AC69</f>
        <v>0</v>
      </c>
      <c r="AA24" s="480">
        <f>'EdeR y F de C'!AD69</f>
        <v>0</v>
      </c>
    </row>
    <row r="25" spans="2:27" x14ac:dyDescent="0.25">
      <c r="B25" s="481" t="s">
        <v>387</v>
      </c>
      <c r="C25" s="480">
        <f>'EdeR y F de C'!F76</f>
        <v>0</v>
      </c>
      <c r="D25" s="480">
        <f>'EdeR y F de C'!G76</f>
        <v>0</v>
      </c>
      <c r="E25" s="480">
        <f>'EdeR y F de C'!H76</f>
        <v>0</v>
      </c>
      <c r="F25" s="480">
        <f>'EdeR y F de C'!I76</f>
        <v>0</v>
      </c>
      <c r="G25" s="480">
        <f>'EdeR y F de C'!J76</f>
        <v>0</v>
      </c>
      <c r="H25" s="480">
        <f>'EdeR y F de C'!K76</f>
        <v>0</v>
      </c>
      <c r="I25" s="480">
        <f>'EdeR y F de C'!L76</f>
        <v>0</v>
      </c>
      <c r="J25" s="480">
        <f>'EdeR y F de C'!M76</f>
        <v>0</v>
      </c>
      <c r="K25" s="480">
        <f>'EdeR y F de C'!N76</f>
        <v>0</v>
      </c>
      <c r="L25" s="480">
        <f>'EdeR y F de C'!O76</f>
        <v>0</v>
      </c>
      <c r="M25" s="480">
        <f>'EdeR y F de C'!P76</f>
        <v>0</v>
      </c>
      <c r="N25" s="480">
        <f>'EdeR y F de C'!Q76</f>
        <v>0</v>
      </c>
      <c r="O25" s="480">
        <f>'EdeR y F de C'!R76</f>
        <v>0</v>
      </c>
      <c r="P25" s="480">
        <f>'EdeR y F de C'!S76</f>
        <v>0</v>
      </c>
      <c r="Q25" s="480">
        <f>'EdeR y F de C'!T76</f>
        <v>0</v>
      </c>
      <c r="R25" s="480">
        <f>'EdeR y F de C'!U76</f>
        <v>0</v>
      </c>
      <c r="S25" s="480">
        <f>'EdeR y F de C'!V76</f>
        <v>0</v>
      </c>
      <c r="T25" s="480">
        <f>'EdeR y F de C'!W76</f>
        <v>0</v>
      </c>
      <c r="U25" s="480">
        <f>'EdeR y F de C'!X76</f>
        <v>0</v>
      </c>
      <c r="V25" s="480">
        <f>'EdeR y F de C'!Y76</f>
        <v>0</v>
      </c>
      <c r="W25" s="480">
        <f>'EdeR y F de C'!Z76</f>
        <v>0</v>
      </c>
      <c r="X25" s="480">
        <f>'EdeR y F de C'!AA76</f>
        <v>0</v>
      </c>
      <c r="Y25" s="480">
        <f>'EdeR y F de C'!AB76</f>
        <v>0</v>
      </c>
      <c r="Z25" s="480">
        <f>'EdeR y F de C'!AC76</f>
        <v>0</v>
      </c>
      <c r="AA25" s="480">
        <f>'EdeR y F de C'!AD76</f>
        <v>0</v>
      </c>
    </row>
    <row r="26" spans="2:27" x14ac:dyDescent="0.25">
      <c r="B26" s="3"/>
      <c r="C26" s="480"/>
      <c r="D26" s="480"/>
      <c r="E26" s="480"/>
      <c r="F26" s="480"/>
      <c r="G26" s="480"/>
      <c r="H26" s="480"/>
      <c r="I26" s="480"/>
      <c r="J26" s="480"/>
      <c r="K26" s="480"/>
      <c r="L26" s="480"/>
      <c r="M26" s="480"/>
      <c r="N26" s="480"/>
      <c r="O26" s="480"/>
      <c r="P26" s="480"/>
      <c r="Q26" s="480"/>
      <c r="R26" s="480"/>
      <c r="S26" s="480"/>
      <c r="T26" s="480"/>
      <c r="U26" s="480"/>
      <c r="V26" s="480"/>
      <c r="W26" s="480"/>
      <c r="X26" s="480"/>
      <c r="Y26" s="480"/>
      <c r="Z26" s="480"/>
      <c r="AA26" s="480"/>
    </row>
    <row r="27" spans="2:27" x14ac:dyDescent="0.25">
      <c r="B27" s="482" t="s">
        <v>388</v>
      </c>
      <c r="C27" s="483">
        <f>SUM(C23:C26)</f>
        <v>0</v>
      </c>
      <c r="D27" s="483">
        <f t="shared" ref="D27:AA27" si="5">SUM(D23:D26)</f>
        <v>0</v>
      </c>
      <c r="E27" s="483">
        <f t="shared" si="5"/>
        <v>0</v>
      </c>
      <c r="F27" s="483">
        <f t="shared" si="5"/>
        <v>0</v>
      </c>
      <c r="G27" s="483">
        <f t="shared" si="5"/>
        <v>0</v>
      </c>
      <c r="H27" s="483">
        <f t="shared" si="5"/>
        <v>0</v>
      </c>
      <c r="I27" s="483">
        <f t="shared" si="5"/>
        <v>0</v>
      </c>
      <c r="J27" s="483">
        <f t="shared" si="5"/>
        <v>0</v>
      </c>
      <c r="K27" s="483">
        <f t="shared" si="5"/>
        <v>0</v>
      </c>
      <c r="L27" s="483">
        <f t="shared" si="5"/>
        <v>0</v>
      </c>
      <c r="M27" s="483">
        <f t="shared" si="5"/>
        <v>0</v>
      </c>
      <c r="N27" s="483">
        <f t="shared" si="5"/>
        <v>0</v>
      </c>
      <c r="O27" s="483">
        <f t="shared" si="5"/>
        <v>0</v>
      </c>
      <c r="P27" s="483">
        <f t="shared" si="5"/>
        <v>0</v>
      </c>
      <c r="Q27" s="483">
        <f t="shared" si="5"/>
        <v>0</v>
      </c>
      <c r="R27" s="483">
        <f t="shared" si="5"/>
        <v>0</v>
      </c>
      <c r="S27" s="483">
        <f t="shared" si="5"/>
        <v>0</v>
      </c>
      <c r="T27" s="483">
        <f t="shared" si="5"/>
        <v>0</v>
      </c>
      <c r="U27" s="483">
        <f t="shared" si="5"/>
        <v>0</v>
      </c>
      <c r="V27" s="483">
        <f t="shared" si="5"/>
        <v>0</v>
      </c>
      <c r="W27" s="483">
        <f t="shared" si="5"/>
        <v>0</v>
      </c>
      <c r="X27" s="483">
        <f t="shared" si="5"/>
        <v>0</v>
      </c>
      <c r="Y27" s="483">
        <f t="shared" si="5"/>
        <v>0</v>
      </c>
      <c r="Z27" s="483">
        <f t="shared" si="5"/>
        <v>0</v>
      </c>
      <c r="AA27" s="483">
        <f t="shared" si="5"/>
        <v>0</v>
      </c>
    </row>
    <row r="28" spans="2:27" x14ac:dyDescent="0.25">
      <c r="B28" s="484"/>
      <c r="C28" s="479"/>
      <c r="D28" s="480"/>
      <c r="E28" s="480"/>
      <c r="F28" s="480"/>
      <c r="G28" s="480"/>
      <c r="H28" s="480"/>
      <c r="I28" s="480"/>
      <c r="J28" s="480"/>
      <c r="K28" s="480"/>
      <c r="L28" s="480"/>
      <c r="M28" s="480"/>
      <c r="N28" s="480"/>
      <c r="O28" s="480"/>
      <c r="P28" s="480"/>
      <c r="Q28" s="480"/>
      <c r="R28" s="480"/>
      <c r="S28" s="480"/>
      <c r="T28" s="480"/>
      <c r="U28" s="480"/>
      <c r="V28" s="480"/>
      <c r="W28" s="480"/>
      <c r="X28" s="480"/>
      <c r="Y28" s="480"/>
      <c r="Z28" s="480"/>
      <c r="AA28" s="480"/>
    </row>
    <row r="29" spans="2:27" x14ac:dyDescent="0.25">
      <c r="B29" s="481" t="s">
        <v>385</v>
      </c>
      <c r="C29" s="480"/>
      <c r="D29" s="480"/>
      <c r="E29" s="480"/>
      <c r="F29" s="480"/>
      <c r="G29" s="480"/>
      <c r="H29" s="480"/>
      <c r="I29" s="480"/>
      <c r="J29" s="480"/>
      <c r="K29" s="480"/>
      <c r="L29" s="480"/>
      <c r="M29" s="480"/>
      <c r="N29" s="480"/>
      <c r="O29" s="480"/>
      <c r="P29" s="480"/>
      <c r="Q29" s="480"/>
      <c r="R29" s="480"/>
      <c r="S29" s="480"/>
      <c r="T29" s="480"/>
      <c r="U29" s="480"/>
      <c r="V29" s="480"/>
      <c r="W29" s="480"/>
      <c r="X29" s="480"/>
      <c r="Y29" s="480"/>
      <c r="Z29" s="480"/>
      <c r="AA29" s="480"/>
    </row>
    <row r="30" spans="2:27" x14ac:dyDescent="0.25">
      <c r="B30" s="481" t="s">
        <v>386</v>
      </c>
      <c r="C30" s="480"/>
      <c r="D30" s="480"/>
      <c r="E30" s="480"/>
      <c r="F30" s="480"/>
      <c r="G30" s="480"/>
      <c r="H30" s="480"/>
      <c r="I30" s="480"/>
      <c r="J30" s="480"/>
      <c r="K30" s="480"/>
      <c r="L30" s="480"/>
      <c r="M30" s="480"/>
      <c r="N30" s="480"/>
      <c r="O30" s="480"/>
      <c r="P30" s="480"/>
      <c r="Q30" s="480"/>
      <c r="R30" s="480"/>
      <c r="S30" s="480"/>
      <c r="T30" s="480"/>
      <c r="U30" s="480"/>
      <c r="V30" s="480"/>
      <c r="W30" s="480"/>
      <c r="X30" s="480"/>
      <c r="Y30" s="480"/>
      <c r="Z30" s="480"/>
      <c r="AA30" s="480"/>
    </row>
    <row r="31" spans="2:27" x14ac:dyDescent="0.25">
      <c r="B31" s="481" t="s">
        <v>387</v>
      </c>
      <c r="C31" s="480">
        <f>'Flujo de Efectivo'!C12</f>
        <v>0</v>
      </c>
      <c r="D31" s="480">
        <f>'Flujo de Efectivo'!D12</f>
        <v>0</v>
      </c>
      <c r="E31" s="480">
        <f>'Flujo de Efectivo'!E12</f>
        <v>0</v>
      </c>
      <c r="F31" s="480">
        <f>'Flujo de Efectivo'!F12</f>
        <v>0</v>
      </c>
      <c r="G31" s="480">
        <f>'Flujo de Efectivo'!G12</f>
        <v>0</v>
      </c>
      <c r="H31" s="480">
        <f>'Flujo de Efectivo'!H12</f>
        <v>0</v>
      </c>
      <c r="I31" s="480">
        <f>'Flujo de Efectivo'!I12</f>
        <v>0</v>
      </c>
      <c r="J31" s="480">
        <f>'Flujo de Efectivo'!J12</f>
        <v>0</v>
      </c>
      <c r="K31" s="480">
        <f>'Flujo de Efectivo'!K12</f>
        <v>0</v>
      </c>
      <c r="L31" s="480">
        <f>'Flujo de Efectivo'!L12</f>
        <v>0</v>
      </c>
      <c r="M31" s="480">
        <f>'Flujo de Efectivo'!M12</f>
        <v>0</v>
      </c>
      <c r="N31" s="480">
        <f>'Flujo de Efectivo'!N12</f>
        <v>0</v>
      </c>
      <c r="O31" s="480">
        <f>'Flujo de Efectivo'!O12</f>
        <v>0</v>
      </c>
      <c r="P31" s="480">
        <f>'Flujo de Efectivo'!P12</f>
        <v>0</v>
      </c>
      <c r="Q31" s="480">
        <f>'Flujo de Efectivo'!Q12</f>
        <v>0</v>
      </c>
      <c r="R31" s="480">
        <f>'Flujo de Efectivo'!R12</f>
        <v>0</v>
      </c>
      <c r="S31" s="480">
        <f>'Flujo de Efectivo'!S12</f>
        <v>0</v>
      </c>
      <c r="T31" s="480">
        <f>'Flujo de Efectivo'!T12</f>
        <v>0</v>
      </c>
      <c r="U31" s="480">
        <f>'Flujo de Efectivo'!U12</f>
        <v>0</v>
      </c>
      <c r="V31" s="480">
        <f>'Flujo de Efectivo'!V12</f>
        <v>0</v>
      </c>
      <c r="W31" s="480">
        <f>'Flujo de Efectivo'!W12</f>
        <v>0</v>
      </c>
      <c r="X31" s="480">
        <f>'Flujo de Efectivo'!X12</f>
        <v>0</v>
      </c>
      <c r="Y31" s="480">
        <f>'Flujo de Efectivo'!Y12</f>
        <v>0</v>
      </c>
      <c r="Z31" s="480">
        <f>'Flujo de Efectivo'!Z12</f>
        <v>0</v>
      </c>
      <c r="AA31" s="480">
        <f>'Flujo de Efectivo'!AA12</f>
        <v>0</v>
      </c>
    </row>
    <row r="32" spans="2:27" x14ac:dyDescent="0.25">
      <c r="B32" s="484"/>
      <c r="C32" s="479"/>
      <c r="D32" s="480"/>
      <c r="E32" s="480"/>
      <c r="F32" s="480"/>
      <c r="G32" s="480"/>
      <c r="H32" s="480"/>
      <c r="I32" s="480"/>
      <c r="J32" s="480"/>
      <c r="K32" s="480"/>
      <c r="L32" s="480"/>
      <c r="M32" s="480"/>
      <c r="N32" s="480"/>
      <c r="O32" s="480"/>
      <c r="P32" s="480"/>
      <c r="Q32" s="480"/>
      <c r="R32" s="480"/>
      <c r="S32" s="480"/>
      <c r="T32" s="480"/>
      <c r="U32" s="480"/>
      <c r="V32" s="480"/>
      <c r="W32" s="480"/>
      <c r="X32" s="480"/>
      <c r="Y32" s="480"/>
      <c r="Z32" s="480"/>
      <c r="AA32" s="480"/>
    </row>
    <row r="33" spans="2:27" x14ac:dyDescent="0.25">
      <c r="B33" s="482" t="s">
        <v>389</v>
      </c>
      <c r="C33" s="483">
        <f>SUM(C29:C32)</f>
        <v>0</v>
      </c>
      <c r="D33" s="483">
        <f t="shared" ref="D33:AA33" si="6">SUM(D29:D32)</f>
        <v>0</v>
      </c>
      <c r="E33" s="483">
        <f t="shared" si="6"/>
        <v>0</v>
      </c>
      <c r="F33" s="483">
        <f t="shared" si="6"/>
        <v>0</v>
      </c>
      <c r="G33" s="483">
        <f t="shared" si="6"/>
        <v>0</v>
      </c>
      <c r="H33" s="483">
        <f t="shared" si="6"/>
        <v>0</v>
      </c>
      <c r="I33" s="483">
        <f t="shared" si="6"/>
        <v>0</v>
      </c>
      <c r="J33" s="483">
        <f t="shared" si="6"/>
        <v>0</v>
      </c>
      <c r="K33" s="483">
        <f t="shared" si="6"/>
        <v>0</v>
      </c>
      <c r="L33" s="483">
        <f t="shared" si="6"/>
        <v>0</v>
      </c>
      <c r="M33" s="483">
        <f t="shared" si="6"/>
        <v>0</v>
      </c>
      <c r="N33" s="483">
        <f t="shared" si="6"/>
        <v>0</v>
      </c>
      <c r="O33" s="483">
        <f t="shared" si="6"/>
        <v>0</v>
      </c>
      <c r="P33" s="483">
        <f t="shared" si="6"/>
        <v>0</v>
      </c>
      <c r="Q33" s="483">
        <f t="shared" si="6"/>
        <v>0</v>
      </c>
      <c r="R33" s="483">
        <f t="shared" si="6"/>
        <v>0</v>
      </c>
      <c r="S33" s="483">
        <f t="shared" si="6"/>
        <v>0</v>
      </c>
      <c r="T33" s="483">
        <f t="shared" si="6"/>
        <v>0</v>
      </c>
      <c r="U33" s="483">
        <f t="shared" si="6"/>
        <v>0</v>
      </c>
      <c r="V33" s="483">
        <f t="shared" si="6"/>
        <v>0</v>
      </c>
      <c r="W33" s="483">
        <f t="shared" si="6"/>
        <v>0</v>
      </c>
      <c r="X33" s="483">
        <f t="shared" si="6"/>
        <v>0</v>
      </c>
      <c r="Y33" s="483">
        <f t="shared" si="6"/>
        <v>0</v>
      </c>
      <c r="Z33" s="483">
        <f t="shared" si="6"/>
        <v>0</v>
      </c>
      <c r="AA33" s="483">
        <f t="shared" si="6"/>
        <v>0</v>
      </c>
    </row>
    <row r="34" spans="2:27" x14ac:dyDescent="0.25">
      <c r="B34" s="484"/>
      <c r="C34" s="479"/>
      <c r="D34" s="480"/>
      <c r="E34" s="480"/>
      <c r="F34" s="480"/>
      <c r="G34" s="480"/>
      <c r="H34" s="480"/>
      <c r="I34" s="480"/>
      <c r="J34" s="480"/>
      <c r="K34" s="480"/>
      <c r="L34" s="480"/>
      <c r="M34" s="480"/>
      <c r="N34" s="480"/>
      <c r="O34" s="480"/>
      <c r="P34" s="480"/>
      <c r="Q34" s="480"/>
      <c r="R34" s="480"/>
      <c r="S34" s="480"/>
      <c r="T34" s="480"/>
      <c r="U34" s="480"/>
      <c r="V34" s="480"/>
      <c r="W34" s="480"/>
      <c r="X34" s="480"/>
      <c r="Y34" s="480"/>
      <c r="Z34" s="480"/>
      <c r="AA34" s="480"/>
    </row>
    <row r="35" spans="2:27" x14ac:dyDescent="0.25">
      <c r="B35" s="482" t="s">
        <v>390</v>
      </c>
      <c r="C35" s="483">
        <f>C27+C33</f>
        <v>0</v>
      </c>
      <c r="D35" s="483">
        <f t="shared" ref="D35:AA35" si="7">D27+D33</f>
        <v>0</v>
      </c>
      <c r="E35" s="483">
        <f t="shared" si="7"/>
        <v>0</v>
      </c>
      <c r="F35" s="483">
        <f t="shared" si="7"/>
        <v>0</v>
      </c>
      <c r="G35" s="483">
        <f t="shared" si="7"/>
        <v>0</v>
      </c>
      <c r="H35" s="483">
        <f t="shared" si="7"/>
        <v>0</v>
      </c>
      <c r="I35" s="483">
        <f t="shared" si="7"/>
        <v>0</v>
      </c>
      <c r="J35" s="483">
        <f t="shared" si="7"/>
        <v>0</v>
      </c>
      <c r="K35" s="483">
        <f t="shared" si="7"/>
        <v>0</v>
      </c>
      <c r="L35" s="483">
        <f t="shared" si="7"/>
        <v>0</v>
      </c>
      <c r="M35" s="483">
        <f t="shared" si="7"/>
        <v>0</v>
      </c>
      <c r="N35" s="483">
        <f t="shared" si="7"/>
        <v>0</v>
      </c>
      <c r="O35" s="483">
        <f t="shared" si="7"/>
        <v>0</v>
      </c>
      <c r="P35" s="483">
        <f t="shared" si="7"/>
        <v>0</v>
      </c>
      <c r="Q35" s="483">
        <f t="shared" si="7"/>
        <v>0</v>
      </c>
      <c r="R35" s="483">
        <f t="shared" si="7"/>
        <v>0</v>
      </c>
      <c r="S35" s="483">
        <f t="shared" si="7"/>
        <v>0</v>
      </c>
      <c r="T35" s="483">
        <f t="shared" si="7"/>
        <v>0</v>
      </c>
      <c r="U35" s="483">
        <f t="shared" si="7"/>
        <v>0</v>
      </c>
      <c r="V35" s="483">
        <f t="shared" si="7"/>
        <v>0</v>
      </c>
      <c r="W35" s="483">
        <f t="shared" si="7"/>
        <v>0</v>
      </c>
      <c r="X35" s="483">
        <f t="shared" si="7"/>
        <v>0</v>
      </c>
      <c r="Y35" s="483">
        <f t="shared" si="7"/>
        <v>0</v>
      </c>
      <c r="Z35" s="483">
        <f t="shared" si="7"/>
        <v>0</v>
      </c>
      <c r="AA35" s="483">
        <f t="shared" si="7"/>
        <v>0</v>
      </c>
    </row>
    <row r="36" spans="2:27" x14ac:dyDescent="0.25">
      <c r="B36" s="165"/>
      <c r="C36" s="479"/>
      <c r="D36" s="480"/>
      <c r="E36" s="480"/>
      <c r="F36" s="480"/>
      <c r="G36" s="480"/>
      <c r="H36" s="480"/>
      <c r="I36" s="480"/>
      <c r="J36" s="480"/>
      <c r="K36" s="480"/>
      <c r="L36" s="480"/>
      <c r="M36" s="480"/>
      <c r="N36" s="480"/>
      <c r="O36" s="480"/>
      <c r="P36" s="480"/>
      <c r="Q36" s="480"/>
      <c r="R36" s="480"/>
      <c r="S36" s="480"/>
      <c r="T36" s="480"/>
      <c r="U36" s="480"/>
      <c r="V36" s="480"/>
      <c r="W36" s="480"/>
      <c r="X36" s="480"/>
      <c r="Y36" s="480"/>
      <c r="Z36" s="480"/>
      <c r="AA36" s="480"/>
    </row>
    <row r="37" spans="2:27" x14ac:dyDescent="0.25">
      <c r="B37" s="165" t="s">
        <v>391</v>
      </c>
      <c r="C37" s="479"/>
      <c r="D37" s="480"/>
      <c r="E37" s="480"/>
      <c r="F37" s="480"/>
      <c r="G37" s="480"/>
      <c r="H37" s="480"/>
      <c r="I37" s="480"/>
      <c r="J37" s="480"/>
      <c r="K37" s="480"/>
      <c r="L37" s="480"/>
      <c r="M37" s="480"/>
      <c r="N37" s="480"/>
      <c r="O37" s="480"/>
      <c r="P37" s="480"/>
      <c r="Q37" s="480"/>
      <c r="R37" s="480"/>
      <c r="S37" s="480"/>
      <c r="T37" s="480"/>
      <c r="U37" s="480"/>
      <c r="V37" s="480"/>
      <c r="W37" s="480"/>
      <c r="X37" s="480"/>
      <c r="Y37" s="480"/>
      <c r="Z37" s="480"/>
      <c r="AA37" s="480"/>
    </row>
    <row r="38" spans="2:27" x14ac:dyDescent="0.25">
      <c r="B38" s="481" t="s">
        <v>392</v>
      </c>
      <c r="C38" s="480">
        <f>+'Flujo de Efectivo'!C11</f>
        <v>188207486</v>
      </c>
      <c r="D38" s="480">
        <f>+'Flujo de Efectivo'!D11</f>
        <v>0</v>
      </c>
      <c r="E38" s="480">
        <f>+'Flujo de Efectivo'!E11</f>
        <v>0</v>
      </c>
      <c r="F38" s="480">
        <f>+'Flujo de Efectivo'!F11</f>
        <v>0</v>
      </c>
      <c r="G38" s="480">
        <f>+'Flujo de Efectivo'!G11</f>
        <v>0</v>
      </c>
      <c r="H38" s="480">
        <f>+'Flujo de Efectivo'!H11</f>
        <v>0</v>
      </c>
      <c r="I38" s="480">
        <f>+'Flujo de Efectivo'!I11</f>
        <v>0</v>
      </c>
      <c r="J38" s="480">
        <f>+'Flujo de Efectivo'!J11</f>
        <v>0</v>
      </c>
      <c r="K38" s="480">
        <f>+'Flujo de Efectivo'!K11</f>
        <v>0</v>
      </c>
      <c r="L38" s="480">
        <f>+'Flujo de Efectivo'!L11</f>
        <v>0</v>
      </c>
      <c r="M38" s="480">
        <f>+'Flujo de Efectivo'!M11</f>
        <v>0</v>
      </c>
      <c r="N38" s="480">
        <f>+'Flujo de Efectivo'!N11</f>
        <v>0</v>
      </c>
      <c r="O38" s="480">
        <f>+'Flujo de Efectivo'!O11</f>
        <v>0</v>
      </c>
      <c r="P38" s="480">
        <f>+'Flujo de Efectivo'!P11</f>
        <v>0</v>
      </c>
      <c r="Q38" s="480">
        <f>+'Flujo de Efectivo'!Q11</f>
        <v>0</v>
      </c>
      <c r="R38" s="480">
        <f>+'Flujo de Efectivo'!R11</f>
        <v>0</v>
      </c>
      <c r="S38" s="480">
        <f>+'Flujo de Efectivo'!S11</f>
        <v>0</v>
      </c>
      <c r="T38" s="480">
        <f>+'Flujo de Efectivo'!T11</f>
        <v>0</v>
      </c>
      <c r="U38" s="480">
        <f>+'Flujo de Efectivo'!U11</f>
        <v>0</v>
      </c>
      <c r="V38" s="480">
        <f>+'Flujo de Efectivo'!V11</f>
        <v>0</v>
      </c>
      <c r="W38" s="480">
        <f>+'Flujo de Efectivo'!W11</f>
        <v>0</v>
      </c>
      <c r="X38" s="480">
        <f>+'Flujo de Efectivo'!X11</f>
        <v>0</v>
      </c>
      <c r="Y38" s="480">
        <f>+'Flujo de Efectivo'!Y11</f>
        <v>0</v>
      </c>
      <c r="Z38" s="480">
        <f>+'Flujo de Efectivo'!Z11</f>
        <v>0</v>
      </c>
      <c r="AA38" s="480">
        <f>+'Flujo de Efectivo'!AA11</f>
        <v>0</v>
      </c>
    </row>
    <row r="39" spans="2:27" x14ac:dyDescent="0.25">
      <c r="B39" s="481" t="s">
        <v>393</v>
      </c>
      <c r="C39" s="480">
        <f>+'EdeR y F de C'!F72</f>
        <v>0</v>
      </c>
      <c r="D39" s="480">
        <f>+'EdeR y F de C'!G72</f>
        <v>-211784943</v>
      </c>
      <c r="E39" s="480">
        <f>+'EdeR y F de C'!H72</f>
        <v>-216673953</v>
      </c>
      <c r="F39" s="480">
        <f>+'EdeR y F de C'!I72</f>
        <v>-218079953</v>
      </c>
      <c r="G39" s="480">
        <f>+'EdeR y F de C'!J72</f>
        <v>-218944753</v>
      </c>
      <c r="H39" s="480">
        <f>+'EdeR y F de C'!K72</f>
        <v>-218366353</v>
      </c>
      <c r="I39" s="480">
        <f>+'EdeR y F de C'!L72</f>
        <v>0</v>
      </c>
      <c r="J39" s="480">
        <f>+'EdeR y F de C'!M72</f>
        <v>0</v>
      </c>
      <c r="K39" s="480">
        <f>+'EdeR y F de C'!N72</f>
        <v>0</v>
      </c>
      <c r="L39" s="480">
        <f>+'EdeR y F de C'!O72</f>
        <v>0</v>
      </c>
      <c r="M39" s="480">
        <f>+'EdeR y F de C'!P72</f>
        <v>0</v>
      </c>
      <c r="N39" s="480">
        <f>+'EdeR y F de C'!Q72</f>
        <v>0</v>
      </c>
      <c r="O39" s="480">
        <f>+'EdeR y F de C'!R72</f>
        <v>0</v>
      </c>
      <c r="P39" s="480">
        <f>+'EdeR y F de C'!S72</f>
        <v>0</v>
      </c>
      <c r="Q39" s="480">
        <f>+'EdeR y F de C'!T72</f>
        <v>0</v>
      </c>
      <c r="R39" s="480">
        <f>+'EdeR y F de C'!U72</f>
        <v>0</v>
      </c>
      <c r="S39" s="480">
        <f>+'EdeR y F de C'!V72</f>
        <v>0</v>
      </c>
      <c r="T39" s="480">
        <f>+'EdeR y F de C'!W72</f>
        <v>0</v>
      </c>
      <c r="U39" s="480">
        <f>+'EdeR y F de C'!X72</f>
        <v>0</v>
      </c>
      <c r="V39" s="480">
        <f>+'EdeR y F de C'!Y72</f>
        <v>0</v>
      </c>
      <c r="W39" s="480">
        <f>+'EdeR y F de C'!Z72</f>
        <v>0</v>
      </c>
      <c r="X39" s="480">
        <f>+'EdeR y F de C'!AA72</f>
        <v>0</v>
      </c>
      <c r="Y39" s="480">
        <f>+'EdeR y F de C'!AB72</f>
        <v>0</v>
      </c>
      <c r="Z39" s="480">
        <f>+'EdeR y F de C'!AC72</f>
        <v>0</v>
      </c>
      <c r="AA39" s="480">
        <f>+'EdeR y F de C'!AD72</f>
        <v>0</v>
      </c>
    </row>
    <row r="40" spans="2:27" x14ac:dyDescent="0.25">
      <c r="B40" s="481" t="s">
        <v>394</v>
      </c>
      <c r="C40" s="480"/>
      <c r="D40" s="480"/>
      <c r="E40" s="480">
        <f>D39</f>
        <v>-211784943</v>
      </c>
      <c r="F40" s="480">
        <f>E39+E40</f>
        <v>-428458896</v>
      </c>
      <c r="G40" s="480">
        <f t="shared" ref="G40:H40" si="8">F39+F40</f>
        <v>-646538849</v>
      </c>
      <c r="H40" s="480">
        <f t="shared" si="8"/>
        <v>-865483602</v>
      </c>
      <c r="I40" s="480">
        <f>H39+H40</f>
        <v>-1083849955</v>
      </c>
      <c r="J40" s="480">
        <f t="shared" ref="J40:AA40" si="9">I39+I40</f>
        <v>-1083849955</v>
      </c>
      <c r="K40" s="480">
        <f t="shared" si="9"/>
        <v>-1083849955</v>
      </c>
      <c r="L40" s="480">
        <f t="shared" si="9"/>
        <v>-1083849955</v>
      </c>
      <c r="M40" s="480">
        <f t="shared" si="9"/>
        <v>-1083849955</v>
      </c>
      <c r="N40" s="480">
        <f t="shared" si="9"/>
        <v>-1083849955</v>
      </c>
      <c r="O40" s="480">
        <f t="shared" si="9"/>
        <v>-1083849955</v>
      </c>
      <c r="P40" s="480">
        <f t="shared" si="9"/>
        <v>-1083849955</v>
      </c>
      <c r="Q40" s="480">
        <f t="shared" si="9"/>
        <v>-1083849955</v>
      </c>
      <c r="R40" s="480">
        <f t="shared" si="9"/>
        <v>-1083849955</v>
      </c>
      <c r="S40" s="480">
        <f t="shared" si="9"/>
        <v>-1083849955</v>
      </c>
      <c r="T40" s="480">
        <f t="shared" si="9"/>
        <v>-1083849955</v>
      </c>
      <c r="U40" s="480">
        <f t="shared" si="9"/>
        <v>-1083849955</v>
      </c>
      <c r="V40" s="480">
        <f t="shared" si="9"/>
        <v>-1083849955</v>
      </c>
      <c r="W40" s="480">
        <f t="shared" si="9"/>
        <v>-1083849955</v>
      </c>
      <c r="X40" s="480">
        <f t="shared" si="9"/>
        <v>-1083849955</v>
      </c>
      <c r="Y40" s="480">
        <f t="shared" si="9"/>
        <v>-1083849955</v>
      </c>
      <c r="Z40" s="480">
        <f t="shared" si="9"/>
        <v>-1083849955</v>
      </c>
      <c r="AA40" s="480">
        <f t="shared" si="9"/>
        <v>-1083849955</v>
      </c>
    </row>
    <row r="41" spans="2:27" x14ac:dyDescent="0.25">
      <c r="B41" s="3"/>
      <c r="C41" s="480"/>
      <c r="D41" s="480"/>
      <c r="E41" s="480"/>
      <c r="F41" s="480"/>
      <c r="G41" s="480"/>
      <c r="H41" s="480"/>
      <c r="I41" s="480"/>
      <c r="J41" s="480"/>
      <c r="K41" s="480"/>
      <c r="L41" s="480"/>
      <c r="M41" s="480"/>
      <c r="N41" s="480"/>
      <c r="O41" s="480"/>
      <c r="P41" s="480"/>
      <c r="Q41" s="480"/>
      <c r="R41" s="480"/>
      <c r="S41" s="480"/>
      <c r="T41" s="480"/>
      <c r="U41" s="480"/>
      <c r="V41" s="480"/>
      <c r="W41" s="480"/>
      <c r="X41" s="480"/>
      <c r="Y41" s="480"/>
      <c r="Z41" s="480"/>
      <c r="AA41" s="480"/>
    </row>
    <row r="42" spans="2:27" x14ac:dyDescent="0.25">
      <c r="B42" s="482" t="s">
        <v>395</v>
      </c>
      <c r="C42" s="483">
        <f>SUM(C38:C41)</f>
        <v>188207486</v>
      </c>
      <c r="D42" s="483">
        <f t="shared" ref="D42:H42" si="10">SUM(D38:D41)</f>
        <v>-211784943</v>
      </c>
      <c r="E42" s="483">
        <f>SUM(E38:E41)</f>
        <v>-428458896</v>
      </c>
      <c r="F42" s="483">
        <f t="shared" si="10"/>
        <v>-646538849</v>
      </c>
      <c r="G42" s="483">
        <f t="shared" si="10"/>
        <v>-865483602</v>
      </c>
      <c r="H42" s="483">
        <f t="shared" si="10"/>
        <v>-1083849955</v>
      </c>
      <c r="I42" s="483">
        <f>SUM(I38:I41)</f>
        <v>-1083849955</v>
      </c>
      <c r="J42" s="483">
        <f t="shared" ref="J42:AA42" si="11">SUM(J38:J41)</f>
        <v>-1083849955</v>
      </c>
      <c r="K42" s="483">
        <f t="shared" si="11"/>
        <v>-1083849955</v>
      </c>
      <c r="L42" s="483">
        <f t="shared" si="11"/>
        <v>-1083849955</v>
      </c>
      <c r="M42" s="483">
        <f t="shared" si="11"/>
        <v>-1083849955</v>
      </c>
      <c r="N42" s="483">
        <f t="shared" si="11"/>
        <v>-1083849955</v>
      </c>
      <c r="O42" s="483">
        <f t="shared" si="11"/>
        <v>-1083849955</v>
      </c>
      <c r="P42" s="483">
        <f t="shared" si="11"/>
        <v>-1083849955</v>
      </c>
      <c r="Q42" s="483">
        <f t="shared" si="11"/>
        <v>-1083849955</v>
      </c>
      <c r="R42" s="483">
        <f t="shared" si="11"/>
        <v>-1083849955</v>
      </c>
      <c r="S42" s="483">
        <f t="shared" si="11"/>
        <v>-1083849955</v>
      </c>
      <c r="T42" s="483">
        <f t="shared" si="11"/>
        <v>-1083849955</v>
      </c>
      <c r="U42" s="483">
        <f t="shared" si="11"/>
        <v>-1083849955</v>
      </c>
      <c r="V42" s="483">
        <f t="shared" si="11"/>
        <v>-1083849955</v>
      </c>
      <c r="W42" s="483">
        <f t="shared" si="11"/>
        <v>-1083849955</v>
      </c>
      <c r="X42" s="483">
        <f t="shared" si="11"/>
        <v>-1083849955</v>
      </c>
      <c r="Y42" s="483">
        <f t="shared" si="11"/>
        <v>-1083849955</v>
      </c>
      <c r="Z42" s="483">
        <f t="shared" si="11"/>
        <v>-1083849955</v>
      </c>
      <c r="AA42" s="483">
        <f t="shared" si="11"/>
        <v>-1083849955</v>
      </c>
    </row>
    <row r="43" spans="2:27" x14ac:dyDescent="0.25">
      <c r="B43" s="3"/>
      <c r="C43" s="480"/>
      <c r="D43" s="480"/>
      <c r="E43" s="480"/>
      <c r="F43" s="480"/>
      <c r="G43" s="480"/>
      <c r="H43" s="480"/>
      <c r="I43" s="480"/>
      <c r="J43" s="480"/>
      <c r="K43" s="480"/>
      <c r="L43" s="480"/>
      <c r="M43" s="480"/>
      <c r="N43" s="480"/>
      <c r="O43" s="480"/>
      <c r="P43" s="480"/>
      <c r="Q43" s="480"/>
      <c r="R43" s="480"/>
      <c r="S43" s="480"/>
      <c r="T43" s="480"/>
      <c r="U43" s="480"/>
      <c r="V43" s="480"/>
      <c r="W43" s="480"/>
      <c r="X43" s="480"/>
      <c r="Y43" s="480"/>
      <c r="Z43" s="480"/>
      <c r="AA43" s="480"/>
    </row>
    <row r="44" spans="2:27" x14ac:dyDescent="0.25">
      <c r="B44" s="482" t="s">
        <v>396</v>
      </c>
      <c r="C44" s="483">
        <f>C35+C42</f>
        <v>188207486</v>
      </c>
      <c r="D44" s="483">
        <f>D35+D42</f>
        <v>-211784943</v>
      </c>
      <c r="E44" s="483">
        <f t="shared" ref="E44:AA44" si="12">E35+E42</f>
        <v>-428458896</v>
      </c>
      <c r="F44" s="483">
        <f t="shared" si="12"/>
        <v>-646538849</v>
      </c>
      <c r="G44" s="483">
        <f t="shared" si="12"/>
        <v>-865483602</v>
      </c>
      <c r="H44" s="483">
        <f t="shared" si="12"/>
        <v>-1083849955</v>
      </c>
      <c r="I44" s="483">
        <f t="shared" si="12"/>
        <v>-1083849955</v>
      </c>
      <c r="J44" s="483">
        <f t="shared" si="12"/>
        <v>-1083849955</v>
      </c>
      <c r="K44" s="483">
        <f t="shared" si="12"/>
        <v>-1083849955</v>
      </c>
      <c r="L44" s="483">
        <f t="shared" si="12"/>
        <v>-1083849955</v>
      </c>
      <c r="M44" s="483">
        <f t="shared" si="12"/>
        <v>-1083849955</v>
      </c>
      <c r="N44" s="483">
        <f t="shared" si="12"/>
        <v>-1083849955</v>
      </c>
      <c r="O44" s="483">
        <f t="shared" si="12"/>
        <v>-1083849955</v>
      </c>
      <c r="P44" s="483">
        <f t="shared" si="12"/>
        <v>-1083849955</v>
      </c>
      <c r="Q44" s="483">
        <f t="shared" si="12"/>
        <v>-1083849955</v>
      </c>
      <c r="R44" s="483">
        <f t="shared" si="12"/>
        <v>-1083849955</v>
      </c>
      <c r="S44" s="483">
        <f t="shared" si="12"/>
        <v>-1083849955</v>
      </c>
      <c r="T44" s="483">
        <f t="shared" si="12"/>
        <v>-1083849955</v>
      </c>
      <c r="U44" s="483">
        <f t="shared" si="12"/>
        <v>-1083849955</v>
      </c>
      <c r="V44" s="483">
        <f t="shared" si="12"/>
        <v>-1083849955</v>
      </c>
      <c r="W44" s="483">
        <f t="shared" si="12"/>
        <v>-1083849955</v>
      </c>
      <c r="X44" s="483">
        <f t="shared" si="12"/>
        <v>-1083849955</v>
      </c>
      <c r="Y44" s="483">
        <f t="shared" si="12"/>
        <v>-1083849955</v>
      </c>
      <c r="Z44" s="483">
        <f t="shared" si="12"/>
        <v>-1083849955</v>
      </c>
      <c r="AA44" s="483">
        <f t="shared" si="12"/>
        <v>-1083849955</v>
      </c>
    </row>
    <row r="45" spans="2:27" x14ac:dyDescent="0.25">
      <c r="C45" s="485"/>
      <c r="D45" s="485"/>
      <c r="E45" s="485"/>
      <c r="F45" s="485"/>
      <c r="G45" s="485"/>
      <c r="H45" s="485"/>
      <c r="I45" s="485"/>
      <c r="J45" s="485"/>
      <c r="K45" s="485"/>
      <c r="L45" s="485"/>
      <c r="M45" s="485"/>
      <c r="N45" s="485"/>
      <c r="O45" s="485"/>
      <c r="P45" s="485"/>
      <c r="Q45" s="485"/>
      <c r="R45" s="485"/>
      <c r="S45" s="485"/>
      <c r="T45" s="485"/>
      <c r="U45" s="485"/>
      <c r="V45" s="485"/>
      <c r="W45" s="485"/>
      <c r="X45" s="485"/>
      <c r="Y45" s="485"/>
      <c r="Z45" s="485"/>
      <c r="AA45" s="485"/>
    </row>
    <row r="46" spans="2:27" x14ac:dyDescent="0.25">
      <c r="B46" s="486" t="s">
        <v>397</v>
      </c>
      <c r="C46" s="487">
        <f>C44-C20</f>
        <v>0</v>
      </c>
      <c r="D46" s="487">
        <f t="shared" ref="D46:AA46" si="13">D44-D20</f>
        <v>-188207486</v>
      </c>
      <c r="E46" s="487">
        <f t="shared" si="13"/>
        <v>-188207486</v>
      </c>
      <c r="F46" s="487">
        <f t="shared" si="13"/>
        <v>-188207486</v>
      </c>
      <c r="G46" s="487">
        <f t="shared" si="13"/>
        <v>-188207486</v>
      </c>
      <c r="H46" s="487">
        <f t="shared" si="13"/>
        <v>-188207486</v>
      </c>
      <c r="I46" s="487">
        <f t="shared" si="13"/>
        <v>-188207486</v>
      </c>
      <c r="J46" s="487">
        <f t="shared" si="13"/>
        <v>-188207486</v>
      </c>
      <c r="K46" s="487">
        <f t="shared" si="13"/>
        <v>-188207486</v>
      </c>
      <c r="L46" s="487">
        <f t="shared" si="13"/>
        <v>-188207486</v>
      </c>
      <c r="M46" s="487">
        <f t="shared" si="13"/>
        <v>-188207486</v>
      </c>
      <c r="N46" s="487">
        <f t="shared" si="13"/>
        <v>-188207486</v>
      </c>
      <c r="O46" s="487">
        <f t="shared" si="13"/>
        <v>-188207486</v>
      </c>
      <c r="P46" s="487">
        <f t="shared" si="13"/>
        <v>-188207486</v>
      </c>
      <c r="Q46" s="487">
        <f t="shared" si="13"/>
        <v>-188207486</v>
      </c>
      <c r="R46" s="487">
        <f t="shared" si="13"/>
        <v>-188207486</v>
      </c>
      <c r="S46" s="487">
        <f t="shared" si="13"/>
        <v>-188207486</v>
      </c>
      <c r="T46" s="487">
        <f t="shared" si="13"/>
        <v>-188207486</v>
      </c>
      <c r="U46" s="487">
        <f t="shared" si="13"/>
        <v>-188207486</v>
      </c>
      <c r="V46" s="487">
        <f t="shared" si="13"/>
        <v>-188207486</v>
      </c>
      <c r="W46" s="487">
        <f t="shared" si="13"/>
        <v>-188207486</v>
      </c>
      <c r="X46" s="487">
        <f t="shared" si="13"/>
        <v>-188207486</v>
      </c>
      <c r="Y46" s="487">
        <f t="shared" si="13"/>
        <v>-188207486</v>
      </c>
      <c r="Z46" s="487">
        <f t="shared" si="13"/>
        <v>-188207486</v>
      </c>
      <c r="AA46" s="487">
        <f t="shared" si="13"/>
        <v>-188207486</v>
      </c>
    </row>
    <row r="47" spans="2:27" x14ac:dyDescent="0.25">
      <c r="D47" s="475"/>
    </row>
    <row r="48" spans="2:27" x14ac:dyDescent="0.25">
      <c r="D48" s="475"/>
      <c r="G48" s="475"/>
      <c r="H48" s="475"/>
    </row>
  </sheetData>
  <hyperlinks>
    <hyperlink ref="B2" location="Menu!A1" display="MENU" xr:uid="{4ADCEC0B-BFA9-43F3-AE76-EEBC96555AAB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2:K118"/>
  <sheetViews>
    <sheetView topLeftCell="A2" workbookViewId="0">
      <selection activeCell="E17" sqref="E17"/>
    </sheetView>
  </sheetViews>
  <sheetFormatPr baseColWidth="10" defaultRowHeight="15" x14ac:dyDescent="0.25"/>
  <cols>
    <col min="1" max="1" width="1.7109375" bestFit="1" customWidth="1"/>
    <col min="2" max="2" width="30.85546875" bestFit="1" customWidth="1"/>
    <col min="3" max="3" width="16.85546875" bestFit="1" customWidth="1"/>
    <col min="4" max="7" width="16.140625" bestFit="1" customWidth="1"/>
    <col min="8" max="8" width="16.7109375" bestFit="1" customWidth="1"/>
    <col min="9" max="11" width="16.140625" bestFit="1" customWidth="1"/>
  </cols>
  <sheetData>
    <row r="2" spans="2:11" ht="15.75" x14ac:dyDescent="0.25">
      <c r="B2" s="174" t="s">
        <v>193</v>
      </c>
      <c r="C2" s="175">
        <f>+'Ppto Ing'!D1</f>
        <v>0</v>
      </c>
      <c r="D2" s="175">
        <f>+'Ppto Ing'!E1</f>
        <v>1</v>
      </c>
      <c r="E2" s="175">
        <f>+'Ppto Ing'!F1</f>
        <v>2</v>
      </c>
      <c r="F2" s="175">
        <f>+'Ppto Ing'!G1</f>
        <v>3</v>
      </c>
      <c r="G2" s="175">
        <f>+'Ppto Ing'!H1</f>
        <v>4</v>
      </c>
      <c r="H2" s="175">
        <f>+'Ppto Ing'!I1</f>
        <v>5</v>
      </c>
      <c r="I2" s="175">
        <f>+'Ppto Ing'!J1</f>
        <v>6</v>
      </c>
      <c r="J2" s="175">
        <f>+'Ppto Ing'!K1</f>
        <v>7</v>
      </c>
      <c r="K2" s="175">
        <f>+'Ppto Ing'!L1</f>
        <v>8</v>
      </c>
    </row>
    <row r="5" spans="2:11" x14ac:dyDescent="0.25">
      <c r="B5" s="3" t="s">
        <v>56</v>
      </c>
      <c r="C5" s="238">
        <f>+'EdeR y F de C'!F72</f>
        <v>0</v>
      </c>
      <c r="D5" s="238">
        <f>+'EdeR y F de C'!G72</f>
        <v>-211784943</v>
      </c>
      <c r="E5" s="238">
        <f>+'EdeR y F de C'!H72</f>
        <v>-216673953</v>
      </c>
      <c r="F5" s="238">
        <f>+'EdeR y F de C'!I72</f>
        <v>-218079953</v>
      </c>
      <c r="G5" s="238">
        <f>+'EdeR y F de C'!J72</f>
        <v>-218944753</v>
      </c>
      <c r="H5" s="238">
        <f>+'EdeR y F de C'!K72</f>
        <v>-218366353</v>
      </c>
      <c r="I5" s="238">
        <f>+'EdeR y F de C'!L72</f>
        <v>0</v>
      </c>
      <c r="J5" s="238">
        <f>+'EdeR y F de C'!M72</f>
        <v>0</v>
      </c>
      <c r="K5" s="238">
        <f>+'EdeR y F de C'!N72</f>
        <v>0</v>
      </c>
    </row>
    <row r="6" spans="2:11" x14ac:dyDescent="0.25">
      <c r="B6" s="3" t="s">
        <v>194</v>
      </c>
      <c r="C6" s="238">
        <f>+'EdeR y F de C'!F74</f>
        <v>0</v>
      </c>
      <c r="D6" s="238">
        <f>+'EdeR y F de C'!G74</f>
        <v>13557953</v>
      </c>
      <c r="E6" s="238">
        <f>+'EdeR y F de C'!H74</f>
        <v>13557953</v>
      </c>
      <c r="F6" s="238">
        <f>+'EdeR y F de C'!I74</f>
        <v>13557953</v>
      </c>
      <c r="G6" s="238">
        <f>+'EdeR y F de C'!J74</f>
        <v>13557953</v>
      </c>
      <c r="H6" s="238">
        <f>+'EdeR y F de C'!K74</f>
        <v>13557953</v>
      </c>
      <c r="I6" s="238">
        <f>+'EdeR y F de C'!L74</f>
        <v>0</v>
      </c>
      <c r="J6" s="238">
        <f>+'EdeR y F de C'!M74</f>
        <v>0</v>
      </c>
      <c r="K6" s="238">
        <f>+'EdeR y F de C'!N74</f>
        <v>0</v>
      </c>
    </row>
    <row r="7" spans="2:11" x14ac:dyDescent="0.25">
      <c r="B7" s="3" t="s">
        <v>195</v>
      </c>
      <c r="C7" s="238" t="e">
        <f>+'EdeR y F de C'!#REF!</f>
        <v>#REF!</v>
      </c>
      <c r="D7" s="238" t="e">
        <f>+'EdeR y F de C'!#REF!</f>
        <v>#REF!</v>
      </c>
      <c r="E7" s="238" t="e">
        <f>+'EdeR y F de C'!#REF!</f>
        <v>#REF!</v>
      </c>
      <c r="F7" s="238" t="e">
        <f>+'EdeR y F de C'!#REF!</f>
        <v>#REF!</v>
      </c>
      <c r="G7" s="238" t="e">
        <f>+'EdeR y F de C'!#REF!</f>
        <v>#REF!</v>
      </c>
      <c r="H7" s="238" t="e">
        <f>+'EdeR y F de C'!#REF!</f>
        <v>#REF!</v>
      </c>
      <c r="I7" s="238" t="e">
        <f>+'EdeR y F de C'!#REF!</f>
        <v>#REF!</v>
      </c>
      <c r="J7" s="238" t="e">
        <f>+'EdeR y F de C'!#REF!</f>
        <v>#REF!</v>
      </c>
      <c r="K7" s="238" t="e">
        <f>+'EdeR y F de C'!#REF!</f>
        <v>#REF!</v>
      </c>
    </row>
    <row r="8" spans="2:11" x14ac:dyDescent="0.25">
      <c r="B8" s="3" t="s">
        <v>196</v>
      </c>
      <c r="C8" s="238">
        <f>'EdeR y F de C'!F61</f>
        <v>0</v>
      </c>
      <c r="D8" s="238">
        <f>'EdeR y F de C'!G61</f>
        <v>0</v>
      </c>
      <c r="E8" s="238">
        <f>'EdeR y F de C'!H61</f>
        <v>0</v>
      </c>
      <c r="F8" s="238">
        <f>'EdeR y F de C'!I61</f>
        <v>0</v>
      </c>
      <c r="G8" s="238">
        <f>'EdeR y F de C'!J61</f>
        <v>0</v>
      </c>
      <c r="H8" s="238">
        <f>'EdeR y F de C'!K61</f>
        <v>0</v>
      </c>
      <c r="I8" s="238">
        <f>'EdeR y F de C'!L61</f>
        <v>0</v>
      </c>
      <c r="J8" s="238">
        <f>'EdeR y F de C'!M61</f>
        <v>0</v>
      </c>
      <c r="K8" s="238">
        <f>'EdeR y F de C'!N61</f>
        <v>0</v>
      </c>
    </row>
    <row r="9" spans="2:11" x14ac:dyDescent="0.25">
      <c r="B9" s="3" t="s">
        <v>197</v>
      </c>
      <c r="C9" s="238">
        <f>-'EdeR y F de C'!F69</f>
        <v>0</v>
      </c>
      <c r="D9" s="238">
        <f>-'EdeR y F de C'!G69</f>
        <v>0</v>
      </c>
      <c r="E9" s="238">
        <f>-'EdeR y F de C'!H69</f>
        <v>0</v>
      </c>
      <c r="F9" s="238">
        <f>-'EdeR y F de C'!I69</f>
        <v>0</v>
      </c>
      <c r="G9" s="238">
        <f>-'EdeR y F de C'!J69</f>
        <v>0</v>
      </c>
      <c r="H9" s="238">
        <f>-'EdeR y F de C'!K69</f>
        <v>0</v>
      </c>
      <c r="I9" s="238">
        <f>-'EdeR y F de C'!L69</f>
        <v>0</v>
      </c>
      <c r="J9" s="238">
        <f>-'EdeR y F de C'!M69</f>
        <v>0</v>
      </c>
      <c r="K9" s="238">
        <f>-'EdeR y F de C'!N69</f>
        <v>0</v>
      </c>
    </row>
    <row r="10" spans="2:11" x14ac:dyDescent="0.25">
      <c r="B10" s="56" t="s">
        <v>198</v>
      </c>
      <c r="C10" s="239"/>
      <c r="D10" s="239" t="e">
        <f>SUM(D5:D9)</f>
        <v>#REF!</v>
      </c>
      <c r="E10" s="239" t="e">
        <f t="shared" ref="E10:K10" si="0">SUM(E5:E9)</f>
        <v>#REF!</v>
      </c>
      <c r="F10" s="239" t="e">
        <f t="shared" si="0"/>
        <v>#REF!</v>
      </c>
      <c r="G10" s="239" t="e">
        <f t="shared" si="0"/>
        <v>#REF!</v>
      </c>
      <c r="H10" s="239" t="e">
        <f t="shared" si="0"/>
        <v>#REF!</v>
      </c>
      <c r="I10" s="239" t="e">
        <f t="shared" si="0"/>
        <v>#REF!</v>
      </c>
      <c r="J10" s="239" t="e">
        <f t="shared" si="0"/>
        <v>#REF!</v>
      </c>
      <c r="K10" s="239" t="e">
        <f t="shared" si="0"/>
        <v>#REF!</v>
      </c>
    </row>
    <row r="11" spans="2:11" x14ac:dyDescent="0.25">
      <c r="B11" s="3" t="s">
        <v>199</v>
      </c>
      <c r="C11" s="238"/>
      <c r="D11" s="238" t="e">
        <f>(#REF!+#REF!-#REF!)-(#REF!+#REF!-#REF!)</f>
        <v>#REF!</v>
      </c>
      <c r="E11" s="238" t="e">
        <f>+(#REF!+#REF!-#REF!)-(#REF!+#REF!-#REF!)</f>
        <v>#REF!</v>
      </c>
      <c r="F11" s="238" t="e">
        <f>+(#REF!+#REF!-#REF!)-(#REF!+#REF!-#REF!)</f>
        <v>#REF!</v>
      </c>
      <c r="G11" s="238" t="e">
        <f>+(#REF!+#REF!-#REF!)-(#REF!+#REF!-#REF!)</f>
        <v>#REF!</v>
      </c>
      <c r="H11" s="238" t="e">
        <f>+(#REF!+#REF!-#REF!)-(#REF!+#REF!-#REF!)</f>
        <v>#REF!</v>
      </c>
      <c r="I11" s="238" t="e">
        <f>+(#REF!+#REF!-#REF!)-(#REF!+#REF!-#REF!)</f>
        <v>#REF!</v>
      </c>
      <c r="J11" s="238" t="e">
        <f>+(#REF!+#REF!-#REF!)-(#REF!+#REF!-#REF!)</f>
        <v>#REF!</v>
      </c>
      <c r="K11" s="238" t="e">
        <f>+(#REF!+#REF!-#REF!)-(#REF!+#REF!-#REF!)</f>
        <v>#REF!</v>
      </c>
    </row>
    <row r="12" spans="2:11" x14ac:dyDescent="0.25">
      <c r="B12" s="3" t="s">
        <v>200</v>
      </c>
      <c r="C12" s="238">
        <f>-'EdeR y F de C'!FC_0</f>
        <v>188207486</v>
      </c>
      <c r="D12" s="238" t="e">
        <f>+#REF!-#REF!</f>
        <v>#REF!</v>
      </c>
      <c r="E12" s="238" t="e">
        <f>+#REF!-#REF!</f>
        <v>#REF!</v>
      </c>
      <c r="F12" s="238" t="e">
        <f>+#REF!-#REF!</f>
        <v>#REF!</v>
      </c>
      <c r="G12" s="238" t="e">
        <f>+#REF!-#REF!</f>
        <v>#REF!</v>
      </c>
      <c r="H12" s="238" t="e">
        <f>+#REF!-#REF!</f>
        <v>#REF!</v>
      </c>
      <c r="I12" s="238" t="e">
        <f>+#REF!-#REF!</f>
        <v>#REF!</v>
      </c>
      <c r="J12" s="238" t="e">
        <f>+#REF!-#REF!</f>
        <v>#REF!</v>
      </c>
      <c r="K12" s="238" t="e">
        <f>+#REF!-#REF!</f>
        <v>#REF!</v>
      </c>
    </row>
    <row r="13" spans="2:11" x14ac:dyDescent="0.25">
      <c r="B13" s="3" t="s">
        <v>201</v>
      </c>
      <c r="C13" s="238">
        <f>+'Flujo de Efectivo'!C28</f>
        <v>0</v>
      </c>
      <c r="D13" s="238">
        <f>+'Flujo de Efectivo'!D28</f>
        <v>0</v>
      </c>
      <c r="E13" s="238">
        <f>+'Flujo de Efectivo'!E28</f>
        <v>0</v>
      </c>
      <c r="F13" s="238">
        <f>+'Flujo de Efectivo'!F28</f>
        <v>0</v>
      </c>
      <c r="G13" s="238">
        <f>+'Flujo de Efectivo'!G28</f>
        <v>0</v>
      </c>
      <c r="H13" s="238">
        <f>+'Flujo de Efectivo'!H28</f>
        <v>0</v>
      </c>
      <c r="I13" s="238">
        <f>+'Flujo de Efectivo'!I28</f>
        <v>0</v>
      </c>
      <c r="J13" s="238">
        <f>+'Flujo de Efectivo'!J28</f>
        <v>0</v>
      </c>
      <c r="K13" s="238">
        <f>+'Flujo de Efectivo'!L28</f>
        <v>0</v>
      </c>
    </row>
    <row r="14" spans="2:11" x14ac:dyDescent="0.25">
      <c r="B14" s="179" t="s">
        <v>202</v>
      </c>
      <c r="C14" s="239">
        <f>C10-C11-C12-C13</f>
        <v>-188207486</v>
      </c>
      <c r="D14" s="239" t="e">
        <f>D10-D11-D12-D13</f>
        <v>#REF!</v>
      </c>
      <c r="E14" s="239" t="e">
        <f t="shared" ref="E14:K14" si="1">E10-E11-E12-E13</f>
        <v>#REF!</v>
      </c>
      <c r="F14" s="239" t="e">
        <f t="shared" si="1"/>
        <v>#REF!</v>
      </c>
      <c r="G14" s="239" t="e">
        <f t="shared" si="1"/>
        <v>#REF!</v>
      </c>
      <c r="H14" s="239" t="e">
        <f t="shared" si="1"/>
        <v>#REF!</v>
      </c>
      <c r="I14" s="239" t="e">
        <f t="shared" si="1"/>
        <v>#REF!</v>
      </c>
      <c r="J14" s="239" t="e">
        <f t="shared" si="1"/>
        <v>#REF!</v>
      </c>
      <c r="K14" s="239" t="e">
        <f t="shared" si="1"/>
        <v>#REF!</v>
      </c>
    </row>
    <row r="15" spans="2:11" x14ac:dyDescent="0.25">
      <c r="B15" s="242"/>
      <c r="C15" s="243">
        <f>+'EdeR y F de C'!F90</f>
        <v>-188207486</v>
      </c>
      <c r="D15" s="243">
        <f>+'EdeR y F de C'!G90</f>
        <v>-66226990</v>
      </c>
      <c r="E15" s="243">
        <f>+'EdeR y F de C'!H90</f>
        <v>-66496000</v>
      </c>
      <c r="F15" s="243">
        <f>+'EdeR y F de C'!I90</f>
        <v>-63120300</v>
      </c>
      <c r="G15" s="243">
        <f>+'EdeR y F de C'!J90</f>
        <v>-59036040.5</v>
      </c>
      <c r="H15" s="243">
        <f>+'EdeR y F de C'!K90</f>
        <v>-53335363.917499989</v>
      </c>
      <c r="I15" s="243">
        <f>+'EdeR y F de C'!L90</f>
        <v>0</v>
      </c>
      <c r="J15" s="243">
        <f>+'EdeR y F de C'!M90</f>
        <v>0</v>
      </c>
      <c r="K15" s="243">
        <f>+'EdeR y F de C'!N90</f>
        <v>0</v>
      </c>
    </row>
    <row r="16" spans="2:11" x14ac:dyDescent="0.25">
      <c r="B16" s="240" t="s">
        <v>227</v>
      </c>
      <c r="C16" s="241">
        <f>+C14-C15</f>
        <v>0</v>
      </c>
      <c r="D16" s="241" t="e">
        <f t="shared" ref="D16:K16" si="2">+D14-D15</f>
        <v>#REF!</v>
      </c>
      <c r="E16" s="241" t="e">
        <f t="shared" si="2"/>
        <v>#REF!</v>
      </c>
      <c r="F16" s="241" t="e">
        <f t="shared" si="2"/>
        <v>#REF!</v>
      </c>
      <c r="G16" s="241" t="e">
        <f t="shared" si="2"/>
        <v>#REF!</v>
      </c>
      <c r="H16" s="241" t="e">
        <f t="shared" si="2"/>
        <v>#REF!</v>
      </c>
      <c r="I16" s="241" t="e">
        <f t="shared" si="2"/>
        <v>#REF!</v>
      </c>
      <c r="J16" s="241" t="e">
        <f t="shared" si="2"/>
        <v>#REF!</v>
      </c>
      <c r="K16" s="241" t="e">
        <f t="shared" si="2"/>
        <v>#REF!</v>
      </c>
    </row>
    <row r="17" spans="2:11" x14ac:dyDescent="0.25">
      <c r="C17" s="82"/>
      <c r="D17" s="82"/>
      <c r="E17" s="82"/>
      <c r="F17" s="82"/>
      <c r="G17" s="82"/>
      <c r="H17" s="82"/>
      <c r="I17" s="82"/>
      <c r="J17" s="82"/>
      <c r="K17" s="82"/>
    </row>
    <row r="18" spans="2:11" x14ac:dyDescent="0.25">
      <c r="C18" s="176"/>
      <c r="D18" s="176">
        <f>D2</f>
        <v>1</v>
      </c>
      <c r="E18" s="176">
        <f t="shared" ref="E18:K18" si="3">E2</f>
        <v>2</v>
      </c>
      <c r="F18" s="176">
        <f t="shared" si="3"/>
        <v>3</v>
      </c>
      <c r="G18" s="176">
        <f t="shared" si="3"/>
        <v>4</v>
      </c>
      <c r="H18" s="176">
        <f t="shared" si="3"/>
        <v>5</v>
      </c>
      <c r="I18" s="176">
        <f t="shared" si="3"/>
        <v>6</v>
      </c>
      <c r="J18" s="176">
        <f t="shared" si="3"/>
        <v>7</v>
      </c>
      <c r="K18" s="176">
        <f t="shared" si="3"/>
        <v>8</v>
      </c>
    </row>
    <row r="19" spans="2:11" x14ac:dyDescent="0.25">
      <c r="B19" s="3" t="s">
        <v>138</v>
      </c>
      <c r="C19" s="238">
        <f>+'EdeR y F de C'!F46</f>
        <v>0</v>
      </c>
      <c r="D19" s="238">
        <f>+'EdeR y F de C'!G46</f>
        <v>-198226990</v>
      </c>
      <c r="E19" s="238">
        <f>+'EdeR y F de C'!H46</f>
        <v>-203116000</v>
      </c>
      <c r="F19" s="238">
        <f>+'EdeR y F de C'!I46</f>
        <v>-204522000</v>
      </c>
      <c r="G19" s="238">
        <f>+'EdeR y F de C'!J46</f>
        <v>-205386800</v>
      </c>
      <c r="H19" s="238">
        <f>+'EdeR y F de C'!K46</f>
        <v>-204808400</v>
      </c>
      <c r="I19" s="238">
        <f>+'EdeR y F de C'!L46</f>
        <v>0</v>
      </c>
      <c r="J19" s="238">
        <f>+'EdeR y F de C'!M46</f>
        <v>0</v>
      </c>
      <c r="K19" s="238">
        <f>+'EdeR y F de C'!N46</f>
        <v>0</v>
      </c>
    </row>
    <row r="20" spans="2:11" x14ac:dyDescent="0.25">
      <c r="B20" s="3" t="s">
        <v>199</v>
      </c>
      <c r="C20" s="238">
        <f>+C11</f>
        <v>0</v>
      </c>
      <c r="D20" s="238" t="e">
        <f t="shared" ref="D20:K20" si="4">+D11</f>
        <v>#REF!</v>
      </c>
      <c r="E20" s="238" t="e">
        <f t="shared" si="4"/>
        <v>#REF!</v>
      </c>
      <c r="F20" s="238" t="e">
        <f t="shared" si="4"/>
        <v>#REF!</v>
      </c>
      <c r="G20" s="238" t="e">
        <f t="shared" si="4"/>
        <v>#REF!</v>
      </c>
      <c r="H20" s="238" t="e">
        <f t="shared" si="4"/>
        <v>#REF!</v>
      </c>
      <c r="I20" s="238" t="e">
        <f t="shared" si="4"/>
        <v>#REF!</v>
      </c>
      <c r="J20" s="238" t="e">
        <f t="shared" si="4"/>
        <v>#REF!</v>
      </c>
      <c r="K20" s="238" t="e">
        <f t="shared" si="4"/>
        <v>#REF!</v>
      </c>
    </row>
    <row r="21" spans="2:11" x14ac:dyDescent="0.25">
      <c r="B21" s="3" t="s">
        <v>200</v>
      </c>
      <c r="C21" s="238">
        <f>+C12</f>
        <v>188207486</v>
      </c>
      <c r="D21" s="238" t="e">
        <f t="shared" ref="D21:K21" si="5">+D12</f>
        <v>#REF!</v>
      </c>
      <c r="E21" s="238" t="e">
        <f t="shared" si="5"/>
        <v>#REF!</v>
      </c>
      <c r="F21" s="238" t="e">
        <f t="shared" si="5"/>
        <v>#REF!</v>
      </c>
      <c r="G21" s="238" t="e">
        <f t="shared" si="5"/>
        <v>#REF!</v>
      </c>
      <c r="H21" s="238" t="e">
        <f t="shared" si="5"/>
        <v>#REF!</v>
      </c>
      <c r="I21" s="238" t="e">
        <f t="shared" si="5"/>
        <v>#REF!</v>
      </c>
      <c r="J21" s="238" t="e">
        <f t="shared" si="5"/>
        <v>#REF!</v>
      </c>
      <c r="K21" s="238" t="e">
        <f t="shared" si="5"/>
        <v>#REF!</v>
      </c>
    </row>
    <row r="22" spans="2:11" x14ac:dyDescent="0.25">
      <c r="B22" s="3" t="s">
        <v>203</v>
      </c>
      <c r="C22" s="238">
        <f>+C13</f>
        <v>0</v>
      </c>
      <c r="D22" s="238">
        <f t="shared" ref="D22:K22" si="6">+D13</f>
        <v>0</v>
      </c>
      <c r="E22" s="238">
        <f t="shared" si="6"/>
        <v>0</v>
      </c>
      <c r="F22" s="238">
        <f t="shared" si="6"/>
        <v>0</v>
      </c>
      <c r="G22" s="238">
        <f t="shared" si="6"/>
        <v>0</v>
      </c>
      <c r="H22" s="238">
        <f t="shared" si="6"/>
        <v>0</v>
      </c>
      <c r="I22" s="238">
        <f t="shared" si="6"/>
        <v>0</v>
      </c>
      <c r="J22" s="238">
        <f t="shared" si="6"/>
        <v>0</v>
      </c>
      <c r="K22" s="238">
        <f t="shared" si="6"/>
        <v>0</v>
      </c>
    </row>
    <row r="23" spans="2:11" x14ac:dyDescent="0.25">
      <c r="B23" s="179" t="s">
        <v>202</v>
      </c>
      <c r="C23" s="239">
        <f>C19-C20-C21-C22</f>
        <v>-188207486</v>
      </c>
      <c r="D23" s="239" t="e">
        <f>D19-D20-D21-D22</f>
        <v>#REF!</v>
      </c>
      <c r="E23" s="239" t="e">
        <f t="shared" ref="E23:K23" si="7">E19-E20-E21-E22</f>
        <v>#REF!</v>
      </c>
      <c r="F23" s="239" t="e">
        <f t="shared" si="7"/>
        <v>#REF!</v>
      </c>
      <c r="G23" s="239" t="e">
        <f t="shared" si="7"/>
        <v>#REF!</v>
      </c>
      <c r="H23" s="239" t="e">
        <f t="shared" si="7"/>
        <v>#REF!</v>
      </c>
      <c r="I23" s="239" t="e">
        <f t="shared" si="7"/>
        <v>#REF!</v>
      </c>
      <c r="J23" s="239" t="e">
        <f t="shared" si="7"/>
        <v>#REF!</v>
      </c>
      <c r="K23" s="239" t="e">
        <f t="shared" si="7"/>
        <v>#REF!</v>
      </c>
    </row>
    <row r="24" spans="2:11" x14ac:dyDescent="0.25">
      <c r="C24" s="82"/>
      <c r="D24" s="82"/>
      <c r="E24" s="82"/>
      <c r="F24" s="82"/>
      <c r="G24" s="82"/>
      <c r="H24" s="82"/>
      <c r="I24" s="82"/>
      <c r="J24" s="82"/>
      <c r="K24" s="82"/>
    </row>
    <row r="25" spans="2:11" x14ac:dyDescent="0.25">
      <c r="C25" s="82"/>
      <c r="D25" s="82"/>
      <c r="E25" s="82"/>
      <c r="F25" s="82"/>
      <c r="G25" s="82"/>
      <c r="H25" s="82"/>
      <c r="I25" s="82"/>
      <c r="J25" s="82"/>
      <c r="K25" s="82"/>
    </row>
    <row r="26" spans="2:11" x14ac:dyDescent="0.25">
      <c r="B26" s="3" t="s">
        <v>204</v>
      </c>
      <c r="C26" s="176"/>
      <c r="D26" s="177">
        <f>'[3]F de E'!C31</f>
        <v>281951.19648503733</v>
      </c>
      <c r="E26" s="177">
        <f>'[3]F de E'!D31</f>
        <v>227545.16315170395</v>
      </c>
      <c r="F26" s="177">
        <f>'[3]F de E'!E31</f>
        <v>236751.53263571014</v>
      </c>
      <c r="G26" s="177">
        <f>'[3]F de E'!F31</f>
        <v>245900.189068117</v>
      </c>
      <c r="H26" s="177">
        <f>'[3]F de E'!G31</f>
        <v>254985.36114376457</v>
      </c>
      <c r="I26" s="177">
        <f>'[3]F de E'!H31</f>
        <v>264000.70042697689</v>
      </c>
      <c r="J26" s="177">
        <f>'[3]F de E'!I31</f>
        <v>272939.22363851039</v>
      </c>
      <c r="K26" s="177">
        <f>'[3]F de E'!J31</f>
        <v>366793.2491711973</v>
      </c>
    </row>
    <row r="27" spans="2:11" x14ac:dyDescent="0.25">
      <c r="B27" s="3" t="s">
        <v>205</v>
      </c>
      <c r="C27" s="177">
        <f>('[3]Inv Dep Y Dif'!B2-'[3]S de Deuda'!C3)</f>
        <v>285000</v>
      </c>
      <c r="D27" s="176"/>
      <c r="E27" s="176"/>
      <c r="F27" s="176"/>
      <c r="G27" s="176"/>
      <c r="H27" s="176"/>
      <c r="I27" s="176"/>
      <c r="J27" s="176"/>
      <c r="K27" s="176"/>
    </row>
    <row r="28" spans="2:11" x14ac:dyDescent="0.25">
      <c r="B28" s="3" t="s">
        <v>206</v>
      </c>
      <c r="C28" s="177">
        <f>'[3]S de Deuda'!C3</f>
        <v>200000</v>
      </c>
      <c r="D28" s="176"/>
      <c r="E28" s="176"/>
      <c r="F28" s="176"/>
      <c r="G28" s="176"/>
      <c r="H28" s="176"/>
      <c r="I28" s="176"/>
      <c r="J28" s="176"/>
      <c r="K28" s="176"/>
    </row>
    <row r="29" spans="2:11" x14ac:dyDescent="0.25">
      <c r="B29" s="3" t="s">
        <v>207</v>
      </c>
      <c r="C29" s="176"/>
      <c r="D29" s="180">
        <f>'[3]F de E'!C22</f>
        <v>17488.803514962696</v>
      </c>
      <c r="E29" s="180">
        <f>'[3]F de E'!D22</f>
        <v>19237.683866458963</v>
      </c>
      <c r="F29" s="180">
        <f>'[3]F de E'!E22</f>
        <v>21161.452253104864</v>
      </c>
      <c r="G29" s="180">
        <f>'[3]F de E'!F22</f>
        <v>23277.597478415348</v>
      </c>
      <c r="H29" s="180">
        <f>'[3]F de E'!G22</f>
        <v>25605.357226256885</v>
      </c>
      <c r="I29" s="180">
        <f>'[3]F de E'!H22</f>
        <v>28165.892948882574</v>
      </c>
      <c r="J29" s="180">
        <f>'[3]F de E'!I22</f>
        <v>30982.482243770828</v>
      </c>
      <c r="K29" s="180">
        <f>'[3]F de E'!J22</f>
        <v>34080.730468147915</v>
      </c>
    </row>
    <row r="30" spans="2:11" x14ac:dyDescent="0.25">
      <c r="B30" s="3" t="s">
        <v>208</v>
      </c>
      <c r="C30" s="176"/>
      <c r="D30" s="177">
        <f>'[3]F de E'!C21</f>
        <v>20000</v>
      </c>
      <c r="E30" s="177">
        <f>'[3]F de E'!D21</f>
        <v>18251.119648503733</v>
      </c>
      <c r="F30" s="177">
        <f>'[3]F de E'!E21</f>
        <v>16327.351261857833</v>
      </c>
      <c r="G30" s="177">
        <f>'[3]F de E'!F21</f>
        <v>14211.206036547348</v>
      </c>
      <c r="H30" s="177">
        <f>'[3]F de E'!G21</f>
        <v>11883.446288705813</v>
      </c>
      <c r="I30" s="177">
        <f>'[3]F de E'!H21</f>
        <v>9322.9105660801233</v>
      </c>
      <c r="J30" s="177">
        <f>'[3]F de E'!I21</f>
        <v>6506.3212711918659</v>
      </c>
      <c r="K30" s="177">
        <f>'[3]F de E'!J21</f>
        <v>3408.0730468147831</v>
      </c>
    </row>
    <row r="31" spans="2:11" x14ac:dyDescent="0.25">
      <c r="B31" s="3"/>
      <c r="C31" s="176"/>
      <c r="D31" s="176"/>
      <c r="E31" s="176"/>
      <c r="F31" s="176"/>
      <c r="G31" s="176"/>
      <c r="H31" s="176"/>
      <c r="I31" s="176"/>
      <c r="J31" s="176"/>
      <c r="K31" s="176"/>
    </row>
    <row r="32" spans="2:11" x14ac:dyDescent="0.25">
      <c r="B32" s="3" t="s">
        <v>209</v>
      </c>
      <c r="C32" s="177">
        <f>'[3]F de E'!B24</f>
        <v>0</v>
      </c>
      <c r="D32" s="177">
        <f>'[3]F de E'!C24</f>
        <v>0</v>
      </c>
      <c r="E32" s="177">
        <f>'[3]F de E'!D24</f>
        <v>0</v>
      </c>
      <c r="F32" s="177">
        <f>'[3]F de E'!E24</f>
        <v>0</v>
      </c>
      <c r="G32" s="177">
        <f>'[3]F de E'!F24</f>
        <v>0</v>
      </c>
      <c r="H32" s="177">
        <f>'[3]F de E'!G24</f>
        <v>0</v>
      </c>
      <c r="I32" s="177">
        <f>'[3]F de E'!H24</f>
        <v>0</v>
      </c>
      <c r="J32" s="177">
        <f>'[3]F de E'!I24</f>
        <v>0</v>
      </c>
      <c r="K32" s="177">
        <f>'[3]F de E'!J24</f>
        <v>0</v>
      </c>
    </row>
    <row r="33" spans="2:11" x14ac:dyDescent="0.25">
      <c r="B33" s="179" t="s">
        <v>202</v>
      </c>
      <c r="C33" s="178">
        <f>C26-C27-C28+C29+C30+C32</f>
        <v>-485000</v>
      </c>
      <c r="D33" s="178">
        <f t="shared" ref="D33:K33" si="8">D26-D27-D28+D29+D30+D32</f>
        <v>319440</v>
      </c>
      <c r="E33" s="178">
        <f t="shared" si="8"/>
        <v>265033.96666666667</v>
      </c>
      <c r="F33" s="178">
        <f t="shared" si="8"/>
        <v>274240.33615067281</v>
      </c>
      <c r="G33" s="178">
        <f t="shared" si="8"/>
        <v>283388.99258307973</v>
      </c>
      <c r="H33" s="178">
        <f t="shared" si="8"/>
        <v>292474.16465872724</v>
      </c>
      <c r="I33" s="178">
        <f t="shared" si="8"/>
        <v>301489.50394193962</v>
      </c>
      <c r="J33" s="178">
        <f t="shared" si="8"/>
        <v>310428.02715347311</v>
      </c>
      <c r="K33" s="178">
        <f t="shared" si="8"/>
        <v>404282.05268615996</v>
      </c>
    </row>
    <row r="34" spans="2:11" x14ac:dyDescent="0.25">
      <c r="C34" s="82"/>
      <c r="D34" s="82"/>
      <c r="E34" s="82"/>
      <c r="F34" s="82"/>
      <c r="G34" s="82"/>
      <c r="H34" s="82"/>
      <c r="I34" s="82"/>
      <c r="J34" s="82"/>
      <c r="K34" s="82"/>
    </row>
    <row r="35" spans="2:11" x14ac:dyDescent="0.25">
      <c r="C35" s="82"/>
      <c r="D35" s="82"/>
      <c r="E35" s="82"/>
      <c r="F35" s="82"/>
      <c r="G35" s="82"/>
      <c r="H35" s="82"/>
      <c r="I35" s="82"/>
      <c r="J35" s="82"/>
      <c r="K35" s="82"/>
    </row>
    <row r="36" spans="2:11" x14ac:dyDescent="0.25">
      <c r="B36" t="s">
        <v>62</v>
      </c>
      <c r="C36" s="181">
        <f>IRR(C33:K33)</f>
        <v>0.59359379225090692</v>
      </c>
      <c r="D36" s="155" t="str">
        <f>IF(C36&gt;C40,"Aceptamos el Proyecto","No Aceptamos el Proyecto")</f>
        <v>Aceptamos el Proyecto</v>
      </c>
      <c r="E36" s="82"/>
      <c r="F36" s="82"/>
      <c r="G36" s="82"/>
      <c r="H36" s="82"/>
      <c r="I36" s="82"/>
      <c r="J36" s="82"/>
      <c r="K36" s="82"/>
    </row>
    <row r="37" spans="2:11" x14ac:dyDescent="0.25">
      <c r="B37" t="s">
        <v>210</v>
      </c>
      <c r="C37" s="182">
        <f>NPV(C40,D33:K33)+C33</f>
        <v>1252597.1923613916</v>
      </c>
      <c r="D37" s="155" t="str">
        <f>IF(C37&gt;0,"Aceptamos el Proyecto","No Aceptamos el Proyecto")</f>
        <v>Aceptamos el Proyecto</v>
      </c>
      <c r="E37" s="82"/>
      <c r="F37" s="82"/>
      <c r="G37" s="82"/>
      <c r="H37" s="82"/>
      <c r="I37" s="82"/>
      <c r="J37" s="82"/>
      <c r="K37" s="82"/>
    </row>
    <row r="38" spans="2:11" x14ac:dyDescent="0.25">
      <c r="B38" t="s">
        <v>102</v>
      </c>
      <c r="C38" s="181">
        <f>MIRR(C33:K33,C40,C41)</f>
        <v>0.27786527580618214</v>
      </c>
      <c r="D38" s="155" t="str">
        <f>IF(C38&gt;C40,"Aceptamos el Proyecto","No Aceptamos el Proyecto")</f>
        <v>Aceptamos el Proyecto</v>
      </c>
      <c r="E38" s="82"/>
      <c r="F38" s="82"/>
      <c r="G38" s="82"/>
      <c r="H38" s="82"/>
      <c r="I38" s="82"/>
      <c r="J38" s="82"/>
      <c r="K38" s="82"/>
    </row>
    <row r="39" spans="2:11" x14ac:dyDescent="0.25">
      <c r="B39" t="s">
        <v>211</v>
      </c>
      <c r="C39" s="183">
        <f>(PV(C40,D18,,D33)+PV(C40,E18,,E33)+PV(C40,F18,,F33)+PV(C40,G18,,G33)+PV(C40,H18,,H33)+PV(C40,I18,,I33)+PV(C40,J18,,J33)+PV(C40,K18,,K33))/C33</f>
        <v>3.5826746234255498</v>
      </c>
      <c r="D39" s="82"/>
      <c r="E39" s="82"/>
      <c r="F39" s="82"/>
      <c r="G39" s="82"/>
      <c r="H39" s="82"/>
      <c r="I39" s="82"/>
      <c r="J39" s="82"/>
      <c r="K39" s="82"/>
    </row>
    <row r="40" spans="2:11" x14ac:dyDescent="0.25">
      <c r="B40" t="s">
        <v>61</v>
      </c>
      <c r="C40" s="184">
        <v>0.08</v>
      </c>
      <c r="D40" s="82"/>
      <c r="E40" s="82"/>
      <c r="F40" s="82"/>
      <c r="G40" s="82"/>
      <c r="H40" s="82"/>
      <c r="I40" s="82"/>
      <c r="J40" s="82"/>
      <c r="K40" s="82"/>
    </row>
    <row r="41" spans="2:11" x14ac:dyDescent="0.25">
      <c r="B41" t="s">
        <v>212</v>
      </c>
      <c r="C41" s="184">
        <v>0.1</v>
      </c>
      <c r="D41" s="82"/>
      <c r="E41" s="82"/>
      <c r="F41" s="82"/>
      <c r="G41" s="82"/>
      <c r="H41" s="82"/>
      <c r="I41" s="82"/>
      <c r="J41" s="82"/>
      <c r="K41" s="82"/>
    </row>
    <row r="42" spans="2:11" x14ac:dyDescent="0.25">
      <c r="C42" s="82"/>
      <c r="D42" s="82"/>
      <c r="E42" s="82"/>
      <c r="F42" s="82"/>
      <c r="G42" s="82"/>
      <c r="H42" s="82"/>
      <c r="I42" s="82"/>
      <c r="J42" s="82"/>
      <c r="K42" s="82"/>
    </row>
    <row r="43" spans="2:11" x14ac:dyDescent="0.25">
      <c r="B43" s="1" t="s">
        <v>213</v>
      </c>
      <c r="C43" s="82"/>
      <c r="D43" s="82"/>
      <c r="E43" s="82"/>
      <c r="F43" s="82"/>
      <c r="G43" s="82"/>
      <c r="H43" s="82"/>
      <c r="I43" s="82"/>
      <c r="J43" s="82"/>
      <c r="K43" s="82"/>
    </row>
    <row r="44" spans="2:11" x14ac:dyDescent="0.25">
      <c r="C44" s="82"/>
      <c r="D44" s="82"/>
      <c r="E44" s="82"/>
      <c r="F44" s="82"/>
      <c r="G44" s="82"/>
      <c r="H44" s="82"/>
      <c r="I44" s="82"/>
      <c r="J44" s="82"/>
      <c r="K44" s="82"/>
    </row>
    <row r="45" spans="2:11" x14ac:dyDescent="0.25">
      <c r="B45" s="179" t="str">
        <f>B33</f>
        <v>F CAJA LIBRE</v>
      </c>
      <c r="C45" s="178">
        <f t="shared" ref="C45:K45" si="9">C33</f>
        <v>-485000</v>
      </c>
      <c r="D45" s="178">
        <f t="shared" si="9"/>
        <v>319440</v>
      </c>
      <c r="E45" s="178">
        <f t="shared" si="9"/>
        <v>265033.96666666667</v>
      </c>
      <c r="F45" s="178">
        <f t="shared" si="9"/>
        <v>274240.33615067281</v>
      </c>
      <c r="G45" s="178">
        <f t="shared" si="9"/>
        <v>283388.99258307973</v>
      </c>
      <c r="H45" s="178">
        <f t="shared" si="9"/>
        <v>292474.16465872724</v>
      </c>
      <c r="I45" s="178">
        <f t="shared" si="9"/>
        <v>301489.50394193962</v>
      </c>
      <c r="J45" s="178">
        <f t="shared" si="9"/>
        <v>310428.02715347311</v>
      </c>
      <c r="K45" s="178">
        <f t="shared" si="9"/>
        <v>404282.05268615996</v>
      </c>
    </row>
    <row r="46" spans="2:11" ht="17.25" customHeight="1" x14ac:dyDescent="0.25">
      <c r="B46" t="s">
        <v>214</v>
      </c>
      <c r="C46" s="185">
        <f>'[3]F de E'!B9</f>
        <v>200000</v>
      </c>
      <c r="D46" s="185">
        <f>'[3]F de E'!C9</f>
        <v>0</v>
      </c>
      <c r="E46" s="185">
        <f>'[3]F de E'!D9</f>
        <v>0</v>
      </c>
      <c r="F46" s="185">
        <f>'[3]F de E'!E9</f>
        <v>0</v>
      </c>
      <c r="G46" s="185">
        <f>'[3]F de E'!F9</f>
        <v>0</v>
      </c>
      <c r="H46" s="185">
        <f>'[3]F de E'!G9</f>
        <v>0</v>
      </c>
      <c r="I46" s="185">
        <f>'[3]F de E'!H9</f>
        <v>0</v>
      </c>
      <c r="J46" s="185">
        <f>'[3]F de E'!I9</f>
        <v>0</v>
      </c>
      <c r="K46" s="185">
        <f>'[3]F de E'!J9</f>
        <v>0</v>
      </c>
    </row>
    <row r="47" spans="2:11" x14ac:dyDescent="0.25">
      <c r="B47" t="s">
        <v>215</v>
      </c>
      <c r="C47" s="185">
        <f>'[3]F de E'!B22</f>
        <v>0</v>
      </c>
      <c r="D47" s="185">
        <f>'[3]F de E'!C22</f>
        <v>17488.803514962696</v>
      </c>
      <c r="E47" s="185">
        <f>'[3]F de E'!D22</f>
        <v>19237.683866458963</v>
      </c>
      <c r="F47" s="185">
        <f>'[3]F de E'!E22</f>
        <v>21161.452253104864</v>
      </c>
      <c r="G47" s="185">
        <f>'[3]F de E'!F22</f>
        <v>23277.597478415348</v>
      </c>
      <c r="H47" s="185">
        <f>'[3]F de E'!G22</f>
        <v>25605.357226256885</v>
      </c>
      <c r="I47" s="185">
        <f>'[3]F de E'!H22</f>
        <v>28165.892948882574</v>
      </c>
      <c r="J47" s="185">
        <f>'[3]F de E'!I22</f>
        <v>30982.482243770828</v>
      </c>
      <c r="K47" s="185">
        <f>'[3]F de E'!J22</f>
        <v>34080.730468147915</v>
      </c>
    </row>
    <row r="48" spans="2:11" x14ac:dyDescent="0.25">
      <c r="B48" t="s">
        <v>216</v>
      </c>
      <c r="C48" s="185">
        <f>'[3]F de E'!B21</f>
        <v>0</v>
      </c>
      <c r="D48" s="185">
        <f>'[3]F de E'!C21</f>
        <v>20000</v>
      </c>
      <c r="E48" s="185">
        <f>'[3]F de E'!D21</f>
        <v>18251.119648503733</v>
      </c>
      <c r="F48" s="185">
        <f>'[3]F de E'!E21</f>
        <v>16327.351261857833</v>
      </c>
      <c r="G48" s="185">
        <f>'[3]F de E'!F21</f>
        <v>14211.206036547348</v>
      </c>
      <c r="H48" s="185">
        <f>'[3]F de E'!G21</f>
        <v>11883.446288705813</v>
      </c>
      <c r="I48" s="185">
        <f>'[3]F de E'!H21</f>
        <v>9322.9105660801233</v>
      </c>
      <c r="J48" s="185">
        <f>'[3]F de E'!I21</f>
        <v>6506.3212711918659</v>
      </c>
      <c r="K48" s="185">
        <f>'[3]F de E'!J21</f>
        <v>3408.0730468147831</v>
      </c>
    </row>
    <row r="49" spans="2:11" x14ac:dyDescent="0.25">
      <c r="B49" s="179" t="s">
        <v>152</v>
      </c>
      <c r="C49" s="178">
        <f>C45+C46-C47-C48</f>
        <v>-285000</v>
      </c>
      <c r="D49" s="178">
        <f t="shared" ref="D49:K49" si="10">D45+D46-D47-D48</f>
        <v>281951.19648503733</v>
      </c>
      <c r="E49" s="178">
        <f t="shared" si="10"/>
        <v>227545.16315170398</v>
      </c>
      <c r="F49" s="178">
        <f t="shared" si="10"/>
        <v>236751.53263571011</v>
      </c>
      <c r="G49" s="178">
        <f t="shared" si="10"/>
        <v>245900.18906811703</v>
      </c>
      <c r="H49" s="178">
        <f t="shared" si="10"/>
        <v>254985.36114376457</v>
      </c>
      <c r="I49" s="178">
        <f t="shared" si="10"/>
        <v>264000.70042697689</v>
      </c>
      <c r="J49" s="178">
        <f t="shared" si="10"/>
        <v>272939.22363851039</v>
      </c>
      <c r="K49" s="178">
        <f t="shared" si="10"/>
        <v>366793.2491711973</v>
      </c>
    </row>
    <row r="50" spans="2:11" x14ac:dyDescent="0.25">
      <c r="D50" s="68"/>
      <c r="E50" s="68"/>
      <c r="F50" s="68"/>
      <c r="G50" s="68"/>
      <c r="H50" s="68"/>
      <c r="I50" s="68"/>
      <c r="J50" s="68"/>
      <c r="K50" s="68"/>
    </row>
    <row r="51" spans="2:11" x14ac:dyDescent="0.25">
      <c r="B51" t="s">
        <v>62</v>
      </c>
      <c r="C51" s="186">
        <f>IRR(C49:K49)</f>
        <v>0.9030892658529639</v>
      </c>
      <c r="D51" s="155" t="str">
        <f>IF(C51&gt;C55,"Aceptamos el Proyecto","No Aceptamos el Proyecto")</f>
        <v>Aceptamos el Proyecto</v>
      </c>
      <c r="E51" s="68"/>
      <c r="F51" s="68"/>
      <c r="G51" s="68"/>
      <c r="H51" s="68"/>
      <c r="I51" s="68"/>
      <c r="J51" s="68"/>
      <c r="K51" s="68"/>
    </row>
    <row r="52" spans="2:11" x14ac:dyDescent="0.25">
      <c r="B52" t="s">
        <v>210</v>
      </c>
      <c r="C52" s="68">
        <f>NPV(C40,D49:K49)+C49</f>
        <v>1237162.574128641</v>
      </c>
      <c r="D52" s="155" t="str">
        <f>IF(C52&gt;0,"Aceptamos el Proyecto","No Aceptamos el Proyecto")</f>
        <v>Aceptamos el Proyecto</v>
      </c>
      <c r="E52" s="68"/>
      <c r="F52" s="68"/>
      <c r="G52" s="68"/>
      <c r="H52" s="68"/>
      <c r="I52" s="68"/>
      <c r="J52" s="68"/>
      <c r="K52" s="68"/>
    </row>
    <row r="53" spans="2:11" x14ac:dyDescent="0.25">
      <c r="B53" t="s">
        <v>102</v>
      </c>
      <c r="C53" s="186">
        <f>MIRR(C49:K49,C40,C41)</f>
        <v>0.34319854402755401</v>
      </c>
      <c r="D53" s="155" t="str">
        <f>IF(C53&gt;C55,"Aceptamos el Proyecto","No Aceptamos el Proyecto")</f>
        <v>Aceptamos el Proyecto</v>
      </c>
      <c r="E53" s="68"/>
      <c r="F53" s="68"/>
      <c r="G53" s="68"/>
      <c r="H53" s="68"/>
      <c r="I53" s="68"/>
      <c r="J53" s="68"/>
      <c r="K53" s="68"/>
    </row>
    <row r="54" spans="2:11" x14ac:dyDescent="0.25">
      <c r="B54" t="s">
        <v>211</v>
      </c>
      <c r="D54" s="68"/>
      <c r="E54" s="68"/>
      <c r="F54" s="68"/>
      <c r="G54" s="68"/>
      <c r="H54" s="68"/>
      <c r="I54" s="68"/>
      <c r="J54" s="68"/>
      <c r="K54" s="68"/>
    </row>
    <row r="55" spans="2:11" x14ac:dyDescent="0.25">
      <c r="D55" s="68"/>
      <c r="E55" s="68"/>
      <c r="F55" s="68"/>
      <c r="G55" s="68"/>
      <c r="H55" s="68"/>
      <c r="I55" s="68"/>
      <c r="J55" s="68"/>
      <c r="K55" s="68"/>
    </row>
    <row r="56" spans="2:11" x14ac:dyDescent="0.25">
      <c r="D56" s="68"/>
      <c r="E56" s="68"/>
      <c r="F56" s="68"/>
      <c r="G56" s="68"/>
      <c r="H56" s="68"/>
      <c r="I56" s="68"/>
      <c r="J56" s="68"/>
      <c r="K56" s="68"/>
    </row>
    <row r="57" spans="2:11" x14ac:dyDescent="0.25">
      <c r="D57" s="68"/>
      <c r="E57" s="68"/>
      <c r="F57" s="68"/>
      <c r="G57" s="68"/>
      <c r="H57" s="68"/>
      <c r="I57" s="68"/>
      <c r="J57" s="68"/>
      <c r="K57" s="68"/>
    </row>
    <row r="58" spans="2:11" ht="15.75" thickBot="1" x14ac:dyDescent="0.3">
      <c r="B58" s="187"/>
      <c r="C58" s="188" t="s">
        <v>217</v>
      </c>
    </row>
    <row r="59" spans="2:11" x14ac:dyDescent="0.25">
      <c r="D59" s="189" t="s">
        <v>61</v>
      </c>
      <c r="E59" s="190" t="s">
        <v>63</v>
      </c>
      <c r="F59" s="190" t="s">
        <v>62</v>
      </c>
      <c r="G59" s="190" t="s">
        <v>218</v>
      </c>
      <c r="H59" s="190" t="s">
        <v>219</v>
      </c>
      <c r="I59" s="191"/>
    </row>
    <row r="60" spans="2:11" x14ac:dyDescent="0.25">
      <c r="D60" s="192"/>
      <c r="E60" s="193">
        <f>C37</f>
        <v>1252597.1923613916</v>
      </c>
      <c r="F60" s="194">
        <f>C36</f>
        <v>0.59359379225090692</v>
      </c>
      <c r="G60" s="194">
        <f>C38</f>
        <v>0.27786527580618214</v>
      </c>
      <c r="H60" s="195">
        <f>C39</f>
        <v>3.5826746234255498</v>
      </c>
      <c r="I60" s="196"/>
    </row>
    <row r="61" spans="2:11" x14ac:dyDescent="0.25">
      <c r="D61" s="197">
        <v>0.12</v>
      </c>
      <c r="E61" s="198">
        <v>1009201.699708242</v>
      </c>
      <c r="F61" s="199">
        <v>0.59359379225090692</v>
      </c>
      <c r="G61" s="199">
        <v>0.27786527580618214</v>
      </c>
      <c r="H61" s="200">
        <v>3.0808282468211177</v>
      </c>
      <c r="I61" s="201">
        <v>0</v>
      </c>
      <c r="J61" t="str">
        <f>IF(E61&gt;0,"ACEPTAR","NO ACEPTAR")</f>
        <v>ACEPTAR</v>
      </c>
    </row>
    <row r="62" spans="2:11" x14ac:dyDescent="0.25">
      <c r="D62" s="202">
        <v>0.14000000000000001</v>
      </c>
      <c r="E62" s="193">
        <v>907078.84485015646</v>
      </c>
      <c r="F62" s="194">
        <v>0.59359379225090692</v>
      </c>
      <c r="G62" s="194">
        <v>0.27786527580618214</v>
      </c>
      <c r="H62" s="195">
        <v>2.8702656594848581</v>
      </c>
      <c r="I62" s="203">
        <v>0</v>
      </c>
      <c r="J62" t="str">
        <f t="shared" ref="J62:J71" si="11">IF(E62&gt;0,"ACEPTAR","NO ACEPTAR")</f>
        <v>ACEPTAR</v>
      </c>
    </row>
    <row r="63" spans="2:11" x14ac:dyDescent="0.25">
      <c r="D63" s="204">
        <v>0.16</v>
      </c>
      <c r="E63" s="193">
        <v>815699.82447822951</v>
      </c>
      <c r="F63" s="194">
        <v>0.59359379225090692</v>
      </c>
      <c r="G63" s="194">
        <v>0.27786527580618214</v>
      </c>
      <c r="H63" s="195">
        <v>2.6818553082025351</v>
      </c>
      <c r="I63" s="203">
        <v>0</v>
      </c>
      <c r="J63" t="str">
        <f t="shared" si="11"/>
        <v>ACEPTAR</v>
      </c>
    </row>
    <row r="64" spans="2:11" x14ac:dyDescent="0.25">
      <c r="D64" s="202">
        <v>0.18</v>
      </c>
      <c r="E64" s="193">
        <v>733665.11498461431</v>
      </c>
      <c r="F64" s="194">
        <v>0.59359379225090692</v>
      </c>
      <c r="G64" s="194">
        <v>0.27786527580618214</v>
      </c>
      <c r="H64" s="195">
        <v>2.5127115772878641</v>
      </c>
      <c r="I64" s="205">
        <v>0</v>
      </c>
      <c r="J64" t="str">
        <f t="shared" si="11"/>
        <v>ACEPTAR</v>
      </c>
    </row>
    <row r="65" spans="1:10" x14ac:dyDescent="0.25">
      <c r="D65" s="202">
        <v>0.2</v>
      </c>
      <c r="E65" s="193">
        <v>659785.36184547679</v>
      </c>
      <c r="F65" s="194">
        <v>0.59359379225090692</v>
      </c>
      <c r="G65" s="194">
        <v>0.27786527580618214</v>
      </c>
      <c r="H65" s="195">
        <v>2.3603821893721171</v>
      </c>
      <c r="I65" s="205">
        <v>0</v>
      </c>
      <c r="J65" t="str">
        <f t="shared" si="11"/>
        <v>ACEPTAR</v>
      </c>
    </row>
    <row r="66" spans="1:10" x14ac:dyDescent="0.25">
      <c r="D66" s="204">
        <v>0.22</v>
      </c>
      <c r="E66" s="193">
        <v>593046.21193502424</v>
      </c>
      <c r="F66" s="194">
        <v>0.59359379225090692</v>
      </c>
      <c r="G66" s="194">
        <v>0.27786527580618214</v>
      </c>
      <c r="H66" s="195">
        <v>2.2227756947113897</v>
      </c>
      <c r="I66" s="205">
        <v>0</v>
      </c>
      <c r="J66" t="str">
        <f t="shared" si="11"/>
        <v>ACEPTAR</v>
      </c>
    </row>
    <row r="67" spans="1:10" x14ac:dyDescent="0.25">
      <c r="D67" s="202">
        <v>0.24</v>
      </c>
      <c r="E67" s="193">
        <v>532579.57380828203</v>
      </c>
      <c r="F67" s="194">
        <v>0.59359379225090692</v>
      </c>
      <c r="G67" s="194">
        <v>0.27786527580618214</v>
      </c>
      <c r="H67" s="195">
        <v>2.0981022140376946</v>
      </c>
      <c r="I67" s="205">
        <v>0</v>
      </c>
      <c r="J67" t="str">
        <f t="shared" si="11"/>
        <v>ACEPTAR</v>
      </c>
    </row>
    <row r="68" spans="1:10" x14ac:dyDescent="0.25">
      <c r="D68" s="202">
        <v>0.26</v>
      </c>
      <c r="E68" s="193">
        <v>477640.03934457491</v>
      </c>
      <c r="F68" s="194">
        <v>0.59359379225090692</v>
      </c>
      <c r="G68" s="194">
        <v>0.27786527580618214</v>
      </c>
      <c r="H68" s="195">
        <v>1.9848248233908756</v>
      </c>
      <c r="I68" s="203">
        <v>0</v>
      </c>
      <c r="J68" t="str">
        <f t="shared" si="11"/>
        <v>ACEPTAR</v>
      </c>
    </row>
    <row r="69" spans="1:10" x14ac:dyDescent="0.25">
      <c r="D69" s="204">
        <v>0.28000000000000003</v>
      </c>
      <c r="E69" s="193">
        <v>427585.46666667517</v>
      </c>
      <c r="F69" s="194">
        <v>0.59359379225090692</v>
      </c>
      <c r="G69" s="194">
        <v>0.27786527580618214</v>
      </c>
      <c r="H69" s="195">
        <v>1.8816195189003613</v>
      </c>
      <c r="I69" s="205">
        <v>0</v>
      </c>
      <c r="J69" t="str">
        <f t="shared" si="11"/>
        <v>ACEPTAR</v>
      </c>
    </row>
    <row r="70" spans="1:10" x14ac:dyDescent="0.25">
      <c r="D70" s="202">
        <v>0.3</v>
      </c>
      <c r="E70" s="193">
        <v>381860.93131505256</v>
      </c>
      <c r="F70" s="194">
        <v>0.59359379225090692</v>
      </c>
      <c r="G70" s="194">
        <v>0.27786527580618214</v>
      </c>
      <c r="H70" s="195">
        <v>1.7873421264227891</v>
      </c>
      <c r="I70" s="205">
        <v>0</v>
      </c>
      <c r="J70" t="str">
        <f t="shared" si="11"/>
        <v>ACEPTAR</v>
      </c>
    </row>
    <row r="71" spans="1:10" ht="15.75" thickBot="1" x14ac:dyDescent="0.3">
      <c r="D71" s="206">
        <v>0.32</v>
      </c>
      <c r="E71" s="207">
        <v>339985.41424517531</v>
      </c>
      <c r="F71" s="208">
        <v>0.59359379225090692</v>
      </c>
      <c r="G71" s="208">
        <v>0.27786527580618214</v>
      </c>
      <c r="H71" s="209">
        <v>1.7010008541137636</v>
      </c>
      <c r="I71" s="210">
        <v>0</v>
      </c>
      <c r="J71" t="str">
        <f t="shared" si="11"/>
        <v>ACEPTAR</v>
      </c>
    </row>
    <row r="72" spans="1:10" x14ac:dyDescent="0.25">
      <c r="D72" s="211"/>
      <c r="E72" s="193"/>
      <c r="F72" s="194"/>
      <c r="G72" s="194"/>
      <c r="H72" s="195"/>
      <c r="I72" s="212"/>
    </row>
    <row r="73" spans="1:10" x14ac:dyDescent="0.25">
      <c r="D73" s="211"/>
      <c r="E73" s="193"/>
      <c r="F73" s="194"/>
      <c r="G73" s="194"/>
      <c r="H73" s="195"/>
      <c r="I73" s="212"/>
    </row>
    <row r="74" spans="1:10" ht="15.75" thickBot="1" x14ac:dyDescent="0.3">
      <c r="A74" s="213" t="s">
        <v>220</v>
      </c>
      <c r="B74" s="187"/>
      <c r="C74" s="188"/>
      <c r="D74" s="214">
        <f>C12</f>
        <v>188207486</v>
      </c>
    </row>
    <row r="75" spans="1:10" x14ac:dyDescent="0.25">
      <c r="D75" s="189" t="s">
        <v>221</v>
      </c>
      <c r="E75" s="190" t="s">
        <v>63</v>
      </c>
      <c r="F75" s="190" t="s">
        <v>62</v>
      </c>
      <c r="G75" s="190" t="s">
        <v>218</v>
      </c>
      <c r="H75" s="190" t="s">
        <v>219</v>
      </c>
      <c r="I75" s="191"/>
    </row>
    <row r="76" spans="1:10" x14ac:dyDescent="0.25">
      <c r="D76" s="192"/>
      <c r="E76" s="193">
        <f>C37</f>
        <v>1252597.1923613916</v>
      </c>
      <c r="F76" s="194">
        <f>C36</f>
        <v>0.59359379225090692</v>
      </c>
      <c r="G76" s="194">
        <f>C38</f>
        <v>0.27786527580618214</v>
      </c>
      <c r="H76" s="195">
        <f>C39</f>
        <v>3.5826746234255498</v>
      </c>
      <c r="I76" s="196"/>
    </row>
    <row r="77" spans="1:10" x14ac:dyDescent="0.25">
      <c r="D77" s="215">
        <v>300000</v>
      </c>
      <c r="E77" s="198">
        <v>1252597.1923613916</v>
      </c>
      <c r="F77" s="199">
        <v>0.59359379225090692</v>
      </c>
      <c r="G77" s="199">
        <v>0.27786527580618214</v>
      </c>
      <c r="H77" s="200">
        <v>3.5826746234255498</v>
      </c>
      <c r="I77" s="201"/>
      <c r="J77" t="str">
        <f>IF(E77&gt;0,"ACEPTAR","NO ACEPTAR")</f>
        <v>ACEPTAR</v>
      </c>
    </row>
    <row r="78" spans="1:10" x14ac:dyDescent="0.25">
      <c r="C78" s="216">
        <v>50000</v>
      </c>
      <c r="D78" s="217">
        <f>C78+D77</f>
        <v>350000</v>
      </c>
      <c r="E78" s="193">
        <v>1252597.1923613916</v>
      </c>
      <c r="F78" s="194">
        <v>0.59359379225090692</v>
      </c>
      <c r="G78" s="194">
        <v>0.27786527580618214</v>
      </c>
      <c r="H78" s="195">
        <v>3.5826746234255498</v>
      </c>
      <c r="I78" s="203"/>
      <c r="J78" t="str">
        <f t="shared" ref="J78:J87" si="12">IF(E78&gt;0,"ACEPTAR","NO ACEPTAR")</f>
        <v>ACEPTAR</v>
      </c>
    </row>
    <row r="79" spans="1:10" x14ac:dyDescent="0.25">
      <c r="C79" s="216">
        <v>50000</v>
      </c>
      <c r="D79" s="217">
        <f t="shared" ref="D79:D87" si="13">C79+D78</f>
        <v>400000</v>
      </c>
      <c r="E79" s="193">
        <v>1252597.1923613916</v>
      </c>
      <c r="F79" s="194">
        <v>0.59359379225090692</v>
      </c>
      <c r="G79" s="194">
        <v>0.27786527580618214</v>
      </c>
      <c r="H79" s="195">
        <v>3.5826746234255498</v>
      </c>
      <c r="I79" s="203"/>
      <c r="J79" t="str">
        <f t="shared" si="12"/>
        <v>ACEPTAR</v>
      </c>
    </row>
    <row r="80" spans="1:10" x14ac:dyDescent="0.25">
      <c r="C80" s="216">
        <v>50000</v>
      </c>
      <c r="D80" s="217">
        <f t="shared" si="13"/>
        <v>450000</v>
      </c>
      <c r="E80" s="193">
        <v>1252597.1923613916</v>
      </c>
      <c r="F80" s="194">
        <v>0.59359379225090692</v>
      </c>
      <c r="G80" s="194">
        <v>0.27786527580618214</v>
      </c>
      <c r="H80" s="195">
        <v>3.5826746234255498</v>
      </c>
      <c r="I80" s="205"/>
      <c r="J80" t="str">
        <f t="shared" si="12"/>
        <v>ACEPTAR</v>
      </c>
    </row>
    <row r="81" spans="2:10" x14ac:dyDescent="0.25">
      <c r="C81" s="216">
        <v>50000</v>
      </c>
      <c r="D81" s="217">
        <f t="shared" si="13"/>
        <v>500000</v>
      </c>
      <c r="E81" s="193">
        <v>1252597.1923613916</v>
      </c>
      <c r="F81" s="194">
        <v>0.59359379225090692</v>
      </c>
      <c r="G81" s="194">
        <v>0.27786527580618214</v>
      </c>
      <c r="H81" s="195">
        <v>3.5826746234255498</v>
      </c>
      <c r="I81" s="205"/>
      <c r="J81" t="str">
        <f t="shared" si="12"/>
        <v>ACEPTAR</v>
      </c>
    </row>
    <row r="82" spans="2:10" x14ac:dyDescent="0.25">
      <c r="C82" s="216">
        <v>50000</v>
      </c>
      <c r="D82" s="217">
        <f t="shared" si="13"/>
        <v>550000</v>
      </c>
      <c r="E82" s="193">
        <v>1252597.1923613916</v>
      </c>
      <c r="F82" s="194">
        <v>0.59359379225090692</v>
      </c>
      <c r="G82" s="194">
        <v>0.27786527580618214</v>
      </c>
      <c r="H82" s="195">
        <v>3.5826746234255498</v>
      </c>
      <c r="I82" s="205"/>
      <c r="J82" t="str">
        <f t="shared" si="12"/>
        <v>ACEPTAR</v>
      </c>
    </row>
    <row r="83" spans="2:10" x14ac:dyDescent="0.25">
      <c r="C83" s="216">
        <v>50000</v>
      </c>
      <c r="D83" s="217">
        <f t="shared" si="13"/>
        <v>600000</v>
      </c>
      <c r="E83" s="193">
        <v>1252597.1923613916</v>
      </c>
      <c r="F83" s="194">
        <v>0.59359379225090692</v>
      </c>
      <c r="G83" s="194">
        <v>0.27786527580618214</v>
      </c>
      <c r="H83" s="195">
        <v>3.5826746234255498</v>
      </c>
      <c r="I83" s="205"/>
      <c r="J83" t="str">
        <f t="shared" si="12"/>
        <v>ACEPTAR</v>
      </c>
    </row>
    <row r="84" spans="2:10" x14ac:dyDescent="0.25">
      <c r="C84" s="216">
        <v>50000</v>
      </c>
      <c r="D84" s="217">
        <f t="shared" si="13"/>
        <v>650000</v>
      </c>
      <c r="E84" s="193">
        <v>1252597.1923613916</v>
      </c>
      <c r="F84" s="194">
        <v>0.59359379225090692</v>
      </c>
      <c r="G84" s="194">
        <v>0.27786527580618214</v>
      </c>
      <c r="H84" s="195">
        <v>3.5826746234255498</v>
      </c>
      <c r="I84" s="203"/>
      <c r="J84" t="str">
        <f t="shared" si="12"/>
        <v>ACEPTAR</v>
      </c>
    </row>
    <row r="85" spans="2:10" x14ac:dyDescent="0.25">
      <c r="C85" s="216">
        <v>50000</v>
      </c>
      <c r="D85" s="217">
        <f t="shared" si="13"/>
        <v>700000</v>
      </c>
      <c r="E85" s="193">
        <v>1252597.1923613916</v>
      </c>
      <c r="F85" s="194">
        <v>0.59359379225090692</v>
      </c>
      <c r="G85" s="194">
        <v>0.27786527580618214</v>
      </c>
      <c r="H85" s="195">
        <v>3.5826746234255498</v>
      </c>
      <c r="I85" s="205"/>
      <c r="J85" t="str">
        <f t="shared" si="12"/>
        <v>ACEPTAR</v>
      </c>
    </row>
    <row r="86" spans="2:10" x14ac:dyDescent="0.25">
      <c r="C86" s="216">
        <v>50000</v>
      </c>
      <c r="D86" s="217">
        <f t="shared" si="13"/>
        <v>750000</v>
      </c>
      <c r="E86" s="193">
        <v>1252597.1923613916</v>
      </c>
      <c r="F86" s="194">
        <v>0.59359379225090692</v>
      </c>
      <c r="G86" s="194">
        <v>0.27786527580618214</v>
      </c>
      <c r="H86" s="195">
        <v>3.5826746234255498</v>
      </c>
      <c r="I86" s="205"/>
      <c r="J86" t="str">
        <f t="shared" si="12"/>
        <v>ACEPTAR</v>
      </c>
    </row>
    <row r="87" spans="2:10" ht="15.75" thickBot="1" x14ac:dyDescent="0.3">
      <c r="C87" s="216">
        <v>50000</v>
      </c>
      <c r="D87" s="218">
        <f t="shared" si="13"/>
        <v>800000</v>
      </c>
      <c r="E87" s="207">
        <v>1252597.1923613916</v>
      </c>
      <c r="F87" s="208">
        <v>0.59359379225090692</v>
      </c>
      <c r="G87" s="208">
        <v>0.27786527580618214</v>
      </c>
      <c r="H87" s="209">
        <v>3.5826746234255498</v>
      </c>
      <c r="I87" s="210"/>
      <c r="J87" t="str">
        <f t="shared" si="12"/>
        <v>ACEPTAR</v>
      </c>
    </row>
    <row r="89" spans="2:10" ht="15.75" thickBot="1" x14ac:dyDescent="0.3">
      <c r="B89" s="187" t="s">
        <v>222</v>
      </c>
      <c r="C89" s="187"/>
      <c r="D89" s="219">
        <v>2000</v>
      </c>
    </row>
    <row r="90" spans="2:10" x14ac:dyDescent="0.25">
      <c r="D90" s="189" t="s">
        <v>41</v>
      </c>
      <c r="E90" s="190" t="s">
        <v>63</v>
      </c>
      <c r="F90" s="190" t="s">
        <v>62</v>
      </c>
      <c r="G90" s="190" t="s">
        <v>218</v>
      </c>
      <c r="H90" s="190" t="s">
        <v>219</v>
      </c>
      <c r="I90" s="191"/>
    </row>
    <row r="91" spans="2:10" x14ac:dyDescent="0.25">
      <c r="D91" s="220"/>
      <c r="E91" s="193">
        <f>C37</f>
        <v>1252597.1923613916</v>
      </c>
      <c r="F91" s="194">
        <f>C36</f>
        <v>0.59359379225090692</v>
      </c>
      <c r="G91" s="194">
        <f>C38</f>
        <v>0.27786527580618214</v>
      </c>
      <c r="H91" s="195">
        <f>C39</f>
        <v>3.5826746234255498</v>
      </c>
      <c r="I91" s="196"/>
    </row>
    <row r="92" spans="2:10" x14ac:dyDescent="0.25">
      <c r="D92" s="221">
        <v>1800</v>
      </c>
      <c r="E92" s="193">
        <v>1252597.1923613916</v>
      </c>
      <c r="F92" s="194">
        <v>0.59359379225090692</v>
      </c>
      <c r="G92" s="194">
        <v>0.27786527580618214</v>
      </c>
      <c r="H92" s="195">
        <v>3.5826746234255498</v>
      </c>
      <c r="I92" s="196"/>
    </row>
    <row r="93" spans="2:10" x14ac:dyDescent="0.25">
      <c r="C93" s="93">
        <v>50</v>
      </c>
      <c r="D93" s="221">
        <v>2000</v>
      </c>
      <c r="E93" s="193">
        <v>1252597.1923613916</v>
      </c>
      <c r="F93" s="194">
        <v>0.59359379225090692</v>
      </c>
      <c r="G93" s="194">
        <v>0.27786527580618214</v>
      </c>
      <c r="H93" s="195">
        <v>3.5826746234255498</v>
      </c>
      <c r="I93" s="203"/>
    </row>
    <row r="94" spans="2:10" x14ac:dyDescent="0.25">
      <c r="C94" s="93">
        <v>50</v>
      </c>
      <c r="D94" s="221">
        <f t="shared" ref="D94:D102" si="14">D93+C94</f>
        <v>2050</v>
      </c>
      <c r="E94" s="193">
        <v>1252597.1923613916</v>
      </c>
      <c r="F94" s="194">
        <v>0.59359379225090692</v>
      </c>
      <c r="G94" s="194">
        <v>0.27786527580618214</v>
      </c>
      <c r="H94" s="195">
        <v>3.5826746234255498</v>
      </c>
      <c r="I94" s="203"/>
    </row>
    <row r="95" spans="2:10" x14ac:dyDescent="0.25">
      <c r="C95" s="93">
        <v>50</v>
      </c>
      <c r="D95" s="221">
        <f t="shared" si="14"/>
        <v>2100</v>
      </c>
      <c r="E95" s="193">
        <v>1252597.1923613916</v>
      </c>
      <c r="F95" s="194">
        <v>0.59359379225090692</v>
      </c>
      <c r="G95" s="194">
        <v>0.27786527580618214</v>
      </c>
      <c r="H95" s="195">
        <v>3.5826746234255498</v>
      </c>
      <c r="I95" s="196"/>
    </row>
    <row r="96" spans="2:10" x14ac:dyDescent="0.25">
      <c r="C96" s="93">
        <v>50</v>
      </c>
      <c r="D96" s="221">
        <f t="shared" si="14"/>
        <v>2150</v>
      </c>
      <c r="E96" s="193">
        <v>1252597.1923613916</v>
      </c>
      <c r="F96" s="194">
        <v>0.59359379225090692</v>
      </c>
      <c r="G96" s="194">
        <v>0.27786527580618214</v>
      </c>
      <c r="H96" s="195">
        <v>3.5826746234255498</v>
      </c>
      <c r="I96" s="196"/>
    </row>
    <row r="97" spans="1:9" x14ac:dyDescent="0.25">
      <c r="C97" s="93">
        <v>50</v>
      </c>
      <c r="D97" s="221">
        <f t="shared" si="14"/>
        <v>2200</v>
      </c>
      <c r="E97" s="222">
        <v>1252597.1923613916</v>
      </c>
      <c r="F97" s="223">
        <v>0.59359379225090692</v>
      </c>
      <c r="G97" s="223">
        <v>0.27786527580618214</v>
      </c>
      <c r="H97" s="224">
        <v>3.5826746234255498</v>
      </c>
      <c r="I97" s="225"/>
    </row>
    <row r="98" spans="1:9" x14ac:dyDescent="0.25">
      <c r="C98" s="93">
        <v>50</v>
      </c>
      <c r="D98" s="221">
        <f t="shared" si="14"/>
        <v>2250</v>
      </c>
      <c r="E98" s="193">
        <v>1252597.1923613916</v>
      </c>
      <c r="F98" s="194">
        <v>0.59359379225090692</v>
      </c>
      <c r="G98" s="194">
        <v>0.27786527580618214</v>
      </c>
      <c r="H98" s="195">
        <v>3.5826746234255498</v>
      </c>
      <c r="I98" s="196"/>
    </row>
    <row r="99" spans="1:9" x14ac:dyDescent="0.25">
      <c r="C99" s="93">
        <v>50</v>
      </c>
      <c r="D99" s="221">
        <f t="shared" si="14"/>
        <v>2300</v>
      </c>
      <c r="E99" s="193">
        <v>1252597.1923613916</v>
      </c>
      <c r="F99" s="194">
        <v>0.59359379225090692</v>
      </c>
      <c r="G99" s="194">
        <v>0.27786527580618214</v>
      </c>
      <c r="H99" s="195">
        <v>3.5826746234255498</v>
      </c>
      <c r="I99" s="203"/>
    </row>
    <row r="100" spans="1:9" x14ac:dyDescent="0.25">
      <c r="C100" s="93">
        <v>50</v>
      </c>
      <c r="D100" s="221">
        <f t="shared" si="14"/>
        <v>2350</v>
      </c>
      <c r="E100" s="193">
        <v>1252597.1923613916</v>
      </c>
      <c r="F100" s="194">
        <v>0.59359379225090692</v>
      </c>
      <c r="G100" s="194">
        <v>0.27786527580618214</v>
      </c>
      <c r="H100" s="195">
        <v>3.5826746234255498</v>
      </c>
      <c r="I100" s="203"/>
    </row>
    <row r="101" spans="1:9" x14ac:dyDescent="0.25">
      <c r="C101" s="93">
        <v>50</v>
      </c>
      <c r="D101" s="221">
        <f t="shared" si="14"/>
        <v>2400</v>
      </c>
      <c r="E101" s="193">
        <v>1252597.1923613916</v>
      </c>
      <c r="F101" s="194">
        <v>0.59359379225090692</v>
      </c>
      <c r="G101" s="194">
        <v>0.27786527580618214</v>
      </c>
      <c r="H101" s="195">
        <v>3.5826746234255498</v>
      </c>
      <c r="I101" s="196"/>
    </row>
    <row r="102" spans="1:9" ht="15.75" thickBot="1" x14ac:dyDescent="0.3">
      <c r="C102" s="93">
        <v>50</v>
      </c>
      <c r="D102" s="226">
        <f t="shared" si="14"/>
        <v>2450</v>
      </c>
      <c r="E102" s="207">
        <v>1252597.1923613916</v>
      </c>
      <c r="F102" s="208">
        <v>0.59359379225090692</v>
      </c>
      <c r="G102" s="208">
        <v>0.27786527580618214</v>
      </c>
      <c r="H102" s="209">
        <v>3.5826746234255498</v>
      </c>
      <c r="I102" s="227"/>
    </row>
    <row r="104" spans="1:9" x14ac:dyDescent="0.25">
      <c r="B104" s="228" t="s">
        <v>223</v>
      </c>
      <c r="C104" s="229"/>
      <c r="D104" s="230">
        <f>C27</f>
        <v>285000</v>
      </c>
    </row>
    <row r="105" spans="1:9" ht="15.75" thickBot="1" x14ac:dyDescent="0.3">
      <c r="A105" s="47"/>
      <c r="B105" s="231"/>
      <c r="C105" s="47"/>
      <c r="D105" s="232"/>
      <c r="E105" s="47"/>
    </row>
    <row r="106" spans="1:9" x14ac:dyDescent="0.25">
      <c r="C106" s="189" t="s">
        <v>224</v>
      </c>
      <c r="D106" s="190" t="s">
        <v>225</v>
      </c>
      <c r="E106" s="190" t="s">
        <v>226</v>
      </c>
      <c r="F106" s="190" t="s">
        <v>63</v>
      </c>
      <c r="G106" s="190" t="s">
        <v>62</v>
      </c>
      <c r="H106" s="190" t="s">
        <v>218</v>
      </c>
      <c r="I106" s="191" t="s">
        <v>219</v>
      </c>
    </row>
    <row r="107" spans="1:9" x14ac:dyDescent="0.25">
      <c r="C107" s="220"/>
      <c r="D107" s="233"/>
      <c r="E107" s="18"/>
      <c r="F107" s="193">
        <f>C37</f>
        <v>1252597.1923613916</v>
      </c>
      <c r="G107" s="194">
        <f>C36</f>
        <v>0.59359379225090692</v>
      </c>
      <c r="H107" s="194">
        <f>C38</f>
        <v>0.27786527580618214</v>
      </c>
      <c r="I107" s="195">
        <f>C39</f>
        <v>3.5826746234255498</v>
      </c>
    </row>
    <row r="108" spans="1:9" x14ac:dyDescent="0.25">
      <c r="C108" s="221">
        <f>'[3]Inv Dep Y Dif'!$B$2</f>
        <v>485000</v>
      </c>
      <c r="D108" s="193">
        <v>0</v>
      </c>
      <c r="E108" s="193">
        <f>C108-D108</f>
        <v>485000</v>
      </c>
      <c r="F108" s="234">
        <v>1252597.1923613916</v>
      </c>
      <c r="G108" s="194">
        <v>0.59359379225090692</v>
      </c>
      <c r="H108" s="194">
        <v>0.27786527580618214</v>
      </c>
      <c r="I108" s="235">
        <v>3.5826746234255498</v>
      </c>
    </row>
    <row r="109" spans="1:9" x14ac:dyDescent="0.25">
      <c r="C109" s="221">
        <f>'[3]Inv Dep Y Dif'!$B$2</f>
        <v>485000</v>
      </c>
      <c r="D109" s="193">
        <v>30000</v>
      </c>
      <c r="E109" s="193">
        <f t="shared" ref="E109:E117" si="15">C109-D109</f>
        <v>455000</v>
      </c>
      <c r="F109" s="234">
        <v>1252597.1923613916</v>
      </c>
      <c r="G109" s="194">
        <v>0.59359379225090692</v>
      </c>
      <c r="H109" s="194">
        <v>0.27786527580618214</v>
      </c>
      <c r="I109" s="235">
        <v>3.5826746234255498</v>
      </c>
    </row>
    <row r="110" spans="1:9" x14ac:dyDescent="0.25">
      <c r="C110" s="221">
        <f>'[3]Inv Dep Y Dif'!$B$2</f>
        <v>485000</v>
      </c>
      <c r="D110" s="193">
        <v>60000</v>
      </c>
      <c r="E110" s="193">
        <f t="shared" si="15"/>
        <v>425000</v>
      </c>
      <c r="F110" s="234">
        <v>1252597.1923613916</v>
      </c>
      <c r="G110" s="194">
        <v>0.59359379225090692</v>
      </c>
      <c r="H110" s="194">
        <v>0.27786527580618214</v>
      </c>
      <c r="I110" s="235">
        <v>3.5826746234255498</v>
      </c>
    </row>
    <row r="111" spans="1:9" x14ac:dyDescent="0.25">
      <c r="C111" s="221">
        <f>'[3]Inv Dep Y Dif'!$B$2</f>
        <v>485000</v>
      </c>
      <c r="D111" s="193">
        <v>90000</v>
      </c>
      <c r="E111" s="193">
        <f t="shared" si="15"/>
        <v>395000</v>
      </c>
      <c r="F111" s="234">
        <v>1252597.1923613916</v>
      </c>
      <c r="G111" s="194">
        <v>0.59359379225090692</v>
      </c>
      <c r="H111" s="194">
        <v>0.27786527580618214</v>
      </c>
      <c r="I111" s="235">
        <v>3.5826746234255498</v>
      </c>
    </row>
    <row r="112" spans="1:9" x14ac:dyDescent="0.25">
      <c r="C112" s="221">
        <f>'[3]Inv Dep Y Dif'!$B$2</f>
        <v>485000</v>
      </c>
      <c r="D112" s="193">
        <v>120000</v>
      </c>
      <c r="E112" s="193">
        <f t="shared" si="15"/>
        <v>365000</v>
      </c>
      <c r="F112" s="234">
        <v>1252597.1923613916</v>
      </c>
      <c r="G112" s="194">
        <v>0.59359379225090692</v>
      </c>
      <c r="H112" s="194">
        <v>0.27786527580618214</v>
      </c>
      <c r="I112" s="235">
        <v>3.5826746234255498</v>
      </c>
    </row>
    <row r="113" spans="3:9" x14ac:dyDescent="0.25">
      <c r="C113" s="221">
        <f>'[3]Inv Dep Y Dif'!$B$2</f>
        <v>485000</v>
      </c>
      <c r="D113" s="193">
        <v>150000</v>
      </c>
      <c r="E113" s="193">
        <f t="shared" si="15"/>
        <v>335000</v>
      </c>
      <c r="F113" s="234">
        <v>1252597.1923613916</v>
      </c>
      <c r="G113" s="194">
        <v>0.59359379225090692</v>
      </c>
      <c r="H113" s="194">
        <v>0.27786527580618214</v>
      </c>
      <c r="I113" s="235">
        <v>3.5826746234255498</v>
      </c>
    </row>
    <row r="114" spans="3:9" x14ac:dyDescent="0.25">
      <c r="C114" s="221">
        <f>'[3]Inv Dep Y Dif'!$B$2</f>
        <v>485000</v>
      </c>
      <c r="D114" s="193">
        <v>180000</v>
      </c>
      <c r="E114" s="193">
        <f t="shared" si="15"/>
        <v>305000</v>
      </c>
      <c r="F114" s="234">
        <v>1252597.1923613916</v>
      </c>
      <c r="G114" s="194">
        <v>0.59359379225090692</v>
      </c>
      <c r="H114" s="194">
        <v>0.27786527580618214</v>
      </c>
      <c r="I114" s="235">
        <v>3.5826746234255498</v>
      </c>
    </row>
    <row r="115" spans="3:9" x14ac:dyDescent="0.25">
      <c r="C115" s="221">
        <f>'[3]Inv Dep Y Dif'!$B$2</f>
        <v>485000</v>
      </c>
      <c r="D115" s="193">
        <v>210000</v>
      </c>
      <c r="E115" s="193">
        <f t="shared" si="15"/>
        <v>275000</v>
      </c>
      <c r="F115" s="234">
        <v>1252597.1923613916</v>
      </c>
      <c r="G115" s="194">
        <v>0.59359379225090692</v>
      </c>
      <c r="H115" s="194">
        <v>0.27786527580618214</v>
      </c>
      <c r="I115" s="235">
        <v>3.5826746234255498</v>
      </c>
    </row>
    <row r="116" spans="3:9" x14ac:dyDescent="0.25">
      <c r="C116" s="221">
        <f>'[3]Inv Dep Y Dif'!$B$2</f>
        <v>485000</v>
      </c>
      <c r="D116" s="193">
        <v>240000</v>
      </c>
      <c r="E116" s="193">
        <f t="shared" si="15"/>
        <v>245000</v>
      </c>
      <c r="F116" s="234">
        <v>1252597.1923613916</v>
      </c>
      <c r="G116" s="194">
        <v>0.59359379225090692</v>
      </c>
      <c r="H116" s="194">
        <v>0.27786527580618214</v>
      </c>
      <c r="I116" s="235">
        <v>3.5826746234255498</v>
      </c>
    </row>
    <row r="117" spans="3:9" x14ac:dyDescent="0.25">
      <c r="C117" s="221">
        <f>'[3]Inv Dep Y Dif'!$B$2</f>
        <v>485000</v>
      </c>
      <c r="D117" s="193">
        <v>270000</v>
      </c>
      <c r="E117" s="193">
        <f t="shared" si="15"/>
        <v>215000</v>
      </c>
      <c r="F117" s="234">
        <v>1252597.1923613916</v>
      </c>
      <c r="G117" s="194">
        <v>0.59359379225090692</v>
      </c>
      <c r="H117" s="194">
        <v>0.27786527580618214</v>
      </c>
      <c r="I117" s="235">
        <v>3.5826746234255498</v>
      </c>
    </row>
    <row r="118" spans="3:9" ht="15.75" thickBot="1" x14ac:dyDescent="0.3">
      <c r="C118" s="226">
        <f>'[3]Inv Dep Y Dif'!$B$2</f>
        <v>485000</v>
      </c>
      <c r="D118" s="207">
        <v>300000</v>
      </c>
      <c r="E118" s="207">
        <f>C118-D118</f>
        <v>185000</v>
      </c>
      <c r="F118" s="236">
        <v>1252597.1923613916</v>
      </c>
      <c r="G118" s="208">
        <v>0.59359379225090692</v>
      </c>
      <c r="H118" s="208">
        <v>0.27786527580618214</v>
      </c>
      <c r="I118" s="237">
        <v>3.5826746234255498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tabColor rgb="FFFF0000"/>
  </sheetPr>
  <dimension ref="A1:N35"/>
  <sheetViews>
    <sheetView topLeftCell="A12" zoomScale="85" zoomScaleNormal="85" workbookViewId="0">
      <selection activeCell="B1" sqref="B1"/>
    </sheetView>
  </sheetViews>
  <sheetFormatPr baseColWidth="10" defaultColWidth="0" defaultRowHeight="15" zeroHeight="1" x14ac:dyDescent="0.2"/>
  <cols>
    <col min="1" max="1" width="2.7109375" style="246" customWidth="1"/>
    <col min="2" max="2" width="41" style="246" customWidth="1"/>
    <col min="3" max="3" width="20.28515625" style="276" customWidth="1"/>
    <col min="4" max="4" width="23" style="276" customWidth="1"/>
    <col min="5" max="5" width="23.42578125" style="276" customWidth="1"/>
    <col min="6" max="9" width="18.7109375" style="276" customWidth="1"/>
    <col min="10" max="10" width="5.140625" style="246" customWidth="1"/>
    <col min="11" max="11" width="12.42578125" style="246" customWidth="1"/>
    <col min="12" max="12" width="11.42578125" style="246" customWidth="1"/>
    <col min="13" max="13" width="2.7109375" style="246" customWidth="1"/>
    <col min="14" max="14" width="1.7109375" style="246" customWidth="1"/>
    <col min="15" max="258" width="0" style="246" hidden="1"/>
    <col min="259" max="259" width="2.7109375" style="246" customWidth="1"/>
    <col min="260" max="260" width="41" style="246" customWidth="1"/>
    <col min="261" max="261" width="20.28515625" style="246" customWidth="1"/>
    <col min="262" max="262" width="23" style="246" customWidth="1"/>
    <col min="263" max="263" width="23.42578125" style="246" customWidth="1"/>
    <col min="264" max="265" width="18.7109375" style="246" customWidth="1"/>
    <col min="266" max="266" width="5.140625" style="246" customWidth="1"/>
    <col min="267" max="267" width="12.42578125" style="246" customWidth="1"/>
    <col min="268" max="268" width="11.42578125" style="246" customWidth="1"/>
    <col min="269" max="269" width="2.7109375" style="246" customWidth="1"/>
    <col min="270" max="270" width="1.7109375" style="246" customWidth="1"/>
    <col min="271" max="514" width="0" style="246" hidden="1"/>
    <col min="515" max="515" width="2.7109375" style="246" customWidth="1"/>
    <col min="516" max="516" width="41" style="246" customWidth="1"/>
    <col min="517" max="517" width="20.28515625" style="246" customWidth="1"/>
    <col min="518" max="518" width="23" style="246" customWidth="1"/>
    <col min="519" max="519" width="23.42578125" style="246" customWidth="1"/>
    <col min="520" max="521" width="18.7109375" style="246" customWidth="1"/>
    <col min="522" max="522" width="5.140625" style="246" customWidth="1"/>
    <col min="523" max="523" width="12.42578125" style="246" customWidth="1"/>
    <col min="524" max="524" width="11.42578125" style="246" customWidth="1"/>
    <col min="525" max="525" width="2.7109375" style="246" customWidth="1"/>
    <col min="526" max="526" width="1.7109375" style="246" customWidth="1"/>
    <col min="527" max="770" width="0" style="246" hidden="1"/>
    <col min="771" max="771" width="2.7109375" style="246" customWidth="1"/>
    <col min="772" max="772" width="41" style="246" customWidth="1"/>
    <col min="773" max="773" width="20.28515625" style="246" customWidth="1"/>
    <col min="774" max="774" width="23" style="246" customWidth="1"/>
    <col min="775" max="775" width="23.42578125" style="246" customWidth="1"/>
    <col min="776" max="777" width="18.7109375" style="246" customWidth="1"/>
    <col min="778" max="778" width="5.140625" style="246" customWidth="1"/>
    <col min="779" max="779" width="12.42578125" style="246" customWidth="1"/>
    <col min="780" max="780" width="11.42578125" style="246" customWidth="1"/>
    <col min="781" max="781" width="2.7109375" style="246" customWidth="1"/>
    <col min="782" max="782" width="1.7109375" style="246" customWidth="1"/>
    <col min="783" max="1026" width="0" style="246" hidden="1"/>
    <col min="1027" max="1027" width="2.7109375" style="246" customWidth="1"/>
    <col min="1028" max="1028" width="41" style="246" customWidth="1"/>
    <col min="1029" max="1029" width="20.28515625" style="246" customWidth="1"/>
    <col min="1030" max="1030" width="23" style="246" customWidth="1"/>
    <col min="1031" max="1031" width="23.42578125" style="246" customWidth="1"/>
    <col min="1032" max="1033" width="18.7109375" style="246" customWidth="1"/>
    <col min="1034" max="1034" width="5.140625" style="246" customWidth="1"/>
    <col min="1035" max="1035" width="12.42578125" style="246" customWidth="1"/>
    <col min="1036" max="1036" width="11.42578125" style="246" customWidth="1"/>
    <col min="1037" max="1037" width="2.7109375" style="246" customWidth="1"/>
    <col min="1038" max="1038" width="1.7109375" style="246" customWidth="1"/>
    <col min="1039" max="1282" width="0" style="246" hidden="1"/>
    <col min="1283" max="1283" width="2.7109375" style="246" customWidth="1"/>
    <col min="1284" max="1284" width="41" style="246" customWidth="1"/>
    <col min="1285" max="1285" width="20.28515625" style="246" customWidth="1"/>
    <col min="1286" max="1286" width="23" style="246" customWidth="1"/>
    <col min="1287" max="1287" width="23.42578125" style="246" customWidth="1"/>
    <col min="1288" max="1289" width="18.7109375" style="246" customWidth="1"/>
    <col min="1290" max="1290" width="5.140625" style="246" customWidth="1"/>
    <col min="1291" max="1291" width="12.42578125" style="246" customWidth="1"/>
    <col min="1292" max="1292" width="11.42578125" style="246" customWidth="1"/>
    <col min="1293" max="1293" width="2.7109375" style="246" customWidth="1"/>
    <col min="1294" max="1294" width="1.7109375" style="246" customWidth="1"/>
    <col min="1295" max="1538" width="0" style="246" hidden="1"/>
    <col min="1539" max="1539" width="2.7109375" style="246" customWidth="1"/>
    <col min="1540" max="1540" width="41" style="246" customWidth="1"/>
    <col min="1541" max="1541" width="20.28515625" style="246" customWidth="1"/>
    <col min="1542" max="1542" width="23" style="246" customWidth="1"/>
    <col min="1543" max="1543" width="23.42578125" style="246" customWidth="1"/>
    <col min="1544" max="1545" width="18.7109375" style="246" customWidth="1"/>
    <col min="1546" max="1546" width="5.140625" style="246" customWidth="1"/>
    <col min="1547" max="1547" width="12.42578125" style="246" customWidth="1"/>
    <col min="1548" max="1548" width="11.42578125" style="246" customWidth="1"/>
    <col min="1549" max="1549" width="2.7109375" style="246" customWidth="1"/>
    <col min="1550" max="1550" width="1.7109375" style="246" customWidth="1"/>
    <col min="1551" max="1794" width="0" style="246" hidden="1"/>
    <col min="1795" max="1795" width="2.7109375" style="246" customWidth="1"/>
    <col min="1796" max="1796" width="41" style="246" customWidth="1"/>
    <col min="1797" max="1797" width="20.28515625" style="246" customWidth="1"/>
    <col min="1798" max="1798" width="23" style="246" customWidth="1"/>
    <col min="1799" max="1799" width="23.42578125" style="246" customWidth="1"/>
    <col min="1800" max="1801" width="18.7109375" style="246" customWidth="1"/>
    <col min="1802" max="1802" width="5.140625" style="246" customWidth="1"/>
    <col min="1803" max="1803" width="12.42578125" style="246" customWidth="1"/>
    <col min="1804" max="1804" width="11.42578125" style="246" customWidth="1"/>
    <col min="1805" max="1805" width="2.7109375" style="246" customWidth="1"/>
    <col min="1806" max="1806" width="1.7109375" style="246" customWidth="1"/>
    <col min="1807" max="2050" width="0" style="246" hidden="1"/>
    <col min="2051" max="2051" width="2.7109375" style="246" customWidth="1"/>
    <col min="2052" max="2052" width="41" style="246" customWidth="1"/>
    <col min="2053" max="2053" width="20.28515625" style="246" customWidth="1"/>
    <col min="2054" max="2054" width="23" style="246" customWidth="1"/>
    <col min="2055" max="2055" width="23.42578125" style="246" customWidth="1"/>
    <col min="2056" max="2057" width="18.7109375" style="246" customWidth="1"/>
    <col min="2058" max="2058" width="5.140625" style="246" customWidth="1"/>
    <col min="2059" max="2059" width="12.42578125" style="246" customWidth="1"/>
    <col min="2060" max="2060" width="11.42578125" style="246" customWidth="1"/>
    <col min="2061" max="2061" width="2.7109375" style="246" customWidth="1"/>
    <col min="2062" max="2062" width="1.7109375" style="246" customWidth="1"/>
    <col min="2063" max="2306" width="0" style="246" hidden="1"/>
    <col min="2307" max="2307" width="2.7109375" style="246" customWidth="1"/>
    <col min="2308" max="2308" width="41" style="246" customWidth="1"/>
    <col min="2309" max="2309" width="20.28515625" style="246" customWidth="1"/>
    <col min="2310" max="2310" width="23" style="246" customWidth="1"/>
    <col min="2311" max="2311" width="23.42578125" style="246" customWidth="1"/>
    <col min="2312" max="2313" width="18.7109375" style="246" customWidth="1"/>
    <col min="2314" max="2314" width="5.140625" style="246" customWidth="1"/>
    <col min="2315" max="2315" width="12.42578125" style="246" customWidth="1"/>
    <col min="2316" max="2316" width="11.42578125" style="246" customWidth="1"/>
    <col min="2317" max="2317" width="2.7109375" style="246" customWidth="1"/>
    <col min="2318" max="2318" width="1.7109375" style="246" customWidth="1"/>
    <col min="2319" max="2562" width="0" style="246" hidden="1"/>
    <col min="2563" max="2563" width="2.7109375" style="246" customWidth="1"/>
    <col min="2564" max="2564" width="41" style="246" customWidth="1"/>
    <col min="2565" max="2565" width="20.28515625" style="246" customWidth="1"/>
    <col min="2566" max="2566" width="23" style="246" customWidth="1"/>
    <col min="2567" max="2567" width="23.42578125" style="246" customWidth="1"/>
    <col min="2568" max="2569" width="18.7109375" style="246" customWidth="1"/>
    <col min="2570" max="2570" width="5.140625" style="246" customWidth="1"/>
    <col min="2571" max="2571" width="12.42578125" style="246" customWidth="1"/>
    <col min="2572" max="2572" width="11.42578125" style="246" customWidth="1"/>
    <col min="2573" max="2573" width="2.7109375" style="246" customWidth="1"/>
    <col min="2574" max="2574" width="1.7109375" style="246" customWidth="1"/>
    <col min="2575" max="2818" width="0" style="246" hidden="1"/>
    <col min="2819" max="2819" width="2.7109375" style="246" customWidth="1"/>
    <col min="2820" max="2820" width="41" style="246" customWidth="1"/>
    <col min="2821" max="2821" width="20.28515625" style="246" customWidth="1"/>
    <col min="2822" max="2822" width="23" style="246" customWidth="1"/>
    <col min="2823" max="2823" width="23.42578125" style="246" customWidth="1"/>
    <col min="2824" max="2825" width="18.7109375" style="246" customWidth="1"/>
    <col min="2826" max="2826" width="5.140625" style="246" customWidth="1"/>
    <col min="2827" max="2827" width="12.42578125" style="246" customWidth="1"/>
    <col min="2828" max="2828" width="11.42578125" style="246" customWidth="1"/>
    <col min="2829" max="2829" width="2.7109375" style="246" customWidth="1"/>
    <col min="2830" max="2830" width="1.7109375" style="246" customWidth="1"/>
    <col min="2831" max="3074" width="0" style="246" hidden="1"/>
    <col min="3075" max="3075" width="2.7109375" style="246" customWidth="1"/>
    <col min="3076" max="3076" width="41" style="246" customWidth="1"/>
    <col min="3077" max="3077" width="20.28515625" style="246" customWidth="1"/>
    <col min="3078" max="3078" width="23" style="246" customWidth="1"/>
    <col min="3079" max="3079" width="23.42578125" style="246" customWidth="1"/>
    <col min="3080" max="3081" width="18.7109375" style="246" customWidth="1"/>
    <col min="3082" max="3082" width="5.140625" style="246" customWidth="1"/>
    <col min="3083" max="3083" width="12.42578125" style="246" customWidth="1"/>
    <col min="3084" max="3084" width="11.42578125" style="246" customWidth="1"/>
    <col min="3085" max="3085" width="2.7109375" style="246" customWidth="1"/>
    <col min="3086" max="3086" width="1.7109375" style="246" customWidth="1"/>
    <col min="3087" max="3330" width="0" style="246" hidden="1"/>
    <col min="3331" max="3331" width="2.7109375" style="246" customWidth="1"/>
    <col min="3332" max="3332" width="41" style="246" customWidth="1"/>
    <col min="3333" max="3333" width="20.28515625" style="246" customWidth="1"/>
    <col min="3334" max="3334" width="23" style="246" customWidth="1"/>
    <col min="3335" max="3335" width="23.42578125" style="246" customWidth="1"/>
    <col min="3336" max="3337" width="18.7109375" style="246" customWidth="1"/>
    <col min="3338" max="3338" width="5.140625" style="246" customWidth="1"/>
    <col min="3339" max="3339" width="12.42578125" style="246" customWidth="1"/>
    <col min="3340" max="3340" width="11.42578125" style="246" customWidth="1"/>
    <col min="3341" max="3341" width="2.7109375" style="246" customWidth="1"/>
    <col min="3342" max="3342" width="1.7109375" style="246" customWidth="1"/>
    <col min="3343" max="3586" width="0" style="246" hidden="1"/>
    <col min="3587" max="3587" width="2.7109375" style="246" customWidth="1"/>
    <col min="3588" max="3588" width="41" style="246" customWidth="1"/>
    <col min="3589" max="3589" width="20.28515625" style="246" customWidth="1"/>
    <col min="3590" max="3590" width="23" style="246" customWidth="1"/>
    <col min="3591" max="3591" width="23.42578125" style="246" customWidth="1"/>
    <col min="3592" max="3593" width="18.7109375" style="246" customWidth="1"/>
    <col min="3594" max="3594" width="5.140625" style="246" customWidth="1"/>
    <col min="3595" max="3595" width="12.42578125" style="246" customWidth="1"/>
    <col min="3596" max="3596" width="11.42578125" style="246" customWidth="1"/>
    <col min="3597" max="3597" width="2.7109375" style="246" customWidth="1"/>
    <col min="3598" max="3598" width="1.7109375" style="246" customWidth="1"/>
    <col min="3599" max="3842" width="0" style="246" hidden="1"/>
    <col min="3843" max="3843" width="2.7109375" style="246" customWidth="1"/>
    <col min="3844" max="3844" width="41" style="246" customWidth="1"/>
    <col min="3845" max="3845" width="20.28515625" style="246" customWidth="1"/>
    <col min="3846" max="3846" width="23" style="246" customWidth="1"/>
    <col min="3847" max="3847" width="23.42578125" style="246" customWidth="1"/>
    <col min="3848" max="3849" width="18.7109375" style="246" customWidth="1"/>
    <col min="3850" max="3850" width="5.140625" style="246" customWidth="1"/>
    <col min="3851" max="3851" width="12.42578125" style="246" customWidth="1"/>
    <col min="3852" max="3852" width="11.42578125" style="246" customWidth="1"/>
    <col min="3853" max="3853" width="2.7109375" style="246" customWidth="1"/>
    <col min="3854" max="3854" width="1.7109375" style="246" customWidth="1"/>
    <col min="3855" max="4098" width="0" style="246" hidden="1"/>
    <col min="4099" max="4099" width="2.7109375" style="246" customWidth="1"/>
    <col min="4100" max="4100" width="41" style="246" customWidth="1"/>
    <col min="4101" max="4101" width="20.28515625" style="246" customWidth="1"/>
    <col min="4102" max="4102" width="23" style="246" customWidth="1"/>
    <col min="4103" max="4103" width="23.42578125" style="246" customWidth="1"/>
    <col min="4104" max="4105" width="18.7109375" style="246" customWidth="1"/>
    <col min="4106" max="4106" width="5.140625" style="246" customWidth="1"/>
    <col min="4107" max="4107" width="12.42578125" style="246" customWidth="1"/>
    <col min="4108" max="4108" width="11.42578125" style="246" customWidth="1"/>
    <col min="4109" max="4109" width="2.7109375" style="246" customWidth="1"/>
    <col min="4110" max="4110" width="1.7109375" style="246" customWidth="1"/>
    <col min="4111" max="4354" width="0" style="246" hidden="1"/>
    <col min="4355" max="4355" width="2.7109375" style="246" customWidth="1"/>
    <col min="4356" max="4356" width="41" style="246" customWidth="1"/>
    <col min="4357" max="4357" width="20.28515625" style="246" customWidth="1"/>
    <col min="4358" max="4358" width="23" style="246" customWidth="1"/>
    <col min="4359" max="4359" width="23.42578125" style="246" customWidth="1"/>
    <col min="4360" max="4361" width="18.7109375" style="246" customWidth="1"/>
    <col min="4362" max="4362" width="5.140625" style="246" customWidth="1"/>
    <col min="4363" max="4363" width="12.42578125" style="246" customWidth="1"/>
    <col min="4364" max="4364" width="11.42578125" style="246" customWidth="1"/>
    <col min="4365" max="4365" width="2.7109375" style="246" customWidth="1"/>
    <col min="4366" max="4366" width="1.7109375" style="246" customWidth="1"/>
    <col min="4367" max="4610" width="0" style="246" hidden="1"/>
    <col min="4611" max="4611" width="2.7109375" style="246" customWidth="1"/>
    <col min="4612" max="4612" width="41" style="246" customWidth="1"/>
    <col min="4613" max="4613" width="20.28515625" style="246" customWidth="1"/>
    <col min="4614" max="4614" width="23" style="246" customWidth="1"/>
    <col min="4615" max="4615" width="23.42578125" style="246" customWidth="1"/>
    <col min="4616" max="4617" width="18.7109375" style="246" customWidth="1"/>
    <col min="4618" max="4618" width="5.140625" style="246" customWidth="1"/>
    <col min="4619" max="4619" width="12.42578125" style="246" customWidth="1"/>
    <col min="4620" max="4620" width="11.42578125" style="246" customWidth="1"/>
    <col min="4621" max="4621" width="2.7109375" style="246" customWidth="1"/>
    <col min="4622" max="4622" width="1.7109375" style="246" customWidth="1"/>
    <col min="4623" max="4866" width="0" style="246" hidden="1"/>
    <col min="4867" max="4867" width="2.7109375" style="246" customWidth="1"/>
    <col min="4868" max="4868" width="41" style="246" customWidth="1"/>
    <col min="4869" max="4869" width="20.28515625" style="246" customWidth="1"/>
    <col min="4870" max="4870" width="23" style="246" customWidth="1"/>
    <col min="4871" max="4871" width="23.42578125" style="246" customWidth="1"/>
    <col min="4872" max="4873" width="18.7109375" style="246" customWidth="1"/>
    <col min="4874" max="4874" width="5.140625" style="246" customWidth="1"/>
    <col min="4875" max="4875" width="12.42578125" style="246" customWidth="1"/>
    <col min="4876" max="4876" width="11.42578125" style="246" customWidth="1"/>
    <col min="4877" max="4877" width="2.7109375" style="246" customWidth="1"/>
    <col min="4878" max="4878" width="1.7109375" style="246" customWidth="1"/>
    <col min="4879" max="5122" width="0" style="246" hidden="1"/>
    <col min="5123" max="5123" width="2.7109375" style="246" customWidth="1"/>
    <col min="5124" max="5124" width="41" style="246" customWidth="1"/>
    <col min="5125" max="5125" width="20.28515625" style="246" customWidth="1"/>
    <col min="5126" max="5126" width="23" style="246" customWidth="1"/>
    <col min="5127" max="5127" width="23.42578125" style="246" customWidth="1"/>
    <col min="5128" max="5129" width="18.7109375" style="246" customWidth="1"/>
    <col min="5130" max="5130" width="5.140625" style="246" customWidth="1"/>
    <col min="5131" max="5131" width="12.42578125" style="246" customWidth="1"/>
    <col min="5132" max="5132" width="11.42578125" style="246" customWidth="1"/>
    <col min="5133" max="5133" width="2.7109375" style="246" customWidth="1"/>
    <col min="5134" max="5134" width="1.7109375" style="246" customWidth="1"/>
    <col min="5135" max="5378" width="0" style="246" hidden="1"/>
    <col min="5379" max="5379" width="2.7109375" style="246" customWidth="1"/>
    <col min="5380" max="5380" width="41" style="246" customWidth="1"/>
    <col min="5381" max="5381" width="20.28515625" style="246" customWidth="1"/>
    <col min="5382" max="5382" width="23" style="246" customWidth="1"/>
    <col min="5383" max="5383" width="23.42578125" style="246" customWidth="1"/>
    <col min="5384" max="5385" width="18.7109375" style="246" customWidth="1"/>
    <col min="5386" max="5386" width="5.140625" style="246" customWidth="1"/>
    <col min="5387" max="5387" width="12.42578125" style="246" customWidth="1"/>
    <col min="5388" max="5388" width="11.42578125" style="246" customWidth="1"/>
    <col min="5389" max="5389" width="2.7109375" style="246" customWidth="1"/>
    <col min="5390" max="5390" width="1.7109375" style="246" customWidth="1"/>
    <col min="5391" max="5634" width="0" style="246" hidden="1"/>
    <col min="5635" max="5635" width="2.7109375" style="246" customWidth="1"/>
    <col min="5636" max="5636" width="41" style="246" customWidth="1"/>
    <col min="5637" max="5637" width="20.28515625" style="246" customWidth="1"/>
    <col min="5638" max="5638" width="23" style="246" customWidth="1"/>
    <col min="5639" max="5639" width="23.42578125" style="246" customWidth="1"/>
    <col min="5640" max="5641" width="18.7109375" style="246" customWidth="1"/>
    <col min="5642" max="5642" width="5.140625" style="246" customWidth="1"/>
    <col min="5643" max="5643" width="12.42578125" style="246" customWidth="1"/>
    <col min="5644" max="5644" width="11.42578125" style="246" customWidth="1"/>
    <col min="5645" max="5645" width="2.7109375" style="246" customWidth="1"/>
    <col min="5646" max="5646" width="1.7109375" style="246" customWidth="1"/>
    <col min="5647" max="5890" width="0" style="246" hidden="1"/>
    <col min="5891" max="5891" width="2.7109375" style="246" customWidth="1"/>
    <col min="5892" max="5892" width="41" style="246" customWidth="1"/>
    <col min="5893" max="5893" width="20.28515625" style="246" customWidth="1"/>
    <col min="5894" max="5894" width="23" style="246" customWidth="1"/>
    <col min="5895" max="5895" width="23.42578125" style="246" customWidth="1"/>
    <col min="5896" max="5897" width="18.7109375" style="246" customWidth="1"/>
    <col min="5898" max="5898" width="5.140625" style="246" customWidth="1"/>
    <col min="5899" max="5899" width="12.42578125" style="246" customWidth="1"/>
    <col min="5900" max="5900" width="11.42578125" style="246" customWidth="1"/>
    <col min="5901" max="5901" width="2.7109375" style="246" customWidth="1"/>
    <col min="5902" max="5902" width="1.7109375" style="246" customWidth="1"/>
    <col min="5903" max="6146" width="0" style="246" hidden="1"/>
    <col min="6147" max="6147" width="2.7109375" style="246" customWidth="1"/>
    <col min="6148" max="6148" width="41" style="246" customWidth="1"/>
    <col min="6149" max="6149" width="20.28515625" style="246" customWidth="1"/>
    <col min="6150" max="6150" width="23" style="246" customWidth="1"/>
    <col min="6151" max="6151" width="23.42578125" style="246" customWidth="1"/>
    <col min="6152" max="6153" width="18.7109375" style="246" customWidth="1"/>
    <col min="6154" max="6154" width="5.140625" style="246" customWidth="1"/>
    <col min="6155" max="6155" width="12.42578125" style="246" customWidth="1"/>
    <col min="6156" max="6156" width="11.42578125" style="246" customWidth="1"/>
    <col min="6157" max="6157" width="2.7109375" style="246" customWidth="1"/>
    <col min="6158" max="6158" width="1.7109375" style="246" customWidth="1"/>
    <col min="6159" max="6402" width="0" style="246" hidden="1"/>
    <col min="6403" max="6403" width="2.7109375" style="246" customWidth="1"/>
    <col min="6404" max="6404" width="41" style="246" customWidth="1"/>
    <col min="6405" max="6405" width="20.28515625" style="246" customWidth="1"/>
    <col min="6406" max="6406" width="23" style="246" customWidth="1"/>
    <col min="6407" max="6407" width="23.42578125" style="246" customWidth="1"/>
    <col min="6408" max="6409" width="18.7109375" style="246" customWidth="1"/>
    <col min="6410" max="6410" width="5.140625" style="246" customWidth="1"/>
    <col min="6411" max="6411" width="12.42578125" style="246" customWidth="1"/>
    <col min="6412" max="6412" width="11.42578125" style="246" customWidth="1"/>
    <col min="6413" max="6413" width="2.7109375" style="246" customWidth="1"/>
    <col min="6414" max="6414" width="1.7109375" style="246" customWidth="1"/>
    <col min="6415" max="6658" width="0" style="246" hidden="1"/>
    <col min="6659" max="6659" width="2.7109375" style="246" customWidth="1"/>
    <col min="6660" max="6660" width="41" style="246" customWidth="1"/>
    <col min="6661" max="6661" width="20.28515625" style="246" customWidth="1"/>
    <col min="6662" max="6662" width="23" style="246" customWidth="1"/>
    <col min="6663" max="6663" width="23.42578125" style="246" customWidth="1"/>
    <col min="6664" max="6665" width="18.7109375" style="246" customWidth="1"/>
    <col min="6666" max="6666" width="5.140625" style="246" customWidth="1"/>
    <col min="6667" max="6667" width="12.42578125" style="246" customWidth="1"/>
    <col min="6668" max="6668" width="11.42578125" style="246" customWidth="1"/>
    <col min="6669" max="6669" width="2.7109375" style="246" customWidth="1"/>
    <col min="6670" max="6670" width="1.7109375" style="246" customWidth="1"/>
    <col min="6671" max="6914" width="0" style="246" hidden="1"/>
    <col min="6915" max="6915" width="2.7109375" style="246" customWidth="1"/>
    <col min="6916" max="6916" width="41" style="246" customWidth="1"/>
    <col min="6917" max="6917" width="20.28515625" style="246" customWidth="1"/>
    <col min="6918" max="6918" width="23" style="246" customWidth="1"/>
    <col min="6919" max="6919" width="23.42578125" style="246" customWidth="1"/>
    <col min="6920" max="6921" width="18.7109375" style="246" customWidth="1"/>
    <col min="6922" max="6922" width="5.140625" style="246" customWidth="1"/>
    <col min="6923" max="6923" width="12.42578125" style="246" customWidth="1"/>
    <col min="6924" max="6924" width="11.42578125" style="246" customWidth="1"/>
    <col min="6925" max="6925" width="2.7109375" style="246" customWidth="1"/>
    <col min="6926" max="6926" width="1.7109375" style="246" customWidth="1"/>
    <col min="6927" max="7170" width="0" style="246" hidden="1"/>
    <col min="7171" max="7171" width="2.7109375" style="246" customWidth="1"/>
    <col min="7172" max="7172" width="41" style="246" customWidth="1"/>
    <col min="7173" max="7173" width="20.28515625" style="246" customWidth="1"/>
    <col min="7174" max="7174" width="23" style="246" customWidth="1"/>
    <col min="7175" max="7175" width="23.42578125" style="246" customWidth="1"/>
    <col min="7176" max="7177" width="18.7109375" style="246" customWidth="1"/>
    <col min="7178" max="7178" width="5.140625" style="246" customWidth="1"/>
    <col min="7179" max="7179" width="12.42578125" style="246" customWidth="1"/>
    <col min="7180" max="7180" width="11.42578125" style="246" customWidth="1"/>
    <col min="7181" max="7181" width="2.7109375" style="246" customWidth="1"/>
    <col min="7182" max="7182" width="1.7109375" style="246" customWidth="1"/>
    <col min="7183" max="7426" width="0" style="246" hidden="1"/>
    <col min="7427" max="7427" width="2.7109375" style="246" customWidth="1"/>
    <col min="7428" max="7428" width="41" style="246" customWidth="1"/>
    <col min="7429" max="7429" width="20.28515625" style="246" customWidth="1"/>
    <col min="7430" max="7430" width="23" style="246" customWidth="1"/>
    <col min="7431" max="7431" width="23.42578125" style="246" customWidth="1"/>
    <col min="7432" max="7433" width="18.7109375" style="246" customWidth="1"/>
    <col min="7434" max="7434" width="5.140625" style="246" customWidth="1"/>
    <col min="7435" max="7435" width="12.42578125" style="246" customWidth="1"/>
    <col min="7436" max="7436" width="11.42578125" style="246" customWidth="1"/>
    <col min="7437" max="7437" width="2.7109375" style="246" customWidth="1"/>
    <col min="7438" max="7438" width="1.7109375" style="246" customWidth="1"/>
    <col min="7439" max="7682" width="0" style="246" hidden="1"/>
    <col min="7683" max="7683" width="2.7109375" style="246" customWidth="1"/>
    <col min="7684" max="7684" width="41" style="246" customWidth="1"/>
    <col min="7685" max="7685" width="20.28515625" style="246" customWidth="1"/>
    <col min="7686" max="7686" width="23" style="246" customWidth="1"/>
    <col min="7687" max="7687" width="23.42578125" style="246" customWidth="1"/>
    <col min="7688" max="7689" width="18.7109375" style="246" customWidth="1"/>
    <col min="7690" max="7690" width="5.140625" style="246" customWidth="1"/>
    <col min="7691" max="7691" width="12.42578125" style="246" customWidth="1"/>
    <col min="7692" max="7692" width="11.42578125" style="246" customWidth="1"/>
    <col min="7693" max="7693" width="2.7109375" style="246" customWidth="1"/>
    <col min="7694" max="7694" width="1.7109375" style="246" customWidth="1"/>
    <col min="7695" max="7938" width="0" style="246" hidden="1"/>
    <col min="7939" max="7939" width="2.7109375" style="246" customWidth="1"/>
    <col min="7940" max="7940" width="41" style="246" customWidth="1"/>
    <col min="7941" max="7941" width="20.28515625" style="246" customWidth="1"/>
    <col min="7942" max="7942" width="23" style="246" customWidth="1"/>
    <col min="7943" max="7943" width="23.42578125" style="246" customWidth="1"/>
    <col min="7944" max="7945" width="18.7109375" style="246" customWidth="1"/>
    <col min="7946" max="7946" width="5.140625" style="246" customWidth="1"/>
    <col min="7947" max="7947" width="12.42578125" style="246" customWidth="1"/>
    <col min="7948" max="7948" width="11.42578125" style="246" customWidth="1"/>
    <col min="7949" max="7949" width="2.7109375" style="246" customWidth="1"/>
    <col min="7950" max="7950" width="1.7109375" style="246" customWidth="1"/>
    <col min="7951" max="8194" width="0" style="246" hidden="1"/>
    <col min="8195" max="8195" width="2.7109375" style="246" customWidth="1"/>
    <col min="8196" max="8196" width="41" style="246" customWidth="1"/>
    <col min="8197" max="8197" width="20.28515625" style="246" customWidth="1"/>
    <col min="8198" max="8198" width="23" style="246" customWidth="1"/>
    <col min="8199" max="8199" width="23.42578125" style="246" customWidth="1"/>
    <col min="8200" max="8201" width="18.7109375" style="246" customWidth="1"/>
    <col min="8202" max="8202" width="5.140625" style="246" customWidth="1"/>
    <col min="8203" max="8203" width="12.42578125" style="246" customWidth="1"/>
    <col min="8204" max="8204" width="11.42578125" style="246" customWidth="1"/>
    <col min="8205" max="8205" width="2.7109375" style="246" customWidth="1"/>
    <col min="8206" max="8206" width="1.7109375" style="246" customWidth="1"/>
    <col min="8207" max="8450" width="0" style="246" hidden="1"/>
    <col min="8451" max="8451" width="2.7109375" style="246" customWidth="1"/>
    <col min="8452" max="8452" width="41" style="246" customWidth="1"/>
    <col min="8453" max="8453" width="20.28515625" style="246" customWidth="1"/>
    <col min="8454" max="8454" width="23" style="246" customWidth="1"/>
    <col min="8455" max="8455" width="23.42578125" style="246" customWidth="1"/>
    <col min="8456" max="8457" width="18.7109375" style="246" customWidth="1"/>
    <col min="8458" max="8458" width="5.140625" style="246" customWidth="1"/>
    <col min="8459" max="8459" width="12.42578125" style="246" customWidth="1"/>
    <col min="8460" max="8460" width="11.42578125" style="246" customWidth="1"/>
    <col min="8461" max="8461" width="2.7109375" style="246" customWidth="1"/>
    <col min="8462" max="8462" width="1.7109375" style="246" customWidth="1"/>
    <col min="8463" max="8706" width="0" style="246" hidden="1"/>
    <col min="8707" max="8707" width="2.7109375" style="246" customWidth="1"/>
    <col min="8708" max="8708" width="41" style="246" customWidth="1"/>
    <col min="8709" max="8709" width="20.28515625" style="246" customWidth="1"/>
    <col min="8710" max="8710" width="23" style="246" customWidth="1"/>
    <col min="8711" max="8711" width="23.42578125" style="246" customWidth="1"/>
    <col min="8712" max="8713" width="18.7109375" style="246" customWidth="1"/>
    <col min="8714" max="8714" width="5.140625" style="246" customWidth="1"/>
    <col min="8715" max="8715" width="12.42578125" style="246" customWidth="1"/>
    <col min="8716" max="8716" width="11.42578125" style="246" customWidth="1"/>
    <col min="8717" max="8717" width="2.7109375" style="246" customWidth="1"/>
    <col min="8718" max="8718" width="1.7109375" style="246" customWidth="1"/>
    <col min="8719" max="8962" width="0" style="246" hidden="1"/>
    <col min="8963" max="8963" width="2.7109375" style="246" customWidth="1"/>
    <col min="8964" max="8964" width="41" style="246" customWidth="1"/>
    <col min="8965" max="8965" width="20.28515625" style="246" customWidth="1"/>
    <col min="8966" max="8966" width="23" style="246" customWidth="1"/>
    <col min="8967" max="8967" width="23.42578125" style="246" customWidth="1"/>
    <col min="8968" max="8969" width="18.7109375" style="246" customWidth="1"/>
    <col min="8970" max="8970" width="5.140625" style="246" customWidth="1"/>
    <col min="8971" max="8971" width="12.42578125" style="246" customWidth="1"/>
    <col min="8972" max="8972" width="11.42578125" style="246" customWidth="1"/>
    <col min="8973" max="8973" width="2.7109375" style="246" customWidth="1"/>
    <col min="8974" max="8974" width="1.7109375" style="246" customWidth="1"/>
    <col min="8975" max="9218" width="0" style="246" hidden="1"/>
    <col min="9219" max="9219" width="2.7109375" style="246" customWidth="1"/>
    <col min="9220" max="9220" width="41" style="246" customWidth="1"/>
    <col min="9221" max="9221" width="20.28515625" style="246" customWidth="1"/>
    <col min="9222" max="9222" width="23" style="246" customWidth="1"/>
    <col min="9223" max="9223" width="23.42578125" style="246" customWidth="1"/>
    <col min="9224" max="9225" width="18.7109375" style="246" customWidth="1"/>
    <col min="9226" max="9226" width="5.140625" style="246" customWidth="1"/>
    <col min="9227" max="9227" width="12.42578125" style="246" customWidth="1"/>
    <col min="9228" max="9228" width="11.42578125" style="246" customWidth="1"/>
    <col min="9229" max="9229" width="2.7109375" style="246" customWidth="1"/>
    <col min="9230" max="9230" width="1.7109375" style="246" customWidth="1"/>
    <col min="9231" max="9474" width="0" style="246" hidden="1"/>
    <col min="9475" max="9475" width="2.7109375" style="246" customWidth="1"/>
    <col min="9476" max="9476" width="41" style="246" customWidth="1"/>
    <col min="9477" max="9477" width="20.28515625" style="246" customWidth="1"/>
    <col min="9478" max="9478" width="23" style="246" customWidth="1"/>
    <col min="9479" max="9479" width="23.42578125" style="246" customWidth="1"/>
    <col min="9480" max="9481" width="18.7109375" style="246" customWidth="1"/>
    <col min="9482" max="9482" width="5.140625" style="246" customWidth="1"/>
    <col min="9483" max="9483" width="12.42578125" style="246" customWidth="1"/>
    <col min="9484" max="9484" width="11.42578125" style="246" customWidth="1"/>
    <col min="9485" max="9485" width="2.7109375" style="246" customWidth="1"/>
    <col min="9486" max="9486" width="1.7109375" style="246" customWidth="1"/>
    <col min="9487" max="9730" width="0" style="246" hidden="1"/>
    <col min="9731" max="9731" width="2.7109375" style="246" customWidth="1"/>
    <col min="9732" max="9732" width="41" style="246" customWidth="1"/>
    <col min="9733" max="9733" width="20.28515625" style="246" customWidth="1"/>
    <col min="9734" max="9734" width="23" style="246" customWidth="1"/>
    <col min="9735" max="9735" width="23.42578125" style="246" customWidth="1"/>
    <col min="9736" max="9737" width="18.7109375" style="246" customWidth="1"/>
    <col min="9738" max="9738" width="5.140625" style="246" customWidth="1"/>
    <col min="9739" max="9739" width="12.42578125" style="246" customWidth="1"/>
    <col min="9740" max="9740" width="11.42578125" style="246" customWidth="1"/>
    <col min="9741" max="9741" width="2.7109375" style="246" customWidth="1"/>
    <col min="9742" max="9742" width="1.7109375" style="246" customWidth="1"/>
    <col min="9743" max="9986" width="0" style="246" hidden="1"/>
    <col min="9987" max="9987" width="2.7109375" style="246" customWidth="1"/>
    <col min="9988" max="9988" width="41" style="246" customWidth="1"/>
    <col min="9989" max="9989" width="20.28515625" style="246" customWidth="1"/>
    <col min="9990" max="9990" width="23" style="246" customWidth="1"/>
    <col min="9991" max="9991" width="23.42578125" style="246" customWidth="1"/>
    <col min="9992" max="9993" width="18.7109375" style="246" customWidth="1"/>
    <col min="9994" max="9994" width="5.140625" style="246" customWidth="1"/>
    <col min="9995" max="9995" width="12.42578125" style="246" customWidth="1"/>
    <col min="9996" max="9996" width="11.42578125" style="246" customWidth="1"/>
    <col min="9997" max="9997" width="2.7109375" style="246" customWidth="1"/>
    <col min="9998" max="9998" width="1.7109375" style="246" customWidth="1"/>
    <col min="9999" max="10242" width="0" style="246" hidden="1"/>
    <col min="10243" max="10243" width="2.7109375" style="246" customWidth="1"/>
    <col min="10244" max="10244" width="41" style="246" customWidth="1"/>
    <col min="10245" max="10245" width="20.28515625" style="246" customWidth="1"/>
    <col min="10246" max="10246" width="23" style="246" customWidth="1"/>
    <col min="10247" max="10247" width="23.42578125" style="246" customWidth="1"/>
    <col min="10248" max="10249" width="18.7109375" style="246" customWidth="1"/>
    <col min="10250" max="10250" width="5.140625" style="246" customWidth="1"/>
    <col min="10251" max="10251" width="12.42578125" style="246" customWidth="1"/>
    <col min="10252" max="10252" width="11.42578125" style="246" customWidth="1"/>
    <col min="10253" max="10253" width="2.7109375" style="246" customWidth="1"/>
    <col min="10254" max="10254" width="1.7109375" style="246" customWidth="1"/>
    <col min="10255" max="10498" width="0" style="246" hidden="1"/>
    <col min="10499" max="10499" width="2.7109375" style="246" customWidth="1"/>
    <col min="10500" max="10500" width="41" style="246" customWidth="1"/>
    <col min="10501" max="10501" width="20.28515625" style="246" customWidth="1"/>
    <col min="10502" max="10502" width="23" style="246" customWidth="1"/>
    <col min="10503" max="10503" width="23.42578125" style="246" customWidth="1"/>
    <col min="10504" max="10505" width="18.7109375" style="246" customWidth="1"/>
    <col min="10506" max="10506" width="5.140625" style="246" customWidth="1"/>
    <col min="10507" max="10507" width="12.42578125" style="246" customWidth="1"/>
    <col min="10508" max="10508" width="11.42578125" style="246" customWidth="1"/>
    <col min="10509" max="10509" width="2.7109375" style="246" customWidth="1"/>
    <col min="10510" max="10510" width="1.7109375" style="246" customWidth="1"/>
    <col min="10511" max="10754" width="0" style="246" hidden="1"/>
    <col min="10755" max="10755" width="2.7109375" style="246" customWidth="1"/>
    <col min="10756" max="10756" width="41" style="246" customWidth="1"/>
    <col min="10757" max="10757" width="20.28515625" style="246" customWidth="1"/>
    <col min="10758" max="10758" width="23" style="246" customWidth="1"/>
    <col min="10759" max="10759" width="23.42578125" style="246" customWidth="1"/>
    <col min="10760" max="10761" width="18.7109375" style="246" customWidth="1"/>
    <col min="10762" max="10762" width="5.140625" style="246" customWidth="1"/>
    <col min="10763" max="10763" width="12.42578125" style="246" customWidth="1"/>
    <col min="10764" max="10764" width="11.42578125" style="246" customWidth="1"/>
    <col min="10765" max="10765" width="2.7109375" style="246" customWidth="1"/>
    <col min="10766" max="10766" width="1.7109375" style="246" customWidth="1"/>
    <col min="10767" max="11010" width="0" style="246" hidden="1"/>
    <col min="11011" max="11011" width="2.7109375" style="246" customWidth="1"/>
    <col min="11012" max="11012" width="41" style="246" customWidth="1"/>
    <col min="11013" max="11013" width="20.28515625" style="246" customWidth="1"/>
    <col min="11014" max="11014" width="23" style="246" customWidth="1"/>
    <col min="11015" max="11015" width="23.42578125" style="246" customWidth="1"/>
    <col min="11016" max="11017" width="18.7109375" style="246" customWidth="1"/>
    <col min="11018" max="11018" width="5.140625" style="246" customWidth="1"/>
    <col min="11019" max="11019" width="12.42578125" style="246" customWidth="1"/>
    <col min="11020" max="11020" width="11.42578125" style="246" customWidth="1"/>
    <col min="11021" max="11021" width="2.7109375" style="246" customWidth="1"/>
    <col min="11022" max="11022" width="1.7109375" style="246" customWidth="1"/>
    <col min="11023" max="11266" width="0" style="246" hidden="1"/>
    <col min="11267" max="11267" width="2.7109375" style="246" customWidth="1"/>
    <col min="11268" max="11268" width="41" style="246" customWidth="1"/>
    <col min="11269" max="11269" width="20.28515625" style="246" customWidth="1"/>
    <col min="11270" max="11270" width="23" style="246" customWidth="1"/>
    <col min="11271" max="11271" width="23.42578125" style="246" customWidth="1"/>
    <col min="11272" max="11273" width="18.7109375" style="246" customWidth="1"/>
    <col min="11274" max="11274" width="5.140625" style="246" customWidth="1"/>
    <col min="11275" max="11275" width="12.42578125" style="246" customWidth="1"/>
    <col min="11276" max="11276" width="11.42578125" style="246" customWidth="1"/>
    <col min="11277" max="11277" width="2.7109375" style="246" customWidth="1"/>
    <col min="11278" max="11278" width="1.7109375" style="246" customWidth="1"/>
    <col min="11279" max="11522" width="0" style="246" hidden="1"/>
    <col min="11523" max="11523" width="2.7109375" style="246" customWidth="1"/>
    <col min="11524" max="11524" width="41" style="246" customWidth="1"/>
    <col min="11525" max="11525" width="20.28515625" style="246" customWidth="1"/>
    <col min="11526" max="11526" width="23" style="246" customWidth="1"/>
    <col min="11527" max="11527" width="23.42578125" style="246" customWidth="1"/>
    <col min="11528" max="11529" width="18.7109375" style="246" customWidth="1"/>
    <col min="11530" max="11530" width="5.140625" style="246" customWidth="1"/>
    <col min="11531" max="11531" width="12.42578125" style="246" customWidth="1"/>
    <col min="11532" max="11532" width="11.42578125" style="246" customWidth="1"/>
    <col min="11533" max="11533" width="2.7109375" style="246" customWidth="1"/>
    <col min="11534" max="11534" width="1.7109375" style="246" customWidth="1"/>
    <col min="11535" max="11778" width="0" style="246" hidden="1"/>
    <col min="11779" max="11779" width="2.7109375" style="246" customWidth="1"/>
    <col min="11780" max="11780" width="41" style="246" customWidth="1"/>
    <col min="11781" max="11781" width="20.28515625" style="246" customWidth="1"/>
    <col min="11782" max="11782" width="23" style="246" customWidth="1"/>
    <col min="11783" max="11783" width="23.42578125" style="246" customWidth="1"/>
    <col min="11784" max="11785" width="18.7109375" style="246" customWidth="1"/>
    <col min="11786" max="11786" width="5.140625" style="246" customWidth="1"/>
    <col min="11787" max="11787" width="12.42578125" style="246" customWidth="1"/>
    <col min="11788" max="11788" width="11.42578125" style="246" customWidth="1"/>
    <col min="11789" max="11789" width="2.7109375" style="246" customWidth="1"/>
    <col min="11790" max="11790" width="1.7109375" style="246" customWidth="1"/>
    <col min="11791" max="12034" width="0" style="246" hidden="1"/>
    <col min="12035" max="12035" width="2.7109375" style="246" customWidth="1"/>
    <col min="12036" max="12036" width="41" style="246" customWidth="1"/>
    <col min="12037" max="12037" width="20.28515625" style="246" customWidth="1"/>
    <col min="12038" max="12038" width="23" style="246" customWidth="1"/>
    <col min="12039" max="12039" width="23.42578125" style="246" customWidth="1"/>
    <col min="12040" max="12041" width="18.7109375" style="246" customWidth="1"/>
    <col min="12042" max="12042" width="5.140625" style="246" customWidth="1"/>
    <col min="12043" max="12043" width="12.42578125" style="246" customWidth="1"/>
    <col min="12044" max="12044" width="11.42578125" style="246" customWidth="1"/>
    <col min="12045" max="12045" width="2.7109375" style="246" customWidth="1"/>
    <col min="12046" max="12046" width="1.7109375" style="246" customWidth="1"/>
    <col min="12047" max="12290" width="0" style="246" hidden="1"/>
    <col min="12291" max="12291" width="2.7109375" style="246" customWidth="1"/>
    <col min="12292" max="12292" width="41" style="246" customWidth="1"/>
    <col min="12293" max="12293" width="20.28515625" style="246" customWidth="1"/>
    <col min="12294" max="12294" width="23" style="246" customWidth="1"/>
    <col min="12295" max="12295" width="23.42578125" style="246" customWidth="1"/>
    <col min="12296" max="12297" width="18.7109375" style="246" customWidth="1"/>
    <col min="12298" max="12298" width="5.140625" style="246" customWidth="1"/>
    <col min="12299" max="12299" width="12.42578125" style="246" customWidth="1"/>
    <col min="12300" max="12300" width="11.42578125" style="246" customWidth="1"/>
    <col min="12301" max="12301" width="2.7109375" style="246" customWidth="1"/>
    <col min="12302" max="12302" width="1.7109375" style="246" customWidth="1"/>
    <col min="12303" max="12546" width="0" style="246" hidden="1"/>
    <col min="12547" max="12547" width="2.7109375" style="246" customWidth="1"/>
    <col min="12548" max="12548" width="41" style="246" customWidth="1"/>
    <col min="12549" max="12549" width="20.28515625" style="246" customWidth="1"/>
    <col min="12550" max="12550" width="23" style="246" customWidth="1"/>
    <col min="12551" max="12551" width="23.42578125" style="246" customWidth="1"/>
    <col min="12552" max="12553" width="18.7109375" style="246" customWidth="1"/>
    <col min="12554" max="12554" width="5.140625" style="246" customWidth="1"/>
    <col min="12555" max="12555" width="12.42578125" style="246" customWidth="1"/>
    <col min="12556" max="12556" width="11.42578125" style="246" customWidth="1"/>
    <col min="12557" max="12557" width="2.7109375" style="246" customWidth="1"/>
    <col min="12558" max="12558" width="1.7109375" style="246" customWidth="1"/>
    <col min="12559" max="12802" width="0" style="246" hidden="1"/>
    <col min="12803" max="12803" width="2.7109375" style="246" customWidth="1"/>
    <col min="12804" max="12804" width="41" style="246" customWidth="1"/>
    <col min="12805" max="12805" width="20.28515625" style="246" customWidth="1"/>
    <col min="12806" max="12806" width="23" style="246" customWidth="1"/>
    <col min="12807" max="12807" width="23.42578125" style="246" customWidth="1"/>
    <col min="12808" max="12809" width="18.7109375" style="246" customWidth="1"/>
    <col min="12810" max="12810" width="5.140625" style="246" customWidth="1"/>
    <col min="12811" max="12811" width="12.42578125" style="246" customWidth="1"/>
    <col min="12812" max="12812" width="11.42578125" style="246" customWidth="1"/>
    <col min="12813" max="12813" width="2.7109375" style="246" customWidth="1"/>
    <col min="12814" max="12814" width="1.7109375" style="246" customWidth="1"/>
    <col min="12815" max="13058" width="0" style="246" hidden="1"/>
    <col min="13059" max="13059" width="2.7109375" style="246" customWidth="1"/>
    <col min="13060" max="13060" width="41" style="246" customWidth="1"/>
    <col min="13061" max="13061" width="20.28515625" style="246" customWidth="1"/>
    <col min="13062" max="13062" width="23" style="246" customWidth="1"/>
    <col min="13063" max="13063" width="23.42578125" style="246" customWidth="1"/>
    <col min="13064" max="13065" width="18.7109375" style="246" customWidth="1"/>
    <col min="13066" max="13066" width="5.140625" style="246" customWidth="1"/>
    <col min="13067" max="13067" width="12.42578125" style="246" customWidth="1"/>
    <col min="13068" max="13068" width="11.42578125" style="246" customWidth="1"/>
    <col min="13069" max="13069" width="2.7109375" style="246" customWidth="1"/>
    <col min="13070" max="13070" width="1.7109375" style="246" customWidth="1"/>
    <col min="13071" max="13314" width="0" style="246" hidden="1"/>
    <col min="13315" max="13315" width="2.7109375" style="246" customWidth="1"/>
    <col min="13316" max="13316" width="41" style="246" customWidth="1"/>
    <col min="13317" max="13317" width="20.28515625" style="246" customWidth="1"/>
    <col min="13318" max="13318" width="23" style="246" customWidth="1"/>
    <col min="13319" max="13319" width="23.42578125" style="246" customWidth="1"/>
    <col min="13320" max="13321" width="18.7109375" style="246" customWidth="1"/>
    <col min="13322" max="13322" width="5.140625" style="246" customWidth="1"/>
    <col min="13323" max="13323" width="12.42578125" style="246" customWidth="1"/>
    <col min="13324" max="13324" width="11.42578125" style="246" customWidth="1"/>
    <col min="13325" max="13325" width="2.7109375" style="246" customWidth="1"/>
    <col min="13326" max="13326" width="1.7109375" style="246" customWidth="1"/>
    <col min="13327" max="13570" width="0" style="246" hidden="1"/>
    <col min="13571" max="13571" width="2.7109375" style="246" customWidth="1"/>
    <col min="13572" max="13572" width="41" style="246" customWidth="1"/>
    <col min="13573" max="13573" width="20.28515625" style="246" customWidth="1"/>
    <col min="13574" max="13574" width="23" style="246" customWidth="1"/>
    <col min="13575" max="13575" width="23.42578125" style="246" customWidth="1"/>
    <col min="13576" max="13577" width="18.7109375" style="246" customWidth="1"/>
    <col min="13578" max="13578" width="5.140625" style="246" customWidth="1"/>
    <col min="13579" max="13579" width="12.42578125" style="246" customWidth="1"/>
    <col min="13580" max="13580" width="11.42578125" style="246" customWidth="1"/>
    <col min="13581" max="13581" width="2.7109375" style="246" customWidth="1"/>
    <col min="13582" max="13582" width="1.7109375" style="246" customWidth="1"/>
    <col min="13583" max="13826" width="0" style="246" hidden="1"/>
    <col min="13827" max="13827" width="2.7109375" style="246" customWidth="1"/>
    <col min="13828" max="13828" width="41" style="246" customWidth="1"/>
    <col min="13829" max="13829" width="20.28515625" style="246" customWidth="1"/>
    <col min="13830" max="13830" width="23" style="246" customWidth="1"/>
    <col min="13831" max="13831" width="23.42578125" style="246" customWidth="1"/>
    <col min="13832" max="13833" width="18.7109375" style="246" customWidth="1"/>
    <col min="13834" max="13834" width="5.140625" style="246" customWidth="1"/>
    <col min="13835" max="13835" width="12.42578125" style="246" customWidth="1"/>
    <col min="13836" max="13836" width="11.42578125" style="246" customWidth="1"/>
    <col min="13837" max="13837" width="2.7109375" style="246" customWidth="1"/>
    <col min="13838" max="13838" width="1.7109375" style="246" customWidth="1"/>
    <col min="13839" max="14082" width="0" style="246" hidden="1"/>
    <col min="14083" max="14083" width="2.7109375" style="246" customWidth="1"/>
    <col min="14084" max="14084" width="41" style="246" customWidth="1"/>
    <col min="14085" max="14085" width="20.28515625" style="246" customWidth="1"/>
    <col min="14086" max="14086" width="23" style="246" customWidth="1"/>
    <col min="14087" max="14087" width="23.42578125" style="246" customWidth="1"/>
    <col min="14088" max="14089" width="18.7109375" style="246" customWidth="1"/>
    <col min="14090" max="14090" width="5.140625" style="246" customWidth="1"/>
    <col min="14091" max="14091" width="12.42578125" style="246" customWidth="1"/>
    <col min="14092" max="14092" width="11.42578125" style="246" customWidth="1"/>
    <col min="14093" max="14093" width="2.7109375" style="246" customWidth="1"/>
    <col min="14094" max="14094" width="1.7109375" style="246" customWidth="1"/>
    <col min="14095" max="14338" width="0" style="246" hidden="1"/>
    <col min="14339" max="14339" width="2.7109375" style="246" customWidth="1"/>
    <col min="14340" max="14340" width="41" style="246" customWidth="1"/>
    <col min="14341" max="14341" width="20.28515625" style="246" customWidth="1"/>
    <col min="14342" max="14342" width="23" style="246" customWidth="1"/>
    <col min="14343" max="14343" width="23.42578125" style="246" customWidth="1"/>
    <col min="14344" max="14345" width="18.7109375" style="246" customWidth="1"/>
    <col min="14346" max="14346" width="5.140625" style="246" customWidth="1"/>
    <col min="14347" max="14347" width="12.42578125" style="246" customWidth="1"/>
    <col min="14348" max="14348" width="11.42578125" style="246" customWidth="1"/>
    <col min="14349" max="14349" width="2.7109375" style="246" customWidth="1"/>
    <col min="14350" max="14350" width="1.7109375" style="246" customWidth="1"/>
    <col min="14351" max="14594" width="0" style="246" hidden="1"/>
    <col min="14595" max="14595" width="2.7109375" style="246" customWidth="1"/>
    <col min="14596" max="14596" width="41" style="246" customWidth="1"/>
    <col min="14597" max="14597" width="20.28515625" style="246" customWidth="1"/>
    <col min="14598" max="14598" width="23" style="246" customWidth="1"/>
    <col min="14599" max="14599" width="23.42578125" style="246" customWidth="1"/>
    <col min="14600" max="14601" width="18.7109375" style="246" customWidth="1"/>
    <col min="14602" max="14602" width="5.140625" style="246" customWidth="1"/>
    <col min="14603" max="14603" width="12.42578125" style="246" customWidth="1"/>
    <col min="14604" max="14604" width="11.42578125" style="246" customWidth="1"/>
    <col min="14605" max="14605" width="2.7109375" style="246" customWidth="1"/>
    <col min="14606" max="14606" width="1.7109375" style="246" customWidth="1"/>
    <col min="14607" max="14850" width="0" style="246" hidden="1"/>
    <col min="14851" max="14851" width="2.7109375" style="246" customWidth="1"/>
    <col min="14852" max="14852" width="41" style="246" customWidth="1"/>
    <col min="14853" max="14853" width="20.28515625" style="246" customWidth="1"/>
    <col min="14854" max="14854" width="23" style="246" customWidth="1"/>
    <col min="14855" max="14855" width="23.42578125" style="246" customWidth="1"/>
    <col min="14856" max="14857" width="18.7109375" style="246" customWidth="1"/>
    <col min="14858" max="14858" width="5.140625" style="246" customWidth="1"/>
    <col min="14859" max="14859" width="12.42578125" style="246" customWidth="1"/>
    <col min="14860" max="14860" width="11.42578125" style="246" customWidth="1"/>
    <col min="14861" max="14861" width="2.7109375" style="246" customWidth="1"/>
    <col min="14862" max="14862" width="1.7109375" style="246" customWidth="1"/>
    <col min="14863" max="15106" width="0" style="246" hidden="1"/>
    <col min="15107" max="15107" width="2.7109375" style="246" customWidth="1"/>
    <col min="15108" max="15108" width="41" style="246" customWidth="1"/>
    <col min="15109" max="15109" width="20.28515625" style="246" customWidth="1"/>
    <col min="15110" max="15110" width="23" style="246" customWidth="1"/>
    <col min="15111" max="15111" width="23.42578125" style="246" customWidth="1"/>
    <col min="15112" max="15113" width="18.7109375" style="246" customWidth="1"/>
    <col min="15114" max="15114" width="5.140625" style="246" customWidth="1"/>
    <col min="15115" max="15115" width="12.42578125" style="246" customWidth="1"/>
    <col min="15116" max="15116" width="11.42578125" style="246" customWidth="1"/>
    <col min="15117" max="15117" width="2.7109375" style="246" customWidth="1"/>
    <col min="15118" max="15118" width="1.7109375" style="246" customWidth="1"/>
    <col min="15119" max="15362" width="0" style="246" hidden="1"/>
    <col min="15363" max="15363" width="2.7109375" style="246" customWidth="1"/>
    <col min="15364" max="15364" width="41" style="246" customWidth="1"/>
    <col min="15365" max="15365" width="20.28515625" style="246" customWidth="1"/>
    <col min="15366" max="15366" width="23" style="246" customWidth="1"/>
    <col min="15367" max="15367" width="23.42578125" style="246" customWidth="1"/>
    <col min="15368" max="15369" width="18.7109375" style="246" customWidth="1"/>
    <col min="15370" max="15370" width="5.140625" style="246" customWidth="1"/>
    <col min="15371" max="15371" width="12.42578125" style="246" customWidth="1"/>
    <col min="15372" max="15372" width="11.42578125" style="246" customWidth="1"/>
    <col min="15373" max="15373" width="2.7109375" style="246" customWidth="1"/>
    <col min="15374" max="15374" width="1.7109375" style="246" customWidth="1"/>
    <col min="15375" max="15618" width="0" style="246" hidden="1"/>
    <col min="15619" max="15619" width="2.7109375" style="246" customWidth="1"/>
    <col min="15620" max="15620" width="41" style="246" customWidth="1"/>
    <col min="15621" max="15621" width="20.28515625" style="246" customWidth="1"/>
    <col min="15622" max="15622" width="23" style="246" customWidth="1"/>
    <col min="15623" max="15623" width="23.42578125" style="246" customWidth="1"/>
    <col min="15624" max="15625" width="18.7109375" style="246" customWidth="1"/>
    <col min="15626" max="15626" width="5.140625" style="246" customWidth="1"/>
    <col min="15627" max="15627" width="12.42578125" style="246" customWidth="1"/>
    <col min="15628" max="15628" width="11.42578125" style="246" customWidth="1"/>
    <col min="15629" max="15629" width="2.7109375" style="246" customWidth="1"/>
    <col min="15630" max="15630" width="1.7109375" style="246" customWidth="1"/>
    <col min="15631" max="15874" width="0" style="246" hidden="1"/>
    <col min="15875" max="15875" width="2.7109375" style="246" customWidth="1"/>
    <col min="15876" max="15876" width="41" style="246" customWidth="1"/>
    <col min="15877" max="15877" width="20.28515625" style="246" customWidth="1"/>
    <col min="15878" max="15878" width="23" style="246" customWidth="1"/>
    <col min="15879" max="15879" width="23.42578125" style="246" customWidth="1"/>
    <col min="15880" max="15881" width="18.7109375" style="246" customWidth="1"/>
    <col min="15882" max="15882" width="5.140625" style="246" customWidth="1"/>
    <col min="15883" max="15883" width="12.42578125" style="246" customWidth="1"/>
    <col min="15884" max="15884" width="11.42578125" style="246" customWidth="1"/>
    <col min="15885" max="15885" width="2.7109375" style="246" customWidth="1"/>
    <col min="15886" max="15886" width="1.7109375" style="246" customWidth="1"/>
    <col min="15887" max="16130" width="0" style="246" hidden="1"/>
    <col min="16131" max="16131" width="2.7109375" style="246" customWidth="1"/>
    <col min="16132" max="16132" width="41" style="246" customWidth="1"/>
    <col min="16133" max="16133" width="20.28515625" style="246" customWidth="1"/>
    <col min="16134" max="16134" width="23" style="246" customWidth="1"/>
    <col min="16135" max="16135" width="23.42578125" style="246" customWidth="1"/>
    <col min="16136" max="16137" width="18.7109375" style="246" customWidth="1"/>
    <col min="16138" max="16138" width="5.140625" style="246" customWidth="1"/>
    <col min="16139" max="16139" width="12.42578125" style="246" customWidth="1"/>
    <col min="16140" max="16140" width="11.42578125" style="246" customWidth="1"/>
    <col min="16141" max="16141" width="2.7109375" style="246" customWidth="1"/>
    <col min="16142" max="16142" width="1.7109375" style="246" customWidth="1"/>
    <col min="16143" max="16384" width="0" style="246" hidden="1"/>
  </cols>
  <sheetData>
    <row r="1" spans="1:14" x14ac:dyDescent="0.2"/>
    <row r="2" spans="1:14" ht="18.75" thickBot="1" x14ac:dyDescent="0.3">
      <c r="A2" s="244"/>
      <c r="B2" s="294" t="s">
        <v>237</v>
      </c>
      <c r="C2" s="245"/>
      <c r="D2" s="245"/>
      <c r="E2" s="245"/>
      <c r="F2" s="245"/>
      <c r="G2" s="245"/>
      <c r="H2" s="245"/>
      <c r="I2" s="245"/>
      <c r="J2" s="244"/>
      <c r="K2" s="244"/>
      <c r="L2" s="244"/>
      <c r="M2" s="244"/>
      <c r="N2" s="244"/>
    </row>
    <row r="3" spans="1:14" ht="18.75" thickBot="1" x14ac:dyDescent="0.3">
      <c r="A3" s="244"/>
      <c r="B3" s="542" t="s">
        <v>233</v>
      </c>
      <c r="C3" s="543"/>
      <c r="D3" s="543"/>
      <c r="E3" s="543"/>
      <c r="F3" s="543"/>
      <c r="G3" s="543"/>
      <c r="H3" s="543"/>
      <c r="I3" s="543"/>
      <c r="J3" s="543"/>
      <c r="K3" s="543"/>
      <c r="L3" s="543"/>
      <c r="M3" s="544"/>
      <c r="N3" s="244"/>
    </row>
    <row r="4" spans="1:14" ht="15.75" thickBot="1" x14ac:dyDescent="0.25">
      <c r="A4" s="244"/>
      <c r="B4" s="244"/>
      <c r="C4" s="245"/>
      <c r="D4" s="245"/>
      <c r="E4" s="245"/>
      <c r="F4" s="245"/>
      <c r="G4" s="245"/>
      <c r="H4" s="245"/>
      <c r="I4" s="245"/>
      <c r="J4" s="244"/>
      <c r="K4" s="244"/>
      <c r="L4" s="244"/>
      <c r="M4" s="244"/>
      <c r="N4" s="244"/>
    </row>
    <row r="5" spans="1:14" ht="18.75" thickBot="1" x14ac:dyDescent="0.3">
      <c r="A5" s="244"/>
      <c r="B5" s="542" t="s">
        <v>228</v>
      </c>
      <c r="C5" s="543"/>
      <c r="D5" s="543"/>
      <c r="E5" s="543"/>
      <c r="F5" s="543"/>
      <c r="G5" s="543"/>
      <c r="H5" s="543"/>
      <c r="I5" s="543"/>
      <c r="J5" s="543"/>
      <c r="K5" s="543"/>
      <c r="L5" s="543"/>
      <c r="M5" s="544"/>
      <c r="N5" s="244"/>
    </row>
    <row r="6" spans="1:14" x14ac:dyDescent="0.2">
      <c r="A6" s="244"/>
      <c r="B6" s="244"/>
      <c r="C6" s="245"/>
      <c r="D6" s="245"/>
      <c r="E6" s="245"/>
      <c r="F6" s="245"/>
      <c r="G6" s="245"/>
      <c r="H6" s="245"/>
      <c r="I6" s="245"/>
      <c r="J6" s="244"/>
      <c r="K6" s="244"/>
      <c r="L6" s="244"/>
      <c r="M6" s="244"/>
      <c r="N6" s="244"/>
    </row>
    <row r="7" spans="1:14" x14ac:dyDescent="0.2">
      <c r="A7" s="244"/>
      <c r="B7" s="244"/>
      <c r="C7" s="245"/>
      <c r="D7" s="245"/>
      <c r="E7" s="245"/>
      <c r="F7" s="245"/>
      <c r="G7" s="245"/>
      <c r="H7" s="245"/>
      <c r="I7" s="245"/>
      <c r="J7" s="244"/>
      <c r="K7" s="244"/>
      <c r="L7" s="244"/>
      <c r="M7" s="244"/>
      <c r="N7" s="244"/>
    </row>
    <row r="8" spans="1:14" x14ac:dyDescent="0.2">
      <c r="A8" s="244"/>
      <c r="B8" s="244"/>
      <c r="C8" s="247"/>
      <c r="D8" s="247"/>
      <c r="E8" s="247"/>
      <c r="F8" s="247"/>
      <c r="G8" s="247"/>
      <c r="H8" s="247"/>
      <c r="I8" s="247"/>
      <c r="J8" s="244"/>
      <c r="K8" s="244"/>
      <c r="L8" s="247" t="s">
        <v>229</v>
      </c>
      <c r="M8" s="244"/>
      <c r="N8" s="244"/>
    </row>
    <row r="9" spans="1:14" ht="16.5" thickBot="1" x14ac:dyDescent="0.3">
      <c r="A9" s="244"/>
      <c r="B9" s="244"/>
      <c r="C9" s="248"/>
      <c r="D9" s="248"/>
      <c r="E9" s="248"/>
      <c r="F9" s="248"/>
      <c r="G9" s="248"/>
      <c r="H9" s="248"/>
      <c r="I9" s="248"/>
      <c r="J9" s="244"/>
      <c r="K9" s="244"/>
      <c r="L9" s="244"/>
      <c r="M9" s="244"/>
      <c r="N9" s="244"/>
    </row>
    <row r="10" spans="1:14" ht="15.75" x14ac:dyDescent="0.25">
      <c r="A10" s="244"/>
      <c r="B10" s="249"/>
      <c r="C10" s="250"/>
      <c r="D10" s="250"/>
      <c r="E10" s="250"/>
      <c r="F10" s="250"/>
      <c r="G10" s="250"/>
      <c r="H10" s="250"/>
      <c r="I10" s="250"/>
      <c r="J10" s="251"/>
      <c r="K10" s="251"/>
      <c r="L10" s="252"/>
      <c r="M10" s="244"/>
      <c r="N10" s="244"/>
    </row>
    <row r="11" spans="1:14" ht="15" customHeight="1" x14ac:dyDescent="0.2">
      <c r="A11" s="244"/>
      <c r="B11" s="253"/>
      <c r="C11" s="254"/>
      <c r="D11" s="254"/>
      <c r="E11" s="254"/>
      <c r="F11" s="254"/>
      <c r="G11" s="254"/>
      <c r="H11" s="254"/>
      <c r="I11" s="254"/>
      <c r="J11" s="255"/>
      <c r="K11" s="277" t="s">
        <v>65</v>
      </c>
      <c r="L11" s="278">
        <f>+'Capital de Trabajo'!C89</f>
        <v>0.22</v>
      </c>
      <c r="M11" s="256"/>
      <c r="N11" s="244"/>
    </row>
    <row r="12" spans="1:14" ht="15" customHeight="1" x14ac:dyDescent="0.2">
      <c r="A12" s="244"/>
      <c r="B12" s="253"/>
      <c r="C12" s="254"/>
      <c r="D12" s="254"/>
      <c r="E12" s="254"/>
      <c r="F12" s="254"/>
      <c r="G12" s="254"/>
      <c r="H12" s="254"/>
      <c r="I12" s="254"/>
      <c r="J12" s="255"/>
      <c r="K12" s="277" t="s">
        <v>65</v>
      </c>
      <c r="L12" s="278">
        <f>+'Ppto Financiación'!D14</f>
        <v>0.17999999999999816</v>
      </c>
      <c r="M12" s="256"/>
      <c r="N12" s="244"/>
    </row>
    <row r="13" spans="1:14" ht="15" customHeight="1" x14ac:dyDescent="0.2">
      <c r="A13" s="244"/>
      <c r="B13" s="253"/>
      <c r="C13" s="254"/>
      <c r="D13" s="254"/>
      <c r="E13" s="254"/>
      <c r="F13" s="254"/>
      <c r="G13" s="254"/>
      <c r="H13" s="254"/>
      <c r="I13" s="254"/>
      <c r="J13" s="255"/>
      <c r="K13" s="277" t="s">
        <v>65</v>
      </c>
      <c r="L13" s="279">
        <v>0.22</v>
      </c>
      <c r="M13" s="256"/>
      <c r="N13" s="244"/>
    </row>
    <row r="14" spans="1:14" ht="15" customHeight="1" x14ac:dyDescent="0.2">
      <c r="A14" s="244"/>
      <c r="B14" s="253"/>
      <c r="C14" s="254"/>
      <c r="D14" s="254"/>
      <c r="E14" s="254"/>
      <c r="F14" s="254"/>
      <c r="G14" s="254"/>
      <c r="H14" s="254"/>
      <c r="I14" s="254"/>
      <c r="J14" s="255"/>
      <c r="K14" s="277" t="s">
        <v>65</v>
      </c>
      <c r="L14" s="279">
        <v>0.22</v>
      </c>
      <c r="M14" s="256"/>
      <c r="N14" s="244"/>
    </row>
    <row r="15" spans="1:14" ht="15" customHeight="1" x14ac:dyDescent="0.2">
      <c r="A15" s="244"/>
      <c r="B15" s="257"/>
      <c r="C15" s="254"/>
      <c r="D15" s="254"/>
      <c r="E15" s="254"/>
      <c r="F15" s="254"/>
      <c r="G15" s="254"/>
      <c r="H15" s="254"/>
      <c r="I15" s="254"/>
      <c r="J15" s="255"/>
      <c r="K15" s="277" t="s">
        <v>65</v>
      </c>
      <c r="L15" s="280"/>
      <c r="M15" s="256"/>
      <c r="N15" s="244"/>
    </row>
    <row r="16" spans="1:14" ht="15" customHeight="1" x14ac:dyDescent="0.2">
      <c r="A16" s="244"/>
      <c r="B16" s="253"/>
      <c r="C16" s="254"/>
      <c r="D16" s="254"/>
      <c r="E16" s="254"/>
      <c r="F16" s="254"/>
      <c r="G16" s="254"/>
      <c r="H16" s="254"/>
      <c r="I16" s="254"/>
      <c r="J16" s="255"/>
      <c r="K16" s="258"/>
      <c r="L16" s="259"/>
      <c r="M16" s="256"/>
      <c r="N16" s="244"/>
    </row>
    <row r="17" spans="1:14" x14ac:dyDescent="0.2">
      <c r="A17" s="244"/>
      <c r="B17" s="253" t="s">
        <v>230</v>
      </c>
      <c r="C17" s="254">
        <f t="shared" ref="C17:H17" si="0">SUM(C11:C16)</f>
        <v>0</v>
      </c>
      <c r="D17" s="254">
        <f t="shared" si="0"/>
        <v>0</v>
      </c>
      <c r="E17" s="254">
        <f t="shared" si="0"/>
        <v>0</v>
      </c>
      <c r="F17" s="254">
        <f t="shared" si="0"/>
        <v>0</v>
      </c>
      <c r="G17" s="254">
        <f t="shared" si="0"/>
        <v>0</v>
      </c>
      <c r="H17" s="254">
        <f t="shared" si="0"/>
        <v>0</v>
      </c>
      <c r="I17" s="254">
        <f t="shared" ref="I17" si="1">SUM(I11:I16)</f>
        <v>0</v>
      </c>
      <c r="J17" s="255"/>
      <c r="K17" s="258"/>
      <c r="L17" s="260"/>
      <c r="M17" s="256"/>
      <c r="N17" s="244"/>
    </row>
    <row r="18" spans="1:14" ht="15.75" x14ac:dyDescent="0.25">
      <c r="A18" s="244"/>
      <c r="B18" s="283" t="s">
        <v>227</v>
      </c>
      <c r="C18" s="284"/>
      <c r="D18" s="284"/>
      <c r="E18" s="284"/>
      <c r="F18" s="284"/>
      <c r="G18" s="284"/>
      <c r="H18" s="284"/>
      <c r="I18" s="284"/>
      <c r="J18" s="255"/>
      <c r="K18" s="255"/>
      <c r="L18" s="262"/>
      <c r="M18" s="244"/>
      <c r="N18" s="244"/>
    </row>
    <row r="19" spans="1:14" ht="15.75" x14ac:dyDescent="0.25">
      <c r="A19" s="244"/>
      <c r="B19" s="263"/>
      <c r="C19" s="282" t="s">
        <v>231</v>
      </c>
      <c r="D19" s="264"/>
      <c r="E19" s="264"/>
      <c r="F19" s="264"/>
      <c r="G19" s="264"/>
      <c r="H19" s="264"/>
      <c r="I19" s="264"/>
      <c r="J19" s="265"/>
      <c r="K19" s="265"/>
      <c r="L19" s="259"/>
      <c r="M19" s="244"/>
      <c r="N19" s="244"/>
    </row>
    <row r="20" spans="1:14" ht="15.75" x14ac:dyDescent="0.25">
      <c r="A20" s="244"/>
      <c r="B20" s="261"/>
      <c r="C20" s="264"/>
      <c r="D20" s="264"/>
      <c r="E20" s="264"/>
      <c r="F20" s="264"/>
      <c r="G20" s="264"/>
      <c r="H20" s="264"/>
      <c r="I20" s="264"/>
      <c r="J20" s="265"/>
      <c r="K20" s="265"/>
      <c r="L20" s="259"/>
      <c r="M20" s="244"/>
      <c r="N20" s="244"/>
    </row>
    <row r="21" spans="1:14" x14ac:dyDescent="0.2">
      <c r="A21" s="244"/>
      <c r="B21" s="253"/>
      <c r="C21" s="266"/>
      <c r="D21" s="266"/>
      <c r="E21" s="266"/>
      <c r="F21" s="266"/>
      <c r="G21" s="266"/>
      <c r="H21" s="266"/>
      <c r="I21" s="266"/>
      <c r="J21" s="265"/>
      <c r="K21" s="265"/>
      <c r="L21" s="259"/>
      <c r="M21" s="244"/>
      <c r="N21" s="244"/>
    </row>
    <row r="22" spans="1:14" x14ac:dyDescent="0.2">
      <c r="A22" s="244"/>
      <c r="B22" s="253"/>
      <c r="C22" s="266"/>
      <c r="D22" s="266"/>
      <c r="E22" s="266"/>
      <c r="F22" s="266"/>
      <c r="G22" s="266"/>
      <c r="H22" s="266"/>
      <c r="I22" s="266"/>
      <c r="J22" s="265"/>
      <c r="K22" s="265"/>
      <c r="L22" s="259"/>
      <c r="M22" s="244"/>
      <c r="N22" s="244"/>
    </row>
    <row r="23" spans="1:14" x14ac:dyDescent="0.2">
      <c r="A23" s="244"/>
      <c r="B23" s="253"/>
      <c r="C23" s="266"/>
      <c r="D23" s="266"/>
      <c r="E23" s="266"/>
      <c r="F23" s="266"/>
      <c r="G23" s="266"/>
      <c r="H23" s="266"/>
      <c r="I23" s="266"/>
      <c r="J23" s="265"/>
      <c r="K23" s="265"/>
      <c r="L23" s="259"/>
      <c r="M23" s="244"/>
      <c r="N23" s="244"/>
    </row>
    <row r="24" spans="1:14" x14ac:dyDescent="0.2">
      <c r="A24" s="244"/>
      <c r="B24" s="253"/>
      <c r="C24" s="266"/>
      <c r="D24" s="266"/>
      <c r="E24" s="266"/>
      <c r="F24" s="266"/>
      <c r="G24" s="266"/>
      <c r="H24" s="266"/>
      <c r="I24" s="266"/>
      <c r="J24" s="265"/>
      <c r="K24" s="265"/>
      <c r="L24" s="259"/>
      <c r="M24" s="244"/>
      <c r="N24" s="244"/>
    </row>
    <row r="25" spans="1:14" x14ac:dyDescent="0.2">
      <c r="A25" s="244"/>
      <c r="B25" s="253" t="s">
        <v>230</v>
      </c>
      <c r="C25" s="266">
        <f>IF(C$17=0,0,(C15/C$17))</f>
        <v>0</v>
      </c>
      <c r="D25" s="266">
        <f t="shared" ref="D25:I25" si="2">IF(D$17=0,0,(D15/D$17))</f>
        <v>0</v>
      </c>
      <c r="E25" s="266">
        <f t="shared" si="2"/>
        <v>0</v>
      </c>
      <c r="F25" s="266">
        <f t="shared" si="2"/>
        <v>0</v>
      </c>
      <c r="G25" s="266">
        <f t="shared" si="2"/>
        <v>0</v>
      </c>
      <c r="H25" s="266">
        <f t="shared" si="2"/>
        <v>0</v>
      </c>
      <c r="I25" s="266">
        <f t="shared" si="2"/>
        <v>0</v>
      </c>
      <c r="J25" s="265"/>
      <c r="K25" s="265"/>
      <c r="L25" s="259"/>
      <c r="M25" s="244"/>
      <c r="N25" s="244"/>
    </row>
    <row r="26" spans="1:14" x14ac:dyDescent="0.2">
      <c r="A26" s="244"/>
      <c r="B26" s="261"/>
      <c r="C26" s="267"/>
      <c r="D26" s="267"/>
      <c r="E26" s="267"/>
      <c r="F26" s="267"/>
      <c r="G26" s="267"/>
      <c r="H26" s="267"/>
      <c r="I26" s="267"/>
      <c r="J26" s="265"/>
      <c r="K26" s="265"/>
      <c r="L26" s="259"/>
      <c r="M26" s="244"/>
      <c r="N26" s="244"/>
    </row>
    <row r="27" spans="1:14" ht="15.75" thickBot="1" x14ac:dyDescent="0.25">
      <c r="A27" s="244"/>
      <c r="B27" s="261"/>
      <c r="C27" s="267"/>
      <c r="D27" s="267"/>
      <c r="E27" s="267"/>
      <c r="F27" s="267"/>
      <c r="G27" s="267"/>
      <c r="H27" s="267"/>
      <c r="I27" s="267"/>
      <c r="J27" s="265"/>
      <c r="K27" s="267"/>
      <c r="L27" s="268"/>
      <c r="M27" s="244"/>
      <c r="N27" s="244"/>
    </row>
    <row r="28" spans="1:14" ht="16.5" thickBot="1" x14ac:dyDescent="0.3">
      <c r="A28" s="244"/>
      <c r="B28" s="269" t="s">
        <v>232</v>
      </c>
      <c r="C28" s="270">
        <f>+C21*$L$11+C22*$L$12+C23*$L$13+C24*$L$14+C25*$L$15</f>
        <v>0</v>
      </c>
      <c r="D28" s="270">
        <f t="shared" ref="D28:H28" si="3">+D21*$L$11+D22*$L$12+D23*$L$13+D24*$L$14+D25*$L$15</f>
        <v>0</v>
      </c>
      <c r="E28" s="270">
        <f t="shared" si="3"/>
        <v>0</v>
      </c>
      <c r="F28" s="270">
        <f t="shared" si="3"/>
        <v>0</v>
      </c>
      <c r="G28" s="271">
        <f t="shared" si="3"/>
        <v>0</v>
      </c>
      <c r="H28" s="271">
        <f t="shared" si="3"/>
        <v>0</v>
      </c>
      <c r="I28" s="295"/>
      <c r="J28" s="545">
        <f>AVERAGE(C28:H28)</f>
        <v>0</v>
      </c>
      <c r="K28" s="546"/>
      <c r="L28" s="259"/>
      <c r="M28" s="244"/>
      <c r="N28" s="244"/>
    </row>
    <row r="29" spans="1:14" ht="15.75" thickBot="1" x14ac:dyDescent="0.25">
      <c r="A29" s="244"/>
      <c r="B29" s="272"/>
      <c r="C29" s="273"/>
      <c r="D29" s="273"/>
      <c r="E29" s="273"/>
      <c r="F29" s="273"/>
      <c r="G29" s="273"/>
      <c r="H29" s="273"/>
      <c r="I29" s="273"/>
      <c r="J29" s="274"/>
      <c r="K29" s="274"/>
      <c r="L29" s="275"/>
      <c r="M29" s="244"/>
      <c r="N29" s="244"/>
    </row>
    <row r="30" spans="1:14" x14ac:dyDescent="0.2">
      <c r="A30" s="244"/>
      <c r="B30" s="244"/>
      <c r="C30" s="245"/>
      <c r="D30" s="245"/>
      <c r="E30" s="245"/>
      <c r="F30" s="245"/>
      <c r="G30" s="245"/>
      <c r="H30" s="245"/>
      <c r="I30" s="245"/>
      <c r="J30" s="244"/>
      <c r="K30" s="244"/>
      <c r="L30" s="244"/>
      <c r="M30" s="244"/>
      <c r="N30" s="244"/>
    </row>
    <row r="31" spans="1:14" x14ac:dyDescent="0.2">
      <c r="A31" s="244"/>
      <c r="B31" s="547"/>
      <c r="C31" s="548"/>
      <c r="D31" s="548"/>
      <c r="E31" s="548"/>
      <c r="F31" s="548"/>
      <c r="G31" s="548"/>
      <c r="H31" s="548"/>
      <c r="I31" s="548"/>
      <c r="J31" s="548"/>
      <c r="K31" s="548"/>
      <c r="L31" s="549"/>
      <c r="M31" s="244"/>
      <c r="N31" s="244"/>
    </row>
    <row r="32" spans="1:14" x14ac:dyDescent="0.2">
      <c r="A32" s="244"/>
      <c r="B32" s="550"/>
      <c r="C32" s="551"/>
      <c r="D32" s="551"/>
      <c r="E32" s="551"/>
      <c r="F32" s="551"/>
      <c r="G32" s="551"/>
      <c r="H32" s="551"/>
      <c r="I32" s="551"/>
      <c r="J32" s="551"/>
      <c r="K32" s="551"/>
      <c r="L32" s="552"/>
      <c r="M32" s="244"/>
      <c r="N32" s="244"/>
    </row>
    <row r="33" spans="1:14" x14ac:dyDescent="0.2">
      <c r="A33" s="244"/>
      <c r="B33" s="553"/>
      <c r="C33" s="554"/>
      <c r="D33" s="554"/>
      <c r="E33" s="554"/>
      <c r="F33" s="554"/>
      <c r="G33" s="554"/>
      <c r="H33" s="554"/>
      <c r="I33" s="554"/>
      <c r="J33" s="554"/>
      <c r="K33" s="554"/>
      <c r="L33" s="555"/>
      <c r="M33" s="244"/>
      <c r="N33" s="244"/>
    </row>
    <row r="35" spans="1:14" x14ac:dyDescent="0.2">
      <c r="A35" s="244"/>
      <c r="B35" s="244"/>
      <c r="C35" s="245"/>
      <c r="D35" s="245"/>
      <c r="E35" s="245"/>
      <c r="F35" s="245"/>
      <c r="G35" s="245"/>
      <c r="H35" s="245"/>
      <c r="I35" s="245"/>
      <c r="J35" s="244"/>
      <c r="K35" s="244"/>
      <c r="L35" s="244"/>
      <c r="M35" s="244"/>
      <c r="N35" s="244"/>
    </row>
  </sheetData>
  <mergeCells count="4">
    <mergeCell ref="B3:M3"/>
    <mergeCell ref="B5:M5"/>
    <mergeCell ref="J28:K28"/>
    <mergeCell ref="B31:L33"/>
  </mergeCells>
  <hyperlinks>
    <hyperlink ref="B2" location="Menu!A1" display="MENU" xr:uid="{C0616EAF-3416-4129-8409-F3D332A6FB78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2"/>
  <dimension ref="B2:D36"/>
  <sheetViews>
    <sheetView topLeftCell="A26" zoomScale="86" zoomScaleNormal="115" workbookViewId="0">
      <selection activeCell="F48" sqref="F48"/>
    </sheetView>
  </sheetViews>
  <sheetFormatPr baseColWidth="10" defaultRowHeight="15" x14ac:dyDescent="0.25"/>
  <cols>
    <col min="2" max="2" width="13.42578125" customWidth="1"/>
    <col min="4" max="4" width="44.28515625" bestFit="1" customWidth="1"/>
  </cols>
  <sheetData>
    <row r="2" spans="2:4" ht="18.75" thickBot="1" x14ac:dyDescent="0.3">
      <c r="B2" s="291" t="s">
        <v>237</v>
      </c>
    </row>
    <row r="3" spans="2:4" ht="21.75" thickBot="1" x14ac:dyDescent="0.4">
      <c r="B3" s="558" t="s">
        <v>0</v>
      </c>
      <c r="C3" s="559"/>
      <c r="D3" s="560"/>
    </row>
    <row r="4" spans="2:4" x14ac:dyDescent="0.25">
      <c r="B4" s="561" t="s">
        <v>5</v>
      </c>
      <c r="C4" s="10" t="s">
        <v>6</v>
      </c>
      <c r="D4" s="11" t="s">
        <v>1</v>
      </c>
    </row>
    <row r="5" spans="2:4" x14ac:dyDescent="0.25">
      <c r="B5" s="561"/>
      <c r="C5" s="6" t="s">
        <v>7</v>
      </c>
      <c r="D5" s="3" t="s">
        <v>2</v>
      </c>
    </row>
    <row r="6" spans="2:4" x14ac:dyDescent="0.25">
      <c r="B6" s="561"/>
      <c r="C6" s="6" t="s">
        <v>7</v>
      </c>
      <c r="D6" s="3" t="s">
        <v>3</v>
      </c>
    </row>
    <row r="7" spans="2:4" x14ac:dyDescent="0.25">
      <c r="B7" s="561"/>
      <c r="C7" s="6" t="s">
        <v>7</v>
      </c>
      <c r="D7" s="3" t="s">
        <v>4</v>
      </c>
    </row>
    <row r="8" spans="2:4" ht="16.5" thickBot="1" x14ac:dyDescent="0.3">
      <c r="B8" s="562"/>
      <c r="C8" s="7" t="s">
        <v>8</v>
      </c>
      <c r="D8" s="5" t="s">
        <v>9</v>
      </c>
    </row>
    <row r="9" spans="2:4" x14ac:dyDescent="0.25">
      <c r="B9" s="556" t="s">
        <v>16</v>
      </c>
      <c r="C9" s="6" t="s">
        <v>7</v>
      </c>
      <c r="D9" s="3" t="s">
        <v>10</v>
      </c>
    </row>
    <row r="10" spans="2:4" x14ac:dyDescent="0.25">
      <c r="B10" s="563"/>
      <c r="C10" s="6" t="s">
        <v>7</v>
      </c>
      <c r="D10" s="3" t="s">
        <v>84</v>
      </c>
    </row>
    <row r="11" spans="2:4" x14ac:dyDescent="0.25">
      <c r="B11" s="563"/>
      <c r="C11" s="6" t="s">
        <v>7</v>
      </c>
      <c r="D11" s="3" t="s">
        <v>11</v>
      </c>
    </row>
    <row r="12" spans="2:4" x14ac:dyDescent="0.25">
      <c r="B12" s="563"/>
      <c r="C12" s="6" t="s">
        <v>7</v>
      </c>
      <c r="D12" s="3" t="s">
        <v>13</v>
      </c>
    </row>
    <row r="13" spans="2:4" x14ac:dyDescent="0.25">
      <c r="B13" s="563"/>
      <c r="C13" s="6" t="s">
        <v>7</v>
      </c>
      <c r="D13" s="3" t="s">
        <v>14</v>
      </c>
    </row>
    <row r="14" spans="2:4" ht="16.5" thickBot="1" x14ac:dyDescent="0.3">
      <c r="B14" s="557"/>
      <c r="C14" s="7" t="s">
        <v>8</v>
      </c>
      <c r="D14" s="5" t="s">
        <v>15</v>
      </c>
    </row>
    <row r="15" spans="2:4" x14ac:dyDescent="0.25">
      <c r="C15" s="2" t="s">
        <v>6</v>
      </c>
      <c r="D15" s="9" t="s">
        <v>17</v>
      </c>
    </row>
    <row r="16" spans="2:4" x14ac:dyDescent="0.25">
      <c r="C16" s="2" t="s">
        <v>7</v>
      </c>
      <c r="D16" s="9" t="s">
        <v>18</v>
      </c>
    </row>
    <row r="17" spans="2:4" ht="16.5" thickBot="1" x14ac:dyDescent="0.3">
      <c r="C17" s="4" t="s">
        <v>8</v>
      </c>
      <c r="D17" s="5" t="s">
        <v>19</v>
      </c>
    </row>
    <row r="18" spans="2:4" x14ac:dyDescent="0.25">
      <c r="B18" s="556" t="s">
        <v>20</v>
      </c>
      <c r="C18" s="8"/>
      <c r="D18" s="3"/>
    </row>
    <row r="19" spans="2:4" x14ac:dyDescent="0.25">
      <c r="B19" s="563"/>
      <c r="C19" s="6" t="s">
        <v>7</v>
      </c>
      <c r="D19" s="9" t="s">
        <v>21</v>
      </c>
    </row>
    <row r="20" spans="2:4" ht="16.5" thickBot="1" x14ac:dyDescent="0.3">
      <c r="B20" s="557"/>
      <c r="C20" s="7" t="s">
        <v>8</v>
      </c>
      <c r="D20" s="5" t="s">
        <v>22</v>
      </c>
    </row>
    <row r="21" spans="2:4" x14ac:dyDescent="0.25">
      <c r="B21" s="556" t="s">
        <v>23</v>
      </c>
      <c r="C21" s="6" t="s">
        <v>7</v>
      </c>
      <c r="D21" s="9" t="s">
        <v>24</v>
      </c>
    </row>
    <row r="22" spans="2:4" ht="16.5" thickBot="1" x14ac:dyDescent="0.3">
      <c r="B22" s="557"/>
      <c r="C22" s="7" t="s">
        <v>8</v>
      </c>
      <c r="D22" s="5" t="s">
        <v>25</v>
      </c>
    </row>
    <row r="23" spans="2:4" x14ac:dyDescent="0.25">
      <c r="C23" s="2" t="s">
        <v>6</v>
      </c>
      <c r="D23" s="3" t="str">
        <f>D6</f>
        <v>Depreciacion operativa</v>
      </c>
    </row>
    <row r="24" spans="2:4" x14ac:dyDescent="0.25">
      <c r="C24" s="2" t="s">
        <v>6</v>
      </c>
      <c r="D24" s="3" t="str">
        <f>D7</f>
        <v>Amortizacion operativa</v>
      </c>
    </row>
    <row r="25" spans="2:4" x14ac:dyDescent="0.25">
      <c r="C25" s="2" t="s">
        <v>6</v>
      </c>
      <c r="D25" s="3" t="str">
        <f>D12</f>
        <v>Depreciacion admon/; dist/; ventas</v>
      </c>
    </row>
    <row r="26" spans="2:4" x14ac:dyDescent="0.25">
      <c r="C26" s="2" t="s">
        <v>6</v>
      </c>
      <c r="D26" s="3" t="str">
        <f>D13</f>
        <v>Amorticiacion admon/; dist/; ventas</v>
      </c>
    </row>
    <row r="27" spans="2:4" x14ac:dyDescent="0.25">
      <c r="C27" s="2" t="s">
        <v>6</v>
      </c>
      <c r="D27" s="3" t="str">
        <f>D19</f>
        <v>Valor en libros de los activos vendidos</v>
      </c>
    </row>
    <row r="28" spans="2:4" x14ac:dyDescent="0.25">
      <c r="C28" s="2" t="s">
        <v>26</v>
      </c>
      <c r="D28" s="3" t="s">
        <v>27</v>
      </c>
    </row>
    <row r="29" spans="2:4" x14ac:dyDescent="0.25">
      <c r="C29" s="3"/>
      <c r="D29" s="3"/>
    </row>
    <row r="30" spans="2:4" x14ac:dyDescent="0.25">
      <c r="C30" s="3"/>
      <c r="D30" s="3"/>
    </row>
    <row r="31" spans="2:4" x14ac:dyDescent="0.25">
      <c r="C31" s="2" t="s">
        <v>7</v>
      </c>
      <c r="D31" s="9" t="s">
        <v>28</v>
      </c>
    </row>
    <row r="32" spans="2:4" x14ac:dyDescent="0.25">
      <c r="C32" s="2" t="s">
        <v>6</v>
      </c>
      <c r="D32" s="3" t="s">
        <v>29</v>
      </c>
    </row>
    <row r="33" spans="2:4" ht="15.75" x14ac:dyDescent="0.25">
      <c r="C33" s="4" t="s">
        <v>8</v>
      </c>
      <c r="D33" s="5" t="s">
        <v>30</v>
      </c>
    </row>
    <row r="36" spans="2:4" x14ac:dyDescent="0.25">
      <c r="B36" t="s">
        <v>148</v>
      </c>
    </row>
  </sheetData>
  <mergeCells count="5">
    <mergeCell ref="B21:B22"/>
    <mergeCell ref="B3:D3"/>
    <mergeCell ref="B4:B8"/>
    <mergeCell ref="B9:B14"/>
    <mergeCell ref="B18:B20"/>
  </mergeCells>
  <hyperlinks>
    <hyperlink ref="B2" location="Menu!A1" display="MENU" xr:uid="{790C1162-C3DF-476C-B299-683E958F8C9F}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3"/>
  <dimension ref="B2:D33"/>
  <sheetViews>
    <sheetView workbookViewId="0">
      <selection activeCell="B2" sqref="B2"/>
    </sheetView>
  </sheetViews>
  <sheetFormatPr baseColWidth="10" defaultRowHeight="15" x14ac:dyDescent="0.25"/>
  <cols>
    <col min="2" max="2" width="31.42578125" bestFit="1" customWidth="1"/>
    <col min="3" max="3" width="3.42578125" bestFit="1" customWidth="1"/>
    <col min="4" max="4" width="44.28515625" bestFit="1" customWidth="1"/>
  </cols>
  <sheetData>
    <row r="2" spans="2:4" ht="18.75" thickBot="1" x14ac:dyDescent="0.3">
      <c r="B2" s="291" t="s">
        <v>237</v>
      </c>
    </row>
    <row r="3" spans="2:4" ht="21.75" thickBot="1" x14ac:dyDescent="0.4">
      <c r="B3" s="558" t="s">
        <v>31</v>
      </c>
      <c r="C3" s="559"/>
      <c r="D3" s="560"/>
    </row>
    <row r="4" spans="2:4" x14ac:dyDescent="0.25">
      <c r="B4" s="561" t="s">
        <v>5</v>
      </c>
      <c r="C4" s="10" t="s">
        <v>6</v>
      </c>
      <c r="D4" s="11" t="s">
        <v>1</v>
      </c>
    </row>
    <row r="5" spans="2:4" x14ac:dyDescent="0.25">
      <c r="B5" s="561"/>
      <c r="C5" s="6" t="s">
        <v>7</v>
      </c>
      <c r="D5" s="3" t="s">
        <v>2</v>
      </c>
    </row>
    <row r="6" spans="2:4" x14ac:dyDescent="0.25">
      <c r="B6" s="561"/>
      <c r="C6" s="6" t="s">
        <v>7</v>
      </c>
      <c r="D6" s="3" t="s">
        <v>3</v>
      </c>
    </row>
    <row r="7" spans="2:4" x14ac:dyDescent="0.25">
      <c r="B7" s="561"/>
      <c r="C7" s="6" t="s">
        <v>7</v>
      </c>
      <c r="D7" s="3" t="s">
        <v>4</v>
      </c>
    </row>
    <row r="8" spans="2:4" ht="16.5" thickBot="1" x14ac:dyDescent="0.3">
      <c r="B8" s="562"/>
      <c r="C8" s="7" t="s">
        <v>8</v>
      </c>
      <c r="D8" s="5" t="s">
        <v>9</v>
      </c>
    </row>
    <row r="9" spans="2:4" x14ac:dyDescent="0.25">
      <c r="B9" s="556" t="s">
        <v>16</v>
      </c>
      <c r="C9" s="6" t="s">
        <v>7</v>
      </c>
      <c r="D9" s="3" t="s">
        <v>10</v>
      </c>
    </row>
    <row r="10" spans="2:4" x14ac:dyDescent="0.25">
      <c r="B10" s="563"/>
      <c r="C10" s="6" t="s">
        <v>7</v>
      </c>
      <c r="D10" s="3" t="s">
        <v>12</v>
      </c>
    </row>
    <row r="11" spans="2:4" x14ac:dyDescent="0.25">
      <c r="B11" s="563"/>
      <c r="C11" s="6" t="s">
        <v>7</v>
      </c>
      <c r="D11" s="3" t="s">
        <v>11</v>
      </c>
    </row>
    <row r="12" spans="2:4" x14ac:dyDescent="0.25">
      <c r="B12" s="563"/>
      <c r="C12" s="6" t="s">
        <v>7</v>
      </c>
      <c r="D12" s="3" t="s">
        <v>13</v>
      </c>
    </row>
    <row r="13" spans="2:4" x14ac:dyDescent="0.25">
      <c r="B13" s="563"/>
      <c r="C13" s="6" t="s">
        <v>7</v>
      </c>
      <c r="D13" s="3" t="s">
        <v>14</v>
      </c>
    </row>
    <row r="14" spans="2:4" ht="16.5" thickBot="1" x14ac:dyDescent="0.3">
      <c r="B14" s="557"/>
      <c r="C14" s="7" t="s">
        <v>8</v>
      </c>
      <c r="D14" s="5" t="s">
        <v>15</v>
      </c>
    </row>
    <row r="15" spans="2:4" x14ac:dyDescent="0.25">
      <c r="C15" s="2" t="s">
        <v>6</v>
      </c>
      <c r="D15" s="9" t="s">
        <v>17</v>
      </c>
    </row>
    <row r="16" spans="2:4" x14ac:dyDescent="0.25">
      <c r="C16" s="2" t="s">
        <v>7</v>
      </c>
      <c r="D16" s="9" t="s">
        <v>18</v>
      </c>
    </row>
    <row r="17" spans="2:4" ht="16.5" thickBot="1" x14ac:dyDescent="0.3">
      <c r="C17" s="4" t="s">
        <v>8</v>
      </c>
      <c r="D17" s="5" t="s">
        <v>19</v>
      </c>
    </row>
    <row r="18" spans="2:4" x14ac:dyDescent="0.25">
      <c r="B18" s="556" t="s">
        <v>20</v>
      </c>
      <c r="C18" s="12" t="s">
        <v>7</v>
      </c>
      <c r="D18" s="13" t="s">
        <v>32</v>
      </c>
    </row>
    <row r="19" spans="2:4" x14ac:dyDescent="0.25">
      <c r="B19" s="563"/>
      <c r="C19" s="6" t="s">
        <v>7</v>
      </c>
      <c r="D19" s="9" t="s">
        <v>21</v>
      </c>
    </row>
    <row r="20" spans="2:4" ht="16.5" thickBot="1" x14ac:dyDescent="0.3">
      <c r="B20" s="557"/>
      <c r="C20" s="7" t="s">
        <v>8</v>
      </c>
      <c r="D20" s="5" t="s">
        <v>22</v>
      </c>
    </row>
    <row r="21" spans="2:4" x14ac:dyDescent="0.25">
      <c r="B21" s="556" t="s">
        <v>23</v>
      </c>
      <c r="C21" s="6" t="s">
        <v>7</v>
      </c>
      <c r="D21" s="9" t="s">
        <v>24</v>
      </c>
    </row>
    <row r="22" spans="2:4" ht="16.5" thickBot="1" x14ac:dyDescent="0.3">
      <c r="B22" s="557"/>
      <c r="C22" s="7" t="s">
        <v>8</v>
      </c>
      <c r="D22" s="5" t="s">
        <v>25</v>
      </c>
    </row>
    <row r="23" spans="2:4" x14ac:dyDescent="0.25">
      <c r="C23" s="2" t="s">
        <v>6</v>
      </c>
      <c r="D23" s="3" t="str">
        <f>D6</f>
        <v>Depreciacion operativa</v>
      </c>
    </row>
    <row r="24" spans="2:4" x14ac:dyDescent="0.25">
      <c r="C24" s="2" t="s">
        <v>6</v>
      </c>
      <c r="D24" s="3" t="str">
        <f>D7</f>
        <v>Amortizacion operativa</v>
      </c>
    </row>
    <row r="25" spans="2:4" x14ac:dyDescent="0.25">
      <c r="C25" s="2" t="s">
        <v>6</v>
      </c>
      <c r="D25" s="3" t="str">
        <f>D12</f>
        <v>Depreciacion admon/; dist/; ventas</v>
      </c>
    </row>
    <row r="26" spans="2:4" x14ac:dyDescent="0.25">
      <c r="C26" s="2" t="s">
        <v>6</v>
      </c>
      <c r="D26" s="3" t="str">
        <f>D13</f>
        <v>Amorticiacion admon/; dist/; ventas</v>
      </c>
    </row>
    <row r="27" spans="2:4" x14ac:dyDescent="0.25">
      <c r="C27" s="2" t="s">
        <v>6</v>
      </c>
      <c r="D27" s="3" t="str">
        <f>D19</f>
        <v>Valor en libros de los activos vendidos</v>
      </c>
    </row>
    <row r="28" spans="2:4" x14ac:dyDescent="0.25">
      <c r="C28" s="2" t="s">
        <v>26</v>
      </c>
      <c r="D28" s="3" t="s">
        <v>27</v>
      </c>
    </row>
    <row r="29" spans="2:4" x14ac:dyDescent="0.25">
      <c r="C29" s="12" t="s">
        <v>7</v>
      </c>
      <c r="D29" s="13" t="s">
        <v>33</v>
      </c>
    </row>
    <row r="30" spans="2:4" x14ac:dyDescent="0.25">
      <c r="C30" s="12" t="s">
        <v>6</v>
      </c>
      <c r="D30" s="13" t="s">
        <v>34</v>
      </c>
    </row>
    <row r="31" spans="2:4" x14ac:dyDescent="0.25">
      <c r="C31" s="2" t="s">
        <v>7</v>
      </c>
      <c r="D31" s="9" t="s">
        <v>28</v>
      </c>
    </row>
    <row r="32" spans="2:4" x14ac:dyDescent="0.25">
      <c r="C32" s="2" t="s">
        <v>6</v>
      </c>
      <c r="D32" s="3" t="s">
        <v>29</v>
      </c>
    </row>
    <row r="33" spans="3:4" ht="15.75" x14ac:dyDescent="0.25">
      <c r="C33" s="4" t="s">
        <v>8</v>
      </c>
      <c r="D33" s="5" t="s">
        <v>35</v>
      </c>
    </row>
  </sheetData>
  <mergeCells count="5">
    <mergeCell ref="B3:D3"/>
    <mergeCell ref="B4:B8"/>
    <mergeCell ref="B9:B14"/>
    <mergeCell ref="B18:B20"/>
    <mergeCell ref="B21:B22"/>
  </mergeCells>
  <hyperlinks>
    <hyperlink ref="B2" location="Menu!A1" display="MENU" xr:uid="{70CBDE30-C2D5-49B8-802C-7347AEECF71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4"/>
  <dimension ref="B2:J12"/>
  <sheetViews>
    <sheetView workbookViewId="0">
      <selection activeCell="C7" sqref="C7"/>
    </sheetView>
  </sheetViews>
  <sheetFormatPr baseColWidth="10" defaultRowHeight="15" x14ac:dyDescent="0.25"/>
  <cols>
    <col min="2" max="2" width="20.140625" bestFit="1" customWidth="1"/>
    <col min="3" max="3" width="13.42578125" bestFit="1" customWidth="1"/>
  </cols>
  <sheetData>
    <row r="2" spans="2:10" ht="18" x14ac:dyDescent="0.25">
      <c r="B2" s="291" t="s">
        <v>237</v>
      </c>
    </row>
    <row r="3" spans="2:10" ht="15.75" thickBot="1" x14ac:dyDescent="0.3"/>
    <row r="4" spans="2:10" ht="14.45" customHeight="1" x14ac:dyDescent="0.25">
      <c r="B4" s="296" t="s">
        <v>61</v>
      </c>
      <c r="C4" s="297">
        <f>'EdeR y F de C'!TIO</f>
        <v>0.1</v>
      </c>
      <c r="E4" s="564" t="s">
        <v>243</v>
      </c>
      <c r="F4" s="565"/>
      <c r="G4" s="565"/>
      <c r="H4" s="565"/>
      <c r="I4" s="565"/>
      <c r="J4" s="566"/>
    </row>
    <row r="5" spans="2:10" ht="15.75" thickBot="1" x14ac:dyDescent="0.3">
      <c r="B5" s="298" t="s">
        <v>241</v>
      </c>
      <c r="C5" s="299">
        <f>'EdeR y F de C'!TRINV</f>
        <v>0.1</v>
      </c>
      <c r="E5" s="567"/>
      <c r="F5" s="568"/>
      <c r="G5" s="568"/>
      <c r="H5" s="568"/>
      <c r="I5" s="568"/>
      <c r="J5" s="569"/>
    </row>
    <row r="6" spans="2:10" x14ac:dyDescent="0.25">
      <c r="B6" s="298" t="s">
        <v>63</v>
      </c>
      <c r="C6" s="300">
        <f>'EdeR y F de C'!VPN</f>
        <v>-424231902.81610167</v>
      </c>
      <c r="E6" s="570" t="s">
        <v>245</v>
      </c>
      <c r="F6" s="571"/>
      <c r="G6" s="571"/>
      <c r="H6" s="571"/>
      <c r="I6" s="571"/>
      <c r="J6" s="572"/>
    </row>
    <row r="7" spans="2:10" ht="15.75" thickBot="1" x14ac:dyDescent="0.3">
      <c r="B7" s="298" t="s">
        <v>62</v>
      </c>
      <c r="C7" s="299" t="e">
        <f>'EdeR y F de C'!TIR</f>
        <v>#NUM!</v>
      </c>
      <c r="E7" s="573"/>
      <c r="F7" s="574"/>
      <c r="G7" s="574"/>
      <c r="H7" s="574"/>
      <c r="I7" s="574"/>
      <c r="J7" s="575"/>
    </row>
    <row r="8" spans="2:10" x14ac:dyDescent="0.25">
      <c r="B8" s="298" t="str">
        <f>'EdeR y F de C'!C94</f>
        <v>TER</v>
      </c>
      <c r="C8" s="299">
        <f>'EdeR y F de C'!TIRM</f>
        <v>-1</v>
      </c>
      <c r="E8" s="564" t="s">
        <v>244</v>
      </c>
      <c r="F8" s="565"/>
      <c r="G8" s="565"/>
      <c r="H8" s="565"/>
      <c r="I8" s="565"/>
      <c r="J8" s="566"/>
    </row>
    <row r="9" spans="2:10" ht="15.75" thickBot="1" x14ac:dyDescent="0.3">
      <c r="B9" s="298" t="str">
        <f>IF(C9&gt;0,"BAUE","CAUE")</f>
        <v>CAUE</v>
      </c>
      <c r="C9" s="300">
        <f>'EdeR y F de C'!CAUE</f>
        <v>-111911307.23564887</v>
      </c>
      <c r="E9" s="567"/>
      <c r="F9" s="568"/>
      <c r="G9" s="568"/>
      <c r="H9" s="568"/>
      <c r="I9" s="568"/>
      <c r="J9" s="569"/>
    </row>
    <row r="10" spans="2:10" x14ac:dyDescent="0.25">
      <c r="B10" s="298" t="s">
        <v>39</v>
      </c>
      <c r="C10" s="300">
        <f>'EdeR y F de C'!D98</f>
        <v>0</v>
      </c>
    </row>
    <row r="11" spans="2:10" x14ac:dyDescent="0.25">
      <c r="B11" s="298" t="s">
        <v>45</v>
      </c>
      <c r="C11" s="300">
        <f>'EdeR y F de C'!D97</f>
        <v>424231902.81610167</v>
      </c>
    </row>
    <row r="12" spans="2:10" ht="15.75" thickBot="1" x14ac:dyDescent="0.3">
      <c r="B12" s="301" t="s">
        <v>242</v>
      </c>
      <c r="C12" s="302">
        <f>'EdeR y F de C'!RBC</f>
        <v>0</v>
      </c>
    </row>
  </sheetData>
  <mergeCells count="3">
    <mergeCell ref="E4:J5"/>
    <mergeCell ref="E6:J7"/>
    <mergeCell ref="E8:J9"/>
  </mergeCells>
  <hyperlinks>
    <hyperlink ref="B2" location="Menu!A1" display="MENU" xr:uid="{2725A7F8-36E9-4A7C-9571-2734C7706A1D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A02FC3E3972B94CAEA54672453CD9E0" ma:contentTypeVersion="5" ma:contentTypeDescription="Crear nuevo documento." ma:contentTypeScope="" ma:versionID="4ce9cc697c7bda2f33a2f317d25f0f3c">
  <xsd:schema xmlns:xsd="http://www.w3.org/2001/XMLSchema" xmlns:xs="http://www.w3.org/2001/XMLSchema" xmlns:p="http://schemas.microsoft.com/office/2006/metadata/properties" xmlns:ns3="1b13dc46-75da-4ccf-b395-7a9d130ea2c6" xmlns:ns4="b8144e75-8d36-4174-a5d6-a6500b12ee72" targetNamespace="http://schemas.microsoft.com/office/2006/metadata/properties" ma:root="true" ma:fieldsID="96cfe193fc0a37b19c87234df66361e2" ns3:_="" ns4:_="">
    <xsd:import namespace="1b13dc46-75da-4ccf-b395-7a9d130ea2c6"/>
    <xsd:import namespace="b8144e75-8d36-4174-a5d6-a6500b12ee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3dc46-75da-4ccf-b395-7a9d130ea2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44e75-8d36-4174-a5d6-a6500b12ee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ADD6F0-02D4-4EFF-ABBE-F323B634F7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51D655-FA64-4B21-9050-413D2BB6546A}">
  <ds:schemaRefs>
    <ds:schemaRef ds:uri="http://purl.org/dc/terms/"/>
    <ds:schemaRef ds:uri="http://purl.org/dc/dcmitype/"/>
    <ds:schemaRef ds:uri="http://purl.org/dc/elements/1.1/"/>
    <ds:schemaRef ds:uri="1b13dc46-75da-4ccf-b395-7a9d130ea2c6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b8144e75-8d36-4174-a5d6-a6500b12ee72"/>
  </ds:schemaRefs>
</ds:datastoreItem>
</file>

<file path=customXml/itemProps3.xml><?xml version="1.0" encoding="utf-8"?>
<ds:datastoreItem xmlns:ds="http://schemas.openxmlformats.org/officeDocument/2006/customXml" ds:itemID="{5C68D9A8-8345-442B-A11F-B3E3A376E0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3dc46-75da-4ccf-b395-7a9d130ea2c6"/>
    <ds:schemaRef ds:uri="b8144e75-8d36-4174-a5d6-a6500b12ee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47</vt:i4>
      </vt:variant>
    </vt:vector>
  </HeadingPairs>
  <TitlesOfParts>
    <vt:vector size="63" baseType="lpstr">
      <vt:lpstr>Menu</vt:lpstr>
      <vt:lpstr>Ppto Ing</vt:lpstr>
      <vt:lpstr>Ppto Costos y Gtos</vt:lpstr>
      <vt:lpstr>Capital de Trabajo</vt:lpstr>
      <vt:lpstr>Ppto Inv_Dep y Amt</vt:lpstr>
      <vt:lpstr>Ppto Financiación</vt:lpstr>
      <vt:lpstr>Conversion de tasa</vt:lpstr>
      <vt:lpstr>Flujo de Efectivo</vt:lpstr>
      <vt:lpstr>EdeR y F de C</vt:lpstr>
      <vt:lpstr>Flujo Economico</vt:lpstr>
      <vt:lpstr>Balance</vt:lpstr>
      <vt:lpstr>F de C 2</vt:lpstr>
      <vt:lpstr>TIO</vt:lpstr>
      <vt:lpstr>F de C Py</vt:lpstr>
      <vt:lpstr>F de C Inv</vt:lpstr>
      <vt:lpstr>ANALISIS</vt:lpstr>
      <vt:lpstr>Abono_Capital_Constante</vt:lpstr>
      <vt:lpstr>'EdeR y F de C'!CAUE</vt:lpstr>
      <vt:lpstr>CAUE</vt:lpstr>
      <vt:lpstr>Cuotas_Uniformes</vt:lpstr>
      <vt:lpstr>DIVIDENDO</vt:lpstr>
      <vt:lpstr>DIVIDENDOS</vt:lpstr>
      <vt:lpstr>'EdeR y F de C'!FC_0</vt:lpstr>
      <vt:lpstr>FC_0</vt:lpstr>
      <vt:lpstr>'EdeR y F de C'!FC_1</vt:lpstr>
      <vt:lpstr>FC_1</vt:lpstr>
      <vt:lpstr>'EdeR y F de C'!FC_2</vt:lpstr>
      <vt:lpstr>FC_2</vt:lpstr>
      <vt:lpstr>'EdeR y F de C'!FC_3</vt:lpstr>
      <vt:lpstr>FC_3</vt:lpstr>
      <vt:lpstr>'EdeR y F de C'!FC_4</vt:lpstr>
      <vt:lpstr>FC_4</vt:lpstr>
      <vt:lpstr>'EdeR y F de C'!FC_5</vt:lpstr>
      <vt:lpstr>FC_5</vt:lpstr>
      <vt:lpstr>FC_6</vt:lpstr>
      <vt:lpstr>Gradiente_Aritmetico</vt:lpstr>
      <vt:lpstr>Gradiente_Aritmetico_Creciente</vt:lpstr>
      <vt:lpstr>Gradiente_Aritmetico_Dcreciente</vt:lpstr>
      <vt:lpstr>Gradiente_Geometrico_Creciente</vt:lpstr>
      <vt:lpstr>Gradiente_Geometrico_decreciente</vt:lpstr>
      <vt:lpstr>H</vt:lpstr>
      <vt:lpstr>Inmuebles</vt:lpstr>
      <vt:lpstr>Intereses</vt:lpstr>
      <vt:lpstr>Menu</vt:lpstr>
      <vt:lpstr>'EdeR y F de C'!Nombre</vt:lpstr>
      <vt:lpstr>P</vt:lpstr>
      <vt:lpstr>Pago_Final</vt:lpstr>
      <vt:lpstr>'EdeR y F de C'!ppp</vt:lpstr>
      <vt:lpstr>'EdeR y F de C'!PPPP</vt:lpstr>
      <vt:lpstr>Prestamo</vt:lpstr>
      <vt:lpstr>'EdeR y F de C'!RBC</vt:lpstr>
      <vt:lpstr>Saldos_Insolutos</vt:lpstr>
      <vt:lpstr>Tasa</vt:lpstr>
      <vt:lpstr>'EdeR y F de C'!TIO</vt:lpstr>
      <vt:lpstr>TIO</vt:lpstr>
      <vt:lpstr>'EdeR y F de C'!TIR</vt:lpstr>
      <vt:lpstr>TIR</vt:lpstr>
      <vt:lpstr>'EdeR y F de C'!TIRM</vt:lpstr>
      <vt:lpstr>TIRM</vt:lpstr>
      <vt:lpstr>'EdeR y F de C'!TRINV</vt:lpstr>
      <vt:lpstr>'EdeR y F de C'!VPN</vt:lpstr>
      <vt:lpstr>VPN</vt:lpstr>
      <vt:lpstr>'EdeR y F de C'!XXXXXXXXXX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nenaynene</dc:creator>
  <cp:lastModifiedBy>LIZETH POSADA</cp:lastModifiedBy>
  <dcterms:created xsi:type="dcterms:W3CDTF">2011-08-15T14:42:10Z</dcterms:created>
  <dcterms:modified xsi:type="dcterms:W3CDTF">2021-07-02T06:11:13Z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0x0101008A02FC3E3972B94CAEA54672453CD9E0</vt:lpwstr>
  </property>
</Properties>
</file>